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defaultThemeVersion="124226"/>
  <bookViews>
    <workbookView xWindow="28680" yWindow="-120" windowWidth="23256" windowHeight="13176" tabRatio="793" firstSheet="5" activeTab="11"/>
  </bookViews>
  <sheets>
    <sheet name="CPAV001-ADM" sheetId="1" r:id="rId1"/>
    <sheet name="103689-PLACA DE OBRA" sheetId="2" r:id="rId2"/>
    <sheet name="CPAV002-BARRACÃO" sheetId="3" r:id="rId3"/>
    <sheet name="CPAV003- MOB_DESMOB" sheetId="4" r:id="rId4"/>
    <sheet name="CPAV004 4016096" sheetId="5" r:id="rId5"/>
    <sheet name="CPAV006-TSD-104389" sheetId="6" r:id="rId6"/>
    <sheet name="CPAV008-PLACA RUA" sheetId="7" r:id="rId7"/>
    <sheet name="ANP" sheetId="8" r:id="rId8"/>
    <sheet name="COTAÇÃOBRITA" sheetId="9" r:id="rId9"/>
    <sheet name="BDI-SERVIÇOS" sheetId="10" r:id="rId10"/>
    <sheet name="QCI" sheetId="11" r:id="rId11"/>
    <sheet name="RESUMO" sheetId="12" r:id="rId12"/>
    <sheet name="ORÇAMENTO" sheetId="13" r:id="rId13"/>
    <sheet name="CRONOGRAMA" sheetId="14" r:id="rId14"/>
    <sheet name="RUAS" sheetId="15" r:id="rId15"/>
    <sheet name="LIMPEZA" sheetId="16" r:id="rId16"/>
    <sheet name="TERRAPLENAGEM" sheetId="17" r:id="rId17"/>
    <sheet name="SUBLEITO-BASE-SUB." sheetId="18" r:id="rId18"/>
    <sheet name="REMOÇÃO DE POSTE" sheetId="19" r:id="rId19"/>
    <sheet name="PAVIMENTO" sheetId="20" r:id="rId20"/>
    <sheet name="ÍNDICE" sheetId="21" r:id="rId21"/>
    <sheet name="TRANSP. MAT.PAV" sheetId="22" r:id="rId22"/>
    <sheet name="SIN. VERTICAL" sheetId="23" r:id="rId23"/>
    <sheet name="SIN. HORIZONTAL " sheetId="24" r:id="rId24"/>
    <sheet name="DREN. MEM. CAL." sheetId="25" r:id="rId25"/>
    <sheet name="DREN. REDE" sheetId="26" r:id="rId26"/>
    <sheet name="MEIO-FIO E SARJETA" sheetId="27" r:id="rId27"/>
    <sheet name="DREN. SARJETA" sheetId="28" r:id="rId28"/>
    <sheet name="TRANSP. DRENAGEM" sheetId="29" r:id="rId29"/>
  </sheets>
  <definedNames>
    <definedName name="\c" localSheetId="15">#REF!</definedName>
    <definedName name="\c">#REF!</definedName>
    <definedName name="\I" localSheetId="15">#REF!</definedName>
    <definedName name="\I">#REF!</definedName>
    <definedName name="\S" localSheetId="15">#REF!</definedName>
    <definedName name="\S">#REF!</definedName>
    <definedName name="\x" localSheetId="15">#REF!</definedName>
    <definedName name="\x">#REF!</definedName>
    <definedName name="\z" localSheetId="15">#REF!</definedName>
    <definedName name="\z">#REF!</definedName>
    <definedName name="________________________________________________________cab1" localSheetId="15">#REF!</definedName>
    <definedName name="________________________________________________________cab1">#REF!</definedName>
    <definedName name="_____________________________________________________cab1" localSheetId="15">#REF!</definedName>
    <definedName name="_____________________________________________________cab1">#REF!</definedName>
    <definedName name="_____________________________________________________RET1" localSheetId="15">#REF!</definedName>
    <definedName name="_____________________________________________________RET1">#REF!</definedName>
    <definedName name="____________________________________________________cab1" localSheetId="15">#REF!</definedName>
    <definedName name="____________________________________________________cab1">#REF!</definedName>
    <definedName name="____________________________________________________TT21" localSheetId="15">#REF!</definedName>
    <definedName name="____________________________________________________TT21">#REF!</definedName>
    <definedName name="____________________________________________________TT22" localSheetId="15">#REF!</definedName>
    <definedName name="____________________________________________________TT22">#REF!</definedName>
    <definedName name="___________________________________________________cab1" localSheetId="15">#REF!</definedName>
    <definedName name="___________________________________________________cab1">#REF!</definedName>
    <definedName name="___________________________________________________oac2" localSheetId="15">#REF!</definedName>
    <definedName name="___________________________________________________oac2">#REF!</definedName>
    <definedName name="__________________________________________________cab1" localSheetId="15">#REF!</definedName>
    <definedName name="__________________________________________________cab1">#REF!</definedName>
    <definedName name="__________________________________________________JAZ1" localSheetId="15">#REF!</definedName>
    <definedName name="__________________________________________________JAZ1">#REF!</definedName>
    <definedName name="__________________________________________________JAZ11" localSheetId="15">#REF!</definedName>
    <definedName name="__________________________________________________JAZ11">#REF!</definedName>
    <definedName name="__________________________________________________JAZ2" localSheetId="15">#REF!</definedName>
    <definedName name="__________________________________________________JAZ2">#REF!</definedName>
    <definedName name="__________________________________________________JAZ22" localSheetId="15">#REF!</definedName>
    <definedName name="__________________________________________________JAZ22">#REF!</definedName>
    <definedName name="__________________________________________________JAZ3" localSheetId="15">#REF!</definedName>
    <definedName name="__________________________________________________JAZ3">#REF!</definedName>
    <definedName name="__________________________________________________JAZ33" localSheetId="15">#REF!</definedName>
    <definedName name="__________________________________________________JAZ33">#REF!</definedName>
    <definedName name="__________________________________________________RET1" localSheetId="15">#REF!</definedName>
    <definedName name="__________________________________________________RET1">#REF!</definedName>
    <definedName name="_________________________________________________cab1" localSheetId="15">#REF!</definedName>
    <definedName name="_________________________________________________cab1">#REF!</definedName>
    <definedName name="_________________________________________________EXT1" localSheetId="15">#REF!</definedName>
    <definedName name="_________________________________________________EXT1">#REF!</definedName>
    <definedName name="_________________________________________________ind100" localSheetId="15">#REF!</definedName>
    <definedName name="_________________________________________________ind100">#REF!</definedName>
    <definedName name="_________________________________________________JAZ1" localSheetId="15">#REF!</definedName>
    <definedName name="_________________________________________________JAZ1">#REF!</definedName>
    <definedName name="_________________________________________________JAZ11" localSheetId="15">#REF!</definedName>
    <definedName name="_________________________________________________JAZ11">#REF!</definedName>
    <definedName name="_________________________________________________JAZ2" localSheetId="15">#REF!</definedName>
    <definedName name="_________________________________________________JAZ2">#REF!</definedName>
    <definedName name="_________________________________________________JAZ22" localSheetId="15">#REF!</definedName>
    <definedName name="_________________________________________________JAZ22">#REF!</definedName>
    <definedName name="_________________________________________________JAZ3" localSheetId="15">#REF!</definedName>
    <definedName name="_________________________________________________JAZ3">#REF!</definedName>
    <definedName name="_________________________________________________JAZ33" localSheetId="15">#REF!</definedName>
    <definedName name="_________________________________________________JAZ33">#REF!</definedName>
    <definedName name="_________________________________________________RET1" localSheetId="15">#REF!</definedName>
    <definedName name="_________________________________________________RET1">#REF!</definedName>
    <definedName name="_________________________________________________TT21" localSheetId="15">#REF!</definedName>
    <definedName name="_________________________________________________TT21">#REF!</definedName>
    <definedName name="_________________________________________________TT22" localSheetId="15">#REF!</definedName>
    <definedName name="_________________________________________________TT22">#REF!</definedName>
    <definedName name="________________________________________________cab1" localSheetId="15">#REF!</definedName>
    <definedName name="________________________________________________cab1">#REF!</definedName>
    <definedName name="________________________________________________JAZ1" localSheetId="15">#REF!</definedName>
    <definedName name="________________________________________________JAZ1">#REF!</definedName>
    <definedName name="________________________________________________JAZ11" localSheetId="15">#REF!</definedName>
    <definedName name="________________________________________________JAZ11">#REF!</definedName>
    <definedName name="________________________________________________JAZ2" localSheetId="15">#REF!</definedName>
    <definedName name="________________________________________________JAZ2">#REF!</definedName>
    <definedName name="________________________________________________JAZ22" localSheetId="15">#REF!</definedName>
    <definedName name="________________________________________________JAZ22">#REF!</definedName>
    <definedName name="________________________________________________JAZ3" localSheetId="15">#REF!</definedName>
    <definedName name="________________________________________________JAZ3">#REF!</definedName>
    <definedName name="________________________________________________JAZ33" localSheetId="15">#REF!</definedName>
    <definedName name="________________________________________________JAZ33">#REF!</definedName>
    <definedName name="________________________________________________oac2" localSheetId="15">#REF!</definedName>
    <definedName name="________________________________________________oac2">#REF!</definedName>
    <definedName name="________________________________________________RET1" localSheetId="15">#REF!</definedName>
    <definedName name="________________________________________________RET1">#REF!</definedName>
    <definedName name="_______________________________________________cab1" localSheetId="15">#REF!</definedName>
    <definedName name="_______________________________________________cab1">#REF!</definedName>
    <definedName name="_______________________________________________oac2" localSheetId="15">#REF!</definedName>
    <definedName name="_______________________________________________oac2">#REF!</definedName>
    <definedName name="_______________________________________________RET1" localSheetId="15">#REF!</definedName>
    <definedName name="_______________________________________________RET1">#REF!</definedName>
    <definedName name="_______________________________________________TT21" localSheetId="15">#REF!</definedName>
    <definedName name="_______________________________________________TT21">#REF!</definedName>
    <definedName name="_______________________________________________TT22" localSheetId="15">#REF!</definedName>
    <definedName name="_______________________________________________TT22">#REF!</definedName>
    <definedName name="______________________________________________cab1" localSheetId="15">#REF!</definedName>
    <definedName name="______________________________________________cab1">#REF!</definedName>
    <definedName name="______________________________________________EXT1" localSheetId="15">#REF!</definedName>
    <definedName name="______________________________________________EXT1">#REF!</definedName>
    <definedName name="______________________________________________ind100" localSheetId="15">#REF!</definedName>
    <definedName name="______________________________________________ind100">#REF!</definedName>
    <definedName name="______________________________________________JAZ1" localSheetId="15">#REF!</definedName>
    <definedName name="______________________________________________JAZ1">#REF!</definedName>
    <definedName name="______________________________________________JAZ11" localSheetId="15">#REF!</definedName>
    <definedName name="______________________________________________JAZ11">#REF!</definedName>
    <definedName name="______________________________________________JAZ2" localSheetId="15">#REF!</definedName>
    <definedName name="______________________________________________JAZ2">#REF!</definedName>
    <definedName name="______________________________________________JAZ22" localSheetId="15">#REF!</definedName>
    <definedName name="______________________________________________JAZ22">#REF!</definedName>
    <definedName name="______________________________________________JAZ3" localSheetId="15">#REF!</definedName>
    <definedName name="______________________________________________JAZ3">#REF!</definedName>
    <definedName name="______________________________________________JAZ33" localSheetId="15">#REF!</definedName>
    <definedName name="______________________________________________JAZ33">#REF!</definedName>
    <definedName name="______________________________________________oac2" localSheetId="15">#REF!</definedName>
    <definedName name="______________________________________________oac2">#REF!</definedName>
    <definedName name="______________________________________________RET1" localSheetId="15">#REF!</definedName>
    <definedName name="______________________________________________RET1">#REF!</definedName>
    <definedName name="______________________________________________tsd4" localSheetId="15">#REF!</definedName>
    <definedName name="______________________________________________tsd4">#REF!</definedName>
    <definedName name="______________________________________________TT21" localSheetId="15">#REF!</definedName>
    <definedName name="______________________________________________TT21">#REF!</definedName>
    <definedName name="______________________________________________TT22" localSheetId="15">#REF!</definedName>
    <definedName name="______________________________________________TT22">#REF!</definedName>
    <definedName name="_____________________________________________cab1" localSheetId="15">#REF!</definedName>
    <definedName name="_____________________________________________cab1">#REF!</definedName>
    <definedName name="_____________________________________________EXT1" localSheetId="15">#REF!</definedName>
    <definedName name="_____________________________________________EXT1">#REF!</definedName>
    <definedName name="_____________________________________________ind100" localSheetId="15">#REF!</definedName>
    <definedName name="_____________________________________________ind100">#REF!</definedName>
    <definedName name="_____________________________________________JAZ1" localSheetId="15">#REF!</definedName>
    <definedName name="_____________________________________________JAZ1">#REF!</definedName>
    <definedName name="_____________________________________________JAZ11" localSheetId="15">#REF!</definedName>
    <definedName name="_____________________________________________JAZ11">#REF!</definedName>
    <definedName name="_____________________________________________JAZ2" localSheetId="15">#REF!</definedName>
    <definedName name="_____________________________________________JAZ2">#REF!</definedName>
    <definedName name="_____________________________________________JAZ22" localSheetId="15">#REF!</definedName>
    <definedName name="_____________________________________________JAZ22">#REF!</definedName>
    <definedName name="_____________________________________________JAZ3" localSheetId="15">#REF!</definedName>
    <definedName name="_____________________________________________JAZ3">#REF!</definedName>
    <definedName name="_____________________________________________JAZ33" localSheetId="15">#REF!</definedName>
    <definedName name="_____________________________________________JAZ33">#REF!</definedName>
    <definedName name="_____________________________________________oac2" localSheetId="15">#REF!</definedName>
    <definedName name="_____________________________________________oac2">#REF!</definedName>
    <definedName name="_____________________________________________RET1" localSheetId="15">#REF!</definedName>
    <definedName name="_____________________________________________RET1">#REF!</definedName>
    <definedName name="_____________________________________________tsd4" localSheetId="15">#REF!</definedName>
    <definedName name="_____________________________________________tsd4">#REF!</definedName>
    <definedName name="_____________________________________________TT21" localSheetId="15">#REF!</definedName>
    <definedName name="_____________________________________________TT21">#REF!</definedName>
    <definedName name="_____________________________________________TT22" localSheetId="15">#REF!</definedName>
    <definedName name="_____________________________________________TT22">#REF!</definedName>
    <definedName name="____________________________________________cab1" localSheetId="15">#REF!</definedName>
    <definedName name="____________________________________________cab1">#REF!</definedName>
    <definedName name="____________________________________________EXT1" localSheetId="15">#REF!</definedName>
    <definedName name="____________________________________________EXT1">#REF!</definedName>
    <definedName name="____________________________________________ind100" localSheetId="15">#REF!</definedName>
    <definedName name="____________________________________________ind100">#REF!</definedName>
    <definedName name="____________________________________________JAZ1" localSheetId="15">#REF!</definedName>
    <definedName name="____________________________________________JAZ1">#REF!</definedName>
    <definedName name="____________________________________________JAZ11" localSheetId="15">#REF!</definedName>
    <definedName name="____________________________________________JAZ11">#REF!</definedName>
    <definedName name="____________________________________________JAZ2" localSheetId="15">#REF!</definedName>
    <definedName name="____________________________________________JAZ2">#REF!</definedName>
    <definedName name="____________________________________________JAZ22" localSheetId="15">#REF!</definedName>
    <definedName name="____________________________________________JAZ22">#REF!</definedName>
    <definedName name="____________________________________________JAZ3" localSheetId="15">#REF!</definedName>
    <definedName name="____________________________________________JAZ3">#REF!</definedName>
    <definedName name="____________________________________________JAZ33" localSheetId="15">#REF!</definedName>
    <definedName name="____________________________________________JAZ33">#REF!</definedName>
    <definedName name="____________________________________________oac2" localSheetId="15">#REF!</definedName>
    <definedName name="____________________________________________oac2">#REF!</definedName>
    <definedName name="____________________________________________RET1" localSheetId="15">#REF!</definedName>
    <definedName name="____________________________________________RET1">#REF!</definedName>
    <definedName name="____________________________________________tsd4" localSheetId="15">#REF!</definedName>
    <definedName name="____________________________________________tsd4">#REF!</definedName>
    <definedName name="____________________________________________TT21" localSheetId="15">#REF!</definedName>
    <definedName name="____________________________________________TT21">#REF!</definedName>
    <definedName name="____________________________________________TT22" localSheetId="15">#REF!</definedName>
    <definedName name="____________________________________________TT22">#REF!</definedName>
    <definedName name="___________________________________________cab1" localSheetId="15">#REF!</definedName>
    <definedName name="___________________________________________cab1">#REF!</definedName>
    <definedName name="___________________________________________EXT1" localSheetId="15">#REF!</definedName>
    <definedName name="___________________________________________EXT1">#REF!</definedName>
    <definedName name="___________________________________________ind100" localSheetId="15">#REF!</definedName>
    <definedName name="___________________________________________ind100">#REF!</definedName>
    <definedName name="___________________________________________JAZ1" localSheetId="15">#REF!</definedName>
    <definedName name="___________________________________________JAZ1">#REF!</definedName>
    <definedName name="___________________________________________JAZ11" localSheetId="15">#REF!</definedName>
    <definedName name="___________________________________________JAZ11">#REF!</definedName>
    <definedName name="___________________________________________JAZ2" localSheetId="15">#REF!</definedName>
    <definedName name="___________________________________________JAZ2">#REF!</definedName>
    <definedName name="___________________________________________JAZ22" localSheetId="15">#REF!</definedName>
    <definedName name="___________________________________________JAZ22">#REF!</definedName>
    <definedName name="___________________________________________JAZ3" localSheetId="15">#REF!</definedName>
    <definedName name="___________________________________________JAZ3">#REF!</definedName>
    <definedName name="___________________________________________JAZ33" localSheetId="15">#REF!</definedName>
    <definedName name="___________________________________________JAZ33">#REF!</definedName>
    <definedName name="___________________________________________oac2" localSheetId="15">#REF!</definedName>
    <definedName name="___________________________________________oac2">#REF!</definedName>
    <definedName name="___________________________________________RET1" localSheetId="15">#REF!</definedName>
    <definedName name="___________________________________________RET1">#REF!</definedName>
    <definedName name="___________________________________________TT21" localSheetId="15">#REF!</definedName>
    <definedName name="___________________________________________TT21">#REF!</definedName>
    <definedName name="___________________________________________TT22" localSheetId="15">#REF!</definedName>
    <definedName name="___________________________________________TT22">#REF!</definedName>
    <definedName name="__________________________________________cab1" localSheetId="15">#REF!</definedName>
    <definedName name="__________________________________________cab1">#REF!</definedName>
    <definedName name="__________________________________________emp2">#REF!</definedName>
    <definedName name="__________________________________________EXT1" localSheetId="15">#REF!</definedName>
    <definedName name="__________________________________________EXT1">#REF!</definedName>
    <definedName name="__________________________________________ind100" localSheetId="15">#REF!</definedName>
    <definedName name="__________________________________________ind100">#REF!</definedName>
    <definedName name="__________________________________________JAZ1" localSheetId="15">#REF!</definedName>
    <definedName name="__________________________________________JAZ1">#REF!</definedName>
    <definedName name="__________________________________________JAZ11" localSheetId="15">#REF!</definedName>
    <definedName name="__________________________________________JAZ11">#REF!</definedName>
    <definedName name="__________________________________________JAZ2" localSheetId="15">#REF!</definedName>
    <definedName name="__________________________________________JAZ2">#REF!</definedName>
    <definedName name="__________________________________________JAZ22" localSheetId="15">#REF!</definedName>
    <definedName name="__________________________________________JAZ22">#REF!</definedName>
    <definedName name="__________________________________________JAZ3" localSheetId="15">#REF!</definedName>
    <definedName name="__________________________________________JAZ3">#REF!</definedName>
    <definedName name="__________________________________________JAZ33" localSheetId="15">#REF!</definedName>
    <definedName name="__________________________________________JAZ33">#REF!</definedName>
    <definedName name="__________________________________________mem2">#REF!</definedName>
    <definedName name="__________________________________________oac2" localSheetId="15">#REF!</definedName>
    <definedName name="__________________________________________oac2">#REF!</definedName>
    <definedName name="__________________________________________RET1" localSheetId="15">#REF!</definedName>
    <definedName name="__________________________________________RET1">#REF!</definedName>
    <definedName name="__________________________________________tsd4" localSheetId="15">#REF!</definedName>
    <definedName name="__________________________________________tsd4">#REF!</definedName>
    <definedName name="__________________________________________TT21" localSheetId="15">#REF!</definedName>
    <definedName name="__________________________________________TT21">#REF!</definedName>
    <definedName name="__________________________________________TT22" localSheetId="15">#REF!</definedName>
    <definedName name="__________________________________________TT22">#REF!</definedName>
    <definedName name="_________________________________________cab1" localSheetId="15">#REF!</definedName>
    <definedName name="_________________________________________cab1">#REF!</definedName>
    <definedName name="_________________________________________emp2">#REF!</definedName>
    <definedName name="_________________________________________EXT1" localSheetId="15">#REF!</definedName>
    <definedName name="_________________________________________EXT1">#REF!</definedName>
    <definedName name="_________________________________________ind100" localSheetId="15">#REF!</definedName>
    <definedName name="_________________________________________ind100">#REF!</definedName>
    <definedName name="_________________________________________JAZ1" localSheetId="15">#REF!</definedName>
    <definedName name="_________________________________________JAZ1">#REF!</definedName>
    <definedName name="_________________________________________JAZ11" localSheetId="15">#REF!</definedName>
    <definedName name="_________________________________________JAZ11">#REF!</definedName>
    <definedName name="_________________________________________JAZ2" localSheetId="15">#REF!</definedName>
    <definedName name="_________________________________________JAZ2">#REF!</definedName>
    <definedName name="_________________________________________JAZ22" localSheetId="15">#REF!</definedName>
    <definedName name="_________________________________________JAZ22">#REF!</definedName>
    <definedName name="_________________________________________JAZ3" localSheetId="15">#REF!</definedName>
    <definedName name="_________________________________________JAZ3">#REF!</definedName>
    <definedName name="_________________________________________JAZ33" localSheetId="15">#REF!</definedName>
    <definedName name="_________________________________________JAZ33">#REF!</definedName>
    <definedName name="_________________________________________mem2">#REF!</definedName>
    <definedName name="_________________________________________oac2" localSheetId="15">#REF!</definedName>
    <definedName name="_________________________________________oac2">#REF!</definedName>
    <definedName name="_________________________________________RET1" localSheetId="15">#REF!</definedName>
    <definedName name="_________________________________________RET1">#REF!</definedName>
    <definedName name="_________________________________________tsd4" localSheetId="15">#REF!</definedName>
    <definedName name="_________________________________________tsd4">#REF!</definedName>
    <definedName name="_________________________________________TT21" localSheetId="15">#REF!</definedName>
    <definedName name="_________________________________________TT21">#REF!</definedName>
    <definedName name="_________________________________________TT22" localSheetId="15">#REF!</definedName>
    <definedName name="_________________________________________TT22">#REF!</definedName>
    <definedName name="________________________________________cab1" localSheetId="15">#REF!</definedName>
    <definedName name="________________________________________cab1">#REF!</definedName>
    <definedName name="________________________________________emp2">#REF!</definedName>
    <definedName name="________________________________________EXT1" localSheetId="15">#REF!</definedName>
    <definedName name="________________________________________EXT1">#REF!</definedName>
    <definedName name="________________________________________ind100" localSheetId="15">#REF!</definedName>
    <definedName name="________________________________________ind100">#REF!</definedName>
    <definedName name="________________________________________JAZ1" localSheetId="15">#REF!</definedName>
    <definedName name="________________________________________JAZ1">#REF!</definedName>
    <definedName name="________________________________________JAZ11" localSheetId="15">#REF!</definedName>
    <definedName name="________________________________________JAZ11">#REF!</definedName>
    <definedName name="________________________________________JAZ2" localSheetId="15">#REF!</definedName>
    <definedName name="________________________________________JAZ2">#REF!</definedName>
    <definedName name="________________________________________JAZ22" localSheetId="15">#REF!</definedName>
    <definedName name="________________________________________JAZ22">#REF!</definedName>
    <definedName name="________________________________________JAZ3" localSheetId="15">#REF!</definedName>
    <definedName name="________________________________________JAZ3">#REF!</definedName>
    <definedName name="________________________________________JAZ33" localSheetId="15">#REF!</definedName>
    <definedName name="________________________________________JAZ33">#REF!</definedName>
    <definedName name="________________________________________mem2">#REF!</definedName>
    <definedName name="________________________________________oac2" localSheetId="15">#REF!</definedName>
    <definedName name="________________________________________oac2">#REF!</definedName>
    <definedName name="________________________________________RET1" localSheetId="15">#REF!</definedName>
    <definedName name="________________________________________RET1">#REF!</definedName>
    <definedName name="________________________________________tsd4" localSheetId="15">#REF!</definedName>
    <definedName name="________________________________________tsd4">#REF!</definedName>
    <definedName name="________________________________________TT21" localSheetId="15">#REF!</definedName>
    <definedName name="________________________________________TT21">#REF!</definedName>
    <definedName name="________________________________________TT22" localSheetId="15">#REF!</definedName>
    <definedName name="________________________________________TT22">#REF!</definedName>
    <definedName name="_______________________________________cab1" localSheetId="15">#REF!</definedName>
    <definedName name="_______________________________________cab1">#REF!</definedName>
    <definedName name="_______________________________________emp2">#REF!</definedName>
    <definedName name="_______________________________________EXT1" localSheetId="15">#REF!</definedName>
    <definedName name="_______________________________________EXT1">#REF!</definedName>
    <definedName name="_______________________________________ind100" localSheetId="15">#REF!</definedName>
    <definedName name="_______________________________________ind100">#REF!</definedName>
    <definedName name="_______________________________________JAZ1" localSheetId="15">#REF!</definedName>
    <definedName name="_______________________________________JAZ1">#REF!</definedName>
    <definedName name="_______________________________________JAZ11" localSheetId="15">#REF!</definedName>
    <definedName name="_______________________________________JAZ11">#REF!</definedName>
    <definedName name="_______________________________________JAZ2" localSheetId="15">#REF!</definedName>
    <definedName name="_______________________________________JAZ2">#REF!</definedName>
    <definedName name="_______________________________________JAZ22" localSheetId="15">#REF!</definedName>
    <definedName name="_______________________________________JAZ22">#REF!</definedName>
    <definedName name="_______________________________________JAZ3" localSheetId="15">#REF!</definedName>
    <definedName name="_______________________________________JAZ3">#REF!</definedName>
    <definedName name="_______________________________________JAZ33" localSheetId="15">#REF!</definedName>
    <definedName name="_______________________________________JAZ33">#REF!</definedName>
    <definedName name="_______________________________________mem2">#REF!</definedName>
    <definedName name="_______________________________________oac2" localSheetId="15">#REF!</definedName>
    <definedName name="_______________________________________oac2">#REF!</definedName>
    <definedName name="_______________________________________RET1" localSheetId="15">#REF!</definedName>
    <definedName name="_______________________________________RET1">#REF!</definedName>
    <definedName name="_______________________________________tsd4" localSheetId="15">#REF!</definedName>
    <definedName name="_______________________________________tsd4">#REF!</definedName>
    <definedName name="_______________________________________TT21" localSheetId="15">#REF!</definedName>
    <definedName name="_______________________________________TT21">#REF!</definedName>
    <definedName name="_______________________________________TT22" localSheetId="15">#REF!</definedName>
    <definedName name="_______________________________________TT22">#REF!</definedName>
    <definedName name="______________________________________cab1" localSheetId="15">#REF!</definedName>
    <definedName name="______________________________________cab1">#REF!</definedName>
    <definedName name="______________________________________emp2">#REF!</definedName>
    <definedName name="______________________________________EXT1" localSheetId="15">#REF!</definedName>
    <definedName name="______________________________________EXT1">#REF!</definedName>
    <definedName name="______________________________________ind100" localSheetId="15">#REF!</definedName>
    <definedName name="______________________________________ind100">#REF!</definedName>
    <definedName name="______________________________________JAZ1" localSheetId="15">#REF!</definedName>
    <definedName name="______________________________________JAZ1">#REF!</definedName>
    <definedName name="______________________________________JAZ11" localSheetId="15">#REF!</definedName>
    <definedName name="______________________________________JAZ11">#REF!</definedName>
    <definedName name="______________________________________JAZ2" localSheetId="15">#REF!</definedName>
    <definedName name="______________________________________JAZ2">#REF!</definedName>
    <definedName name="______________________________________JAZ22" localSheetId="15">#REF!</definedName>
    <definedName name="______________________________________JAZ22">#REF!</definedName>
    <definedName name="______________________________________JAZ3" localSheetId="15">#REF!</definedName>
    <definedName name="______________________________________JAZ3">#REF!</definedName>
    <definedName name="______________________________________JAZ33" localSheetId="15">#REF!</definedName>
    <definedName name="______________________________________JAZ33">#REF!</definedName>
    <definedName name="______________________________________mem2">#REF!</definedName>
    <definedName name="______________________________________oac2" localSheetId="15">#REF!</definedName>
    <definedName name="______________________________________oac2">#REF!</definedName>
    <definedName name="______________________________________RET1" localSheetId="15">#REF!</definedName>
    <definedName name="______________________________________RET1">#REF!</definedName>
    <definedName name="______________________________________tsd4" localSheetId="15">#REF!</definedName>
    <definedName name="______________________________________tsd4">#REF!</definedName>
    <definedName name="______________________________________TT21" localSheetId="15">#REF!</definedName>
    <definedName name="______________________________________TT21">#REF!</definedName>
    <definedName name="______________________________________TT22" localSheetId="15">#REF!</definedName>
    <definedName name="______________________________________TT22">#REF!</definedName>
    <definedName name="_____________________________________cab1" localSheetId="15">#REF!</definedName>
    <definedName name="_____________________________________cab1">#REF!</definedName>
    <definedName name="_____________________________________emp2">#REF!</definedName>
    <definedName name="_____________________________________EXT1" localSheetId="15">#REF!</definedName>
    <definedName name="_____________________________________EXT1">#REF!</definedName>
    <definedName name="_____________________________________ind100" localSheetId="15">#REF!</definedName>
    <definedName name="_____________________________________ind100">#REF!</definedName>
    <definedName name="_____________________________________JAZ1" localSheetId="15">#REF!</definedName>
    <definedName name="_____________________________________JAZ1">#REF!</definedName>
    <definedName name="_____________________________________JAZ11" localSheetId="15">#REF!</definedName>
    <definedName name="_____________________________________JAZ11">#REF!</definedName>
    <definedName name="_____________________________________JAZ2" localSheetId="15">#REF!</definedName>
    <definedName name="_____________________________________JAZ2">#REF!</definedName>
    <definedName name="_____________________________________JAZ22" localSheetId="15">#REF!</definedName>
    <definedName name="_____________________________________JAZ22">#REF!</definedName>
    <definedName name="_____________________________________JAZ3" localSheetId="15">#REF!</definedName>
    <definedName name="_____________________________________JAZ3">#REF!</definedName>
    <definedName name="_____________________________________JAZ33" localSheetId="15">#REF!</definedName>
    <definedName name="_____________________________________JAZ33">#REF!</definedName>
    <definedName name="_____________________________________mem2">#REF!</definedName>
    <definedName name="_____________________________________oac2" localSheetId="15">#REF!</definedName>
    <definedName name="_____________________________________oac2">#REF!</definedName>
    <definedName name="_____________________________________RET1" localSheetId="15">#REF!</definedName>
    <definedName name="_____________________________________RET1">#REF!</definedName>
    <definedName name="_____________________________________tsd4" localSheetId="15">#REF!</definedName>
    <definedName name="_____________________________________tsd4">#REF!</definedName>
    <definedName name="_____________________________________TT21" localSheetId="15">#REF!</definedName>
    <definedName name="_____________________________________TT21">#REF!</definedName>
    <definedName name="_____________________________________TT22" localSheetId="15">#REF!</definedName>
    <definedName name="_____________________________________TT22">#REF!</definedName>
    <definedName name="____________________________________cab1" localSheetId="15">#REF!</definedName>
    <definedName name="____________________________________cab1">#REF!</definedName>
    <definedName name="____________________________________emp2">#REF!</definedName>
    <definedName name="____________________________________EXT1" localSheetId="15">#REF!</definedName>
    <definedName name="____________________________________EXT1">#REF!</definedName>
    <definedName name="____________________________________ind100" localSheetId="15">#REF!</definedName>
    <definedName name="____________________________________ind100">#REF!</definedName>
    <definedName name="____________________________________JAZ1" localSheetId="15">#REF!</definedName>
    <definedName name="____________________________________JAZ1">#REF!</definedName>
    <definedName name="____________________________________JAZ11" localSheetId="15">#REF!</definedName>
    <definedName name="____________________________________JAZ11">#REF!</definedName>
    <definedName name="____________________________________JAZ2" localSheetId="15">#REF!</definedName>
    <definedName name="____________________________________JAZ2">#REF!</definedName>
    <definedName name="____________________________________JAZ22" localSheetId="15">#REF!</definedName>
    <definedName name="____________________________________JAZ22">#REF!</definedName>
    <definedName name="____________________________________JAZ3" localSheetId="15">#REF!</definedName>
    <definedName name="____________________________________JAZ3">#REF!</definedName>
    <definedName name="____________________________________JAZ33" localSheetId="15">#REF!</definedName>
    <definedName name="____________________________________JAZ33">#REF!</definedName>
    <definedName name="____________________________________mem2">#REF!</definedName>
    <definedName name="____________________________________oac2" localSheetId="15">#REF!</definedName>
    <definedName name="____________________________________oac2">#REF!</definedName>
    <definedName name="____________________________________RET1" localSheetId="15">#REF!</definedName>
    <definedName name="____________________________________RET1">#REF!</definedName>
    <definedName name="____________________________________tsd4" localSheetId="15">#REF!</definedName>
    <definedName name="____________________________________tsd4">#REF!</definedName>
    <definedName name="____________________________________TT21" localSheetId="15">#REF!</definedName>
    <definedName name="____________________________________TT21">#REF!</definedName>
    <definedName name="____________________________________TT22" localSheetId="15">#REF!</definedName>
    <definedName name="____________________________________TT22">#REF!</definedName>
    <definedName name="___________________________________cab1" localSheetId="15">#REF!</definedName>
    <definedName name="___________________________________cab1">#REF!</definedName>
    <definedName name="___________________________________emp2">#REF!</definedName>
    <definedName name="___________________________________EXT1" localSheetId="15">#REF!</definedName>
    <definedName name="___________________________________EXT1">#REF!</definedName>
    <definedName name="___________________________________ind100" localSheetId="15">#REF!</definedName>
    <definedName name="___________________________________ind100">#REF!</definedName>
    <definedName name="___________________________________JAZ1" localSheetId="15">#REF!</definedName>
    <definedName name="___________________________________JAZ1">#REF!</definedName>
    <definedName name="___________________________________JAZ11" localSheetId="15">#REF!</definedName>
    <definedName name="___________________________________JAZ11">#REF!</definedName>
    <definedName name="___________________________________JAZ2" localSheetId="15">#REF!</definedName>
    <definedName name="___________________________________JAZ2">#REF!</definedName>
    <definedName name="___________________________________JAZ22" localSheetId="15">#REF!</definedName>
    <definedName name="___________________________________JAZ22">#REF!</definedName>
    <definedName name="___________________________________JAZ3" localSheetId="15">#REF!</definedName>
    <definedName name="___________________________________JAZ3">#REF!</definedName>
    <definedName name="___________________________________JAZ33" localSheetId="15">#REF!</definedName>
    <definedName name="___________________________________JAZ33">#REF!</definedName>
    <definedName name="___________________________________mem2">#REF!</definedName>
    <definedName name="___________________________________oac2" localSheetId="15">#REF!</definedName>
    <definedName name="___________________________________oac2">#REF!</definedName>
    <definedName name="___________________________________RET1" localSheetId="15">#REF!</definedName>
    <definedName name="___________________________________RET1">#REF!</definedName>
    <definedName name="___________________________________tsd4" localSheetId="15">#REF!</definedName>
    <definedName name="___________________________________tsd4">#REF!</definedName>
    <definedName name="___________________________________TT21" localSheetId="15">#REF!</definedName>
    <definedName name="___________________________________TT21">#REF!</definedName>
    <definedName name="___________________________________TT22" localSheetId="15">#REF!</definedName>
    <definedName name="___________________________________TT22">#REF!</definedName>
    <definedName name="__________________________________cab1" localSheetId="15">#REF!</definedName>
    <definedName name="__________________________________cab1">#REF!</definedName>
    <definedName name="__________________________________emp2">#REF!</definedName>
    <definedName name="__________________________________EXT1" localSheetId="15">#REF!</definedName>
    <definedName name="__________________________________EXT1">#REF!</definedName>
    <definedName name="__________________________________ind100" localSheetId="15">#REF!</definedName>
    <definedName name="__________________________________ind100">#REF!</definedName>
    <definedName name="__________________________________JAZ1" localSheetId="15">#REF!</definedName>
    <definedName name="__________________________________JAZ1">#REF!</definedName>
    <definedName name="__________________________________JAZ11" localSheetId="15">#REF!</definedName>
    <definedName name="__________________________________JAZ11">#REF!</definedName>
    <definedName name="__________________________________JAZ2" localSheetId="15">#REF!</definedName>
    <definedName name="__________________________________JAZ2">#REF!</definedName>
    <definedName name="__________________________________JAZ22" localSheetId="15">#REF!</definedName>
    <definedName name="__________________________________JAZ22">#REF!</definedName>
    <definedName name="__________________________________JAZ3" localSheetId="15">#REF!</definedName>
    <definedName name="__________________________________JAZ3">#REF!</definedName>
    <definedName name="__________________________________JAZ33" localSheetId="15">#REF!</definedName>
    <definedName name="__________________________________JAZ33">#REF!</definedName>
    <definedName name="__________________________________mem2">#REF!</definedName>
    <definedName name="__________________________________oac2" localSheetId="15">#REF!</definedName>
    <definedName name="__________________________________oac2">#REF!</definedName>
    <definedName name="__________________________________RET1" localSheetId="15">#REF!</definedName>
    <definedName name="__________________________________RET1">#REF!</definedName>
    <definedName name="__________________________________tsd4" localSheetId="15">#REF!</definedName>
    <definedName name="__________________________________tsd4">#REF!</definedName>
    <definedName name="__________________________________TT21" localSheetId="15">#REF!</definedName>
    <definedName name="__________________________________TT21">#REF!</definedName>
    <definedName name="__________________________________TT22" localSheetId="15">#REF!</definedName>
    <definedName name="__________________________________TT22">#REF!</definedName>
    <definedName name="_________________________________cab1" localSheetId="15">#REF!</definedName>
    <definedName name="_________________________________cab1">#REF!</definedName>
    <definedName name="_________________________________emp2">#REF!</definedName>
    <definedName name="_________________________________EXT1" localSheetId="15">#REF!</definedName>
    <definedName name="_________________________________EXT1">#REF!</definedName>
    <definedName name="_________________________________ind100" localSheetId="15">#REF!</definedName>
    <definedName name="_________________________________ind100">#REF!</definedName>
    <definedName name="_________________________________JAZ1" localSheetId="15">#REF!</definedName>
    <definedName name="_________________________________JAZ1">#REF!</definedName>
    <definedName name="_________________________________JAZ11" localSheetId="15">#REF!</definedName>
    <definedName name="_________________________________JAZ11">#REF!</definedName>
    <definedName name="_________________________________JAZ2" localSheetId="15">#REF!</definedName>
    <definedName name="_________________________________JAZ2">#REF!</definedName>
    <definedName name="_________________________________JAZ22" localSheetId="15">#REF!</definedName>
    <definedName name="_________________________________JAZ22">#REF!</definedName>
    <definedName name="_________________________________JAZ3" localSheetId="15">#REF!</definedName>
    <definedName name="_________________________________JAZ3">#REF!</definedName>
    <definedName name="_________________________________JAZ33" localSheetId="15">#REF!</definedName>
    <definedName name="_________________________________JAZ33">#REF!</definedName>
    <definedName name="_________________________________mem2">#REF!</definedName>
    <definedName name="_________________________________oac2" localSheetId="15">#REF!</definedName>
    <definedName name="_________________________________oac2">#REF!</definedName>
    <definedName name="_________________________________RET1" localSheetId="15">#REF!</definedName>
    <definedName name="_________________________________RET1">#REF!</definedName>
    <definedName name="_________________________________tsd4" localSheetId="15">#REF!</definedName>
    <definedName name="_________________________________tsd4">#REF!</definedName>
    <definedName name="_________________________________TT21" localSheetId="15">#REF!</definedName>
    <definedName name="_________________________________TT21">#REF!</definedName>
    <definedName name="_________________________________TT22" localSheetId="15">#REF!</definedName>
    <definedName name="_________________________________TT22">#REF!</definedName>
    <definedName name="________________________________cab1" localSheetId="15">#REF!</definedName>
    <definedName name="________________________________cab1">#REF!</definedName>
    <definedName name="________________________________emp2">#REF!</definedName>
    <definedName name="________________________________EXT1" localSheetId="15">#REF!</definedName>
    <definedName name="________________________________EXT1">#REF!</definedName>
    <definedName name="________________________________ind100" localSheetId="15">#REF!</definedName>
    <definedName name="________________________________ind100">#REF!</definedName>
    <definedName name="________________________________JAZ1" localSheetId="15">#REF!</definedName>
    <definedName name="________________________________JAZ1">#REF!</definedName>
    <definedName name="________________________________JAZ11" localSheetId="15">#REF!</definedName>
    <definedName name="________________________________JAZ11">#REF!</definedName>
    <definedName name="________________________________JAZ2" localSheetId="15">#REF!</definedName>
    <definedName name="________________________________JAZ2">#REF!</definedName>
    <definedName name="________________________________JAZ22" localSheetId="15">#REF!</definedName>
    <definedName name="________________________________JAZ22">#REF!</definedName>
    <definedName name="________________________________JAZ3" localSheetId="15">#REF!</definedName>
    <definedName name="________________________________JAZ3">#REF!</definedName>
    <definedName name="________________________________JAZ33" localSheetId="15">#REF!</definedName>
    <definedName name="________________________________JAZ33">#REF!</definedName>
    <definedName name="________________________________mem2">#REF!</definedName>
    <definedName name="________________________________oac2" localSheetId="15">#REF!</definedName>
    <definedName name="________________________________oac2">#REF!</definedName>
    <definedName name="________________________________RET1" localSheetId="15">#REF!</definedName>
    <definedName name="________________________________RET1">#REF!</definedName>
    <definedName name="________________________________tsd4" localSheetId="15">#REF!</definedName>
    <definedName name="________________________________tsd4">#REF!</definedName>
    <definedName name="________________________________TT21" localSheetId="15">#REF!</definedName>
    <definedName name="________________________________TT21">#REF!</definedName>
    <definedName name="________________________________TT22" localSheetId="15">#REF!</definedName>
    <definedName name="________________________________TT22">#REF!</definedName>
    <definedName name="_______________________________cab1" localSheetId="15">#REF!</definedName>
    <definedName name="_______________________________cab1">#REF!</definedName>
    <definedName name="_______________________________emp2">#REF!</definedName>
    <definedName name="_______________________________EXT1" localSheetId="15">#REF!</definedName>
    <definedName name="_______________________________EXT1">#REF!</definedName>
    <definedName name="_______________________________ind100" localSheetId="15">#REF!</definedName>
    <definedName name="_______________________________ind100">#REF!</definedName>
    <definedName name="_______________________________JAZ1" localSheetId="15">#REF!</definedName>
    <definedName name="_______________________________JAZ1">#REF!</definedName>
    <definedName name="_______________________________JAZ11" localSheetId="15">#REF!</definedName>
    <definedName name="_______________________________JAZ11">#REF!</definedName>
    <definedName name="_______________________________JAZ2" localSheetId="15">#REF!</definedName>
    <definedName name="_______________________________JAZ2">#REF!</definedName>
    <definedName name="_______________________________JAZ22" localSheetId="15">#REF!</definedName>
    <definedName name="_______________________________JAZ22">#REF!</definedName>
    <definedName name="_______________________________JAZ3" localSheetId="15">#REF!</definedName>
    <definedName name="_______________________________JAZ3">#REF!</definedName>
    <definedName name="_______________________________JAZ33" localSheetId="15">#REF!</definedName>
    <definedName name="_______________________________JAZ33">#REF!</definedName>
    <definedName name="_______________________________mem2">#REF!</definedName>
    <definedName name="_______________________________oac2" localSheetId="15">#REF!</definedName>
    <definedName name="_______________________________oac2">#REF!</definedName>
    <definedName name="_______________________________RET1" localSheetId="15">#REF!</definedName>
    <definedName name="_______________________________RET1">#REF!</definedName>
    <definedName name="_______________________________tsd4" localSheetId="15">#REF!</definedName>
    <definedName name="_______________________________tsd4">#REF!</definedName>
    <definedName name="_______________________________TT21" localSheetId="15">#REF!</definedName>
    <definedName name="_______________________________TT21">#REF!</definedName>
    <definedName name="_______________________________TT22" localSheetId="15">#REF!</definedName>
    <definedName name="_______________________________TT22">#REF!</definedName>
    <definedName name="______________________________cab1" localSheetId="15">#REF!</definedName>
    <definedName name="______________________________cab1">#REF!</definedName>
    <definedName name="______________________________emp2">#REF!</definedName>
    <definedName name="______________________________EXT1" localSheetId="15">#REF!</definedName>
    <definedName name="______________________________EXT1">#REF!</definedName>
    <definedName name="______________________________ind100" localSheetId="15">#REF!</definedName>
    <definedName name="______________________________ind100">#REF!</definedName>
    <definedName name="______________________________JAZ1" localSheetId="15">#REF!</definedName>
    <definedName name="______________________________JAZ1">#REF!</definedName>
    <definedName name="______________________________JAZ11" localSheetId="15">#REF!</definedName>
    <definedName name="______________________________JAZ11">#REF!</definedName>
    <definedName name="______________________________JAZ2" localSheetId="15">#REF!</definedName>
    <definedName name="______________________________JAZ2">#REF!</definedName>
    <definedName name="______________________________JAZ22" localSheetId="15">#REF!</definedName>
    <definedName name="______________________________JAZ22">#REF!</definedName>
    <definedName name="______________________________JAZ3" localSheetId="15">#REF!</definedName>
    <definedName name="______________________________JAZ3">#REF!</definedName>
    <definedName name="______________________________JAZ33" localSheetId="15">#REF!</definedName>
    <definedName name="______________________________JAZ33">#REF!</definedName>
    <definedName name="______________________________mem2">#REF!</definedName>
    <definedName name="______________________________oac2" localSheetId="15">#REF!</definedName>
    <definedName name="______________________________oac2">#REF!</definedName>
    <definedName name="______________________________RET1" localSheetId="15">#REF!</definedName>
    <definedName name="______________________________RET1">#REF!</definedName>
    <definedName name="______________________________tsd4" localSheetId="15">#REF!</definedName>
    <definedName name="______________________________tsd4">#REF!</definedName>
    <definedName name="______________________________TT21" localSheetId="15">#REF!</definedName>
    <definedName name="______________________________TT21">#REF!</definedName>
    <definedName name="______________________________TT22" localSheetId="15">#REF!</definedName>
    <definedName name="______________________________TT22">#REF!</definedName>
    <definedName name="_____________________________cab1" localSheetId="15">#REF!</definedName>
    <definedName name="_____________________________cab1">#REF!</definedName>
    <definedName name="_____________________________emp2">#REF!</definedName>
    <definedName name="_____________________________EXT1" localSheetId="15">#REF!</definedName>
    <definedName name="_____________________________EXT1">#REF!</definedName>
    <definedName name="_____________________________ind100" localSheetId="15">#REF!</definedName>
    <definedName name="_____________________________ind100">#REF!</definedName>
    <definedName name="_____________________________JAZ1" localSheetId="15">#REF!</definedName>
    <definedName name="_____________________________JAZ1">#REF!</definedName>
    <definedName name="_____________________________JAZ11" localSheetId="15">#REF!</definedName>
    <definedName name="_____________________________JAZ11">#REF!</definedName>
    <definedName name="_____________________________JAZ2" localSheetId="15">#REF!</definedName>
    <definedName name="_____________________________JAZ2">#REF!</definedName>
    <definedName name="_____________________________JAZ22" localSheetId="15">#REF!</definedName>
    <definedName name="_____________________________JAZ22">#REF!</definedName>
    <definedName name="_____________________________JAZ3" localSheetId="15">#REF!</definedName>
    <definedName name="_____________________________JAZ3">#REF!</definedName>
    <definedName name="_____________________________JAZ33" localSheetId="15">#REF!</definedName>
    <definedName name="_____________________________JAZ33">#REF!</definedName>
    <definedName name="_____________________________mem2">#REF!</definedName>
    <definedName name="_____________________________oac2" localSheetId="15">#REF!</definedName>
    <definedName name="_____________________________oac2">#REF!</definedName>
    <definedName name="_____________________________RET1" localSheetId="15">#REF!</definedName>
    <definedName name="_____________________________RET1">#REF!</definedName>
    <definedName name="_____________________________tsd4" localSheetId="15">#REF!</definedName>
    <definedName name="_____________________________tsd4">#REF!</definedName>
    <definedName name="_____________________________TT21" localSheetId="15">#REF!</definedName>
    <definedName name="_____________________________TT21">#REF!</definedName>
    <definedName name="_____________________________TT22" localSheetId="15">#REF!</definedName>
    <definedName name="_____________________________TT22">#REF!</definedName>
    <definedName name="____________________________cab1" localSheetId="15">#REF!</definedName>
    <definedName name="____________________________cab1">#REF!</definedName>
    <definedName name="____________________________emp2">#REF!</definedName>
    <definedName name="____________________________EXT1" localSheetId="15">#REF!</definedName>
    <definedName name="____________________________EXT1">#REF!</definedName>
    <definedName name="____________________________ind100" localSheetId="15">#REF!</definedName>
    <definedName name="____________________________ind100">#REF!</definedName>
    <definedName name="____________________________JAZ1" localSheetId="15">#REF!</definedName>
    <definedName name="____________________________JAZ1">#REF!</definedName>
    <definedName name="____________________________JAZ11" localSheetId="15">#REF!</definedName>
    <definedName name="____________________________JAZ11">#REF!</definedName>
    <definedName name="____________________________JAZ2" localSheetId="15">#REF!</definedName>
    <definedName name="____________________________JAZ2">#REF!</definedName>
    <definedName name="____________________________JAZ22" localSheetId="15">#REF!</definedName>
    <definedName name="____________________________JAZ22">#REF!</definedName>
    <definedName name="____________________________JAZ3" localSheetId="15">#REF!</definedName>
    <definedName name="____________________________JAZ3">#REF!</definedName>
    <definedName name="____________________________JAZ33" localSheetId="15">#REF!</definedName>
    <definedName name="____________________________JAZ33">#REF!</definedName>
    <definedName name="____________________________mem2">#REF!</definedName>
    <definedName name="____________________________oac2" localSheetId="15">#REF!</definedName>
    <definedName name="____________________________oac2">#REF!</definedName>
    <definedName name="____________________________RET1" localSheetId="15">#REF!</definedName>
    <definedName name="____________________________RET1">#REF!</definedName>
    <definedName name="____________________________tsd4" localSheetId="15">#REF!</definedName>
    <definedName name="____________________________tsd4">#REF!</definedName>
    <definedName name="____________________________TT21" localSheetId="15">#REF!</definedName>
    <definedName name="____________________________TT21">#REF!</definedName>
    <definedName name="____________________________TT22" localSheetId="15">#REF!</definedName>
    <definedName name="____________________________TT22">#REF!</definedName>
    <definedName name="___________________________cab1" localSheetId="15">#REF!</definedName>
    <definedName name="___________________________cab1">#REF!</definedName>
    <definedName name="___________________________emp2">#REF!</definedName>
    <definedName name="___________________________EXT1" localSheetId="15">#REF!</definedName>
    <definedName name="___________________________EXT1">#REF!</definedName>
    <definedName name="___________________________ind100" localSheetId="15">#REF!</definedName>
    <definedName name="___________________________ind100">#REF!</definedName>
    <definedName name="___________________________JAZ1" localSheetId="15">#REF!</definedName>
    <definedName name="___________________________JAZ1">#REF!</definedName>
    <definedName name="___________________________JAZ11" localSheetId="15">#REF!</definedName>
    <definedName name="___________________________JAZ11">#REF!</definedName>
    <definedName name="___________________________JAZ2" localSheetId="15">#REF!</definedName>
    <definedName name="___________________________JAZ2">#REF!</definedName>
    <definedName name="___________________________JAZ22" localSheetId="15">#REF!</definedName>
    <definedName name="___________________________JAZ22">#REF!</definedName>
    <definedName name="___________________________JAZ3" localSheetId="15">#REF!</definedName>
    <definedName name="___________________________JAZ3">#REF!</definedName>
    <definedName name="___________________________JAZ33" localSheetId="15">#REF!</definedName>
    <definedName name="___________________________JAZ33">#REF!</definedName>
    <definedName name="___________________________mem2">#REF!</definedName>
    <definedName name="___________________________oac2" localSheetId="15">#REF!</definedName>
    <definedName name="___________________________oac2">#REF!</definedName>
    <definedName name="___________________________RET1" localSheetId="15">#REF!</definedName>
    <definedName name="___________________________RET1">#REF!</definedName>
    <definedName name="___________________________tsd4" localSheetId="15">#REF!</definedName>
    <definedName name="___________________________tsd4">#REF!</definedName>
    <definedName name="___________________________TT21" localSheetId="15">#REF!</definedName>
    <definedName name="___________________________TT21">#REF!</definedName>
    <definedName name="___________________________TT22" localSheetId="15">#REF!</definedName>
    <definedName name="___________________________TT22">#REF!</definedName>
    <definedName name="__________________________cab1" localSheetId="15">#REF!</definedName>
    <definedName name="__________________________cab1">#REF!</definedName>
    <definedName name="__________________________emp2">#REF!</definedName>
    <definedName name="__________________________EXT1" localSheetId="15">#REF!</definedName>
    <definedName name="__________________________EXT1">#REF!</definedName>
    <definedName name="__________________________ind100" localSheetId="15">#REF!</definedName>
    <definedName name="__________________________ind100">#REF!</definedName>
    <definedName name="__________________________JAZ1" localSheetId="15">#REF!</definedName>
    <definedName name="__________________________JAZ1">#REF!</definedName>
    <definedName name="__________________________JAZ11" localSheetId="15">#REF!</definedName>
    <definedName name="__________________________JAZ11">#REF!</definedName>
    <definedName name="__________________________JAZ2" localSheetId="15">#REF!</definedName>
    <definedName name="__________________________JAZ2">#REF!</definedName>
    <definedName name="__________________________JAZ22" localSheetId="15">#REF!</definedName>
    <definedName name="__________________________JAZ22">#REF!</definedName>
    <definedName name="__________________________JAZ3" localSheetId="15">#REF!</definedName>
    <definedName name="__________________________JAZ3">#REF!</definedName>
    <definedName name="__________________________JAZ33" localSheetId="15">#REF!</definedName>
    <definedName name="__________________________JAZ33">#REF!</definedName>
    <definedName name="__________________________mem2">#REF!</definedName>
    <definedName name="__________________________oac2" localSheetId="15">#REF!</definedName>
    <definedName name="__________________________oac2">#REF!</definedName>
    <definedName name="__________________________RET1" localSheetId="15">#REF!</definedName>
    <definedName name="__________________________RET1">#REF!</definedName>
    <definedName name="__________________________tsd4" localSheetId="15">#REF!</definedName>
    <definedName name="__________________________tsd4">#REF!</definedName>
    <definedName name="__________________________TT21" localSheetId="15">#REF!</definedName>
    <definedName name="__________________________TT21">#REF!</definedName>
    <definedName name="__________________________TT22" localSheetId="15">#REF!</definedName>
    <definedName name="__________________________TT22">#REF!</definedName>
    <definedName name="_________________________cab1" localSheetId="15">#REF!</definedName>
    <definedName name="_________________________cab1">#REF!</definedName>
    <definedName name="_________________________emp2">#REF!</definedName>
    <definedName name="_________________________EXT1" localSheetId="15">#REF!</definedName>
    <definedName name="_________________________EXT1">#REF!</definedName>
    <definedName name="_________________________ind100" localSheetId="15">#REF!</definedName>
    <definedName name="_________________________ind100">#REF!</definedName>
    <definedName name="_________________________JAZ1" localSheetId="15">#REF!</definedName>
    <definedName name="_________________________JAZ1">#REF!</definedName>
    <definedName name="_________________________JAZ11" localSheetId="15">#REF!</definedName>
    <definedName name="_________________________JAZ11">#REF!</definedName>
    <definedName name="_________________________JAZ2" localSheetId="15">#REF!</definedName>
    <definedName name="_________________________JAZ2">#REF!</definedName>
    <definedName name="_________________________JAZ22" localSheetId="15">#REF!</definedName>
    <definedName name="_________________________JAZ22">#REF!</definedName>
    <definedName name="_________________________JAZ3" localSheetId="15">#REF!</definedName>
    <definedName name="_________________________JAZ3">#REF!</definedName>
    <definedName name="_________________________JAZ33" localSheetId="15">#REF!</definedName>
    <definedName name="_________________________JAZ33">#REF!</definedName>
    <definedName name="_________________________mem2">#REF!</definedName>
    <definedName name="_________________________oac2" localSheetId="15">#REF!</definedName>
    <definedName name="_________________________oac2">#REF!</definedName>
    <definedName name="_________________________RET1" localSheetId="15">#REF!</definedName>
    <definedName name="_________________________RET1">#REF!</definedName>
    <definedName name="_________________________tsd4" localSheetId="15">#REF!</definedName>
    <definedName name="_________________________tsd4">#REF!</definedName>
    <definedName name="_________________________TT21" localSheetId="15">#REF!</definedName>
    <definedName name="_________________________TT21">#REF!</definedName>
    <definedName name="_________________________TT22" localSheetId="15">#REF!</definedName>
    <definedName name="_________________________TT22">#REF!</definedName>
    <definedName name="________________________cab1" localSheetId="15">#REF!</definedName>
    <definedName name="________________________cab1">#REF!</definedName>
    <definedName name="________________________emp2">#REF!</definedName>
    <definedName name="________________________EXT1" localSheetId="15">#REF!</definedName>
    <definedName name="________________________EXT1">#REF!</definedName>
    <definedName name="________________________ind100" localSheetId="15">#REF!</definedName>
    <definedName name="________________________ind100">#REF!</definedName>
    <definedName name="________________________JAZ1" localSheetId="15">#REF!</definedName>
    <definedName name="________________________JAZ1">#REF!</definedName>
    <definedName name="________________________JAZ11" localSheetId="15">#REF!</definedName>
    <definedName name="________________________JAZ11">#REF!</definedName>
    <definedName name="________________________JAZ2" localSheetId="15">#REF!</definedName>
    <definedName name="________________________JAZ2">#REF!</definedName>
    <definedName name="________________________JAZ22" localSheetId="15">#REF!</definedName>
    <definedName name="________________________JAZ22">#REF!</definedName>
    <definedName name="________________________JAZ3" localSheetId="15">#REF!</definedName>
    <definedName name="________________________JAZ3">#REF!</definedName>
    <definedName name="________________________JAZ33" localSheetId="15">#REF!</definedName>
    <definedName name="________________________JAZ33">#REF!</definedName>
    <definedName name="________________________mem2">#REF!</definedName>
    <definedName name="________________________oac2" localSheetId="15">#REF!</definedName>
    <definedName name="________________________oac2">#REF!</definedName>
    <definedName name="________________________RET1" localSheetId="15">#REF!</definedName>
    <definedName name="________________________RET1">#REF!</definedName>
    <definedName name="________________________tsd4" localSheetId="15">#REF!</definedName>
    <definedName name="________________________tsd4">#REF!</definedName>
    <definedName name="________________________TT21" localSheetId="15">#REF!</definedName>
    <definedName name="________________________TT21">#REF!</definedName>
    <definedName name="________________________TT22" localSheetId="15">#REF!</definedName>
    <definedName name="________________________TT22">#REF!</definedName>
    <definedName name="_______________________cab1" localSheetId="15">#REF!</definedName>
    <definedName name="_______________________cab1">#REF!</definedName>
    <definedName name="_______________________emp2">#REF!</definedName>
    <definedName name="_______________________EXT1" localSheetId="15">#REF!</definedName>
    <definedName name="_______________________EXT1">#REF!</definedName>
    <definedName name="_______________________ind100" localSheetId="15">#REF!</definedName>
    <definedName name="_______________________ind100">#REF!</definedName>
    <definedName name="_______________________JAZ1" localSheetId="15">#REF!</definedName>
    <definedName name="_______________________JAZ1">#REF!</definedName>
    <definedName name="_______________________JAZ11" localSheetId="15">#REF!</definedName>
    <definedName name="_______________________JAZ11">#REF!</definedName>
    <definedName name="_______________________JAZ2" localSheetId="15">#REF!</definedName>
    <definedName name="_______________________JAZ2">#REF!</definedName>
    <definedName name="_______________________JAZ22" localSheetId="15">#REF!</definedName>
    <definedName name="_______________________JAZ22">#REF!</definedName>
    <definedName name="_______________________JAZ3" localSheetId="15">#REF!</definedName>
    <definedName name="_______________________JAZ3">#REF!</definedName>
    <definedName name="_______________________JAZ33" localSheetId="15">#REF!</definedName>
    <definedName name="_______________________JAZ33">#REF!</definedName>
    <definedName name="_______________________mem2">#REF!</definedName>
    <definedName name="_______________________oac2" localSheetId="15">#REF!</definedName>
    <definedName name="_______________________oac2">#REF!</definedName>
    <definedName name="_______________________RET1" localSheetId="15">#REF!</definedName>
    <definedName name="_______________________RET1">#REF!</definedName>
    <definedName name="_______________________tsd4" localSheetId="15">#REF!</definedName>
    <definedName name="_______________________tsd4">#REF!</definedName>
    <definedName name="_______________________TT21" localSheetId="15">#REF!</definedName>
    <definedName name="_______________________TT21">#REF!</definedName>
    <definedName name="_______________________TT22" localSheetId="15">#REF!</definedName>
    <definedName name="_______________________TT22">#REF!</definedName>
    <definedName name="______________________cab1" localSheetId="15">#REF!</definedName>
    <definedName name="______________________cab1">#REF!</definedName>
    <definedName name="______________________emp2">#REF!</definedName>
    <definedName name="______________________EXT1" localSheetId="15">#REF!</definedName>
    <definedName name="______________________EXT1">#REF!</definedName>
    <definedName name="______________________ind100" localSheetId="15">#REF!</definedName>
    <definedName name="______________________ind100">#REF!</definedName>
    <definedName name="______________________JAZ1" localSheetId="15">#REF!</definedName>
    <definedName name="______________________JAZ1">#REF!</definedName>
    <definedName name="______________________JAZ11" localSheetId="15">#REF!</definedName>
    <definedName name="______________________JAZ11">#REF!</definedName>
    <definedName name="______________________JAZ2" localSheetId="15">#REF!</definedName>
    <definedName name="______________________JAZ2">#REF!</definedName>
    <definedName name="______________________JAZ22" localSheetId="15">#REF!</definedName>
    <definedName name="______________________JAZ22">#REF!</definedName>
    <definedName name="______________________JAZ3" localSheetId="15">#REF!</definedName>
    <definedName name="______________________JAZ3">#REF!</definedName>
    <definedName name="______________________JAZ33" localSheetId="15">#REF!</definedName>
    <definedName name="______________________JAZ33">#REF!</definedName>
    <definedName name="______________________mem2">#REF!</definedName>
    <definedName name="______________________oac2" localSheetId="15">#REF!</definedName>
    <definedName name="______________________oac2">#REF!</definedName>
    <definedName name="______________________RET1" localSheetId="15">#REF!</definedName>
    <definedName name="______________________RET1">#REF!</definedName>
    <definedName name="______________________tsd4" localSheetId="15">#REF!</definedName>
    <definedName name="______________________tsd4">#REF!</definedName>
    <definedName name="______________________TT21" localSheetId="15">#REF!</definedName>
    <definedName name="______________________TT21">#REF!</definedName>
    <definedName name="______________________TT22" localSheetId="15">#REF!</definedName>
    <definedName name="______________________TT22">#REF!</definedName>
    <definedName name="_____________________cab1" localSheetId="15">#REF!</definedName>
    <definedName name="_____________________cab1">#REF!</definedName>
    <definedName name="_____________________emp2">#REF!</definedName>
    <definedName name="_____________________EXT1" localSheetId="15">#REF!</definedName>
    <definedName name="_____________________EXT1">#REF!</definedName>
    <definedName name="_____________________ind100" localSheetId="15">#REF!</definedName>
    <definedName name="_____________________ind100">#REF!</definedName>
    <definedName name="_____________________JAZ1" localSheetId="15">#REF!</definedName>
    <definedName name="_____________________JAZ1">#REF!</definedName>
    <definedName name="_____________________JAZ11" localSheetId="15">#REF!</definedName>
    <definedName name="_____________________JAZ11">#REF!</definedName>
    <definedName name="_____________________JAZ2" localSheetId="15">#REF!</definedName>
    <definedName name="_____________________JAZ2">#REF!</definedName>
    <definedName name="_____________________JAZ22" localSheetId="15">#REF!</definedName>
    <definedName name="_____________________JAZ22">#REF!</definedName>
    <definedName name="_____________________JAZ3" localSheetId="15">#REF!</definedName>
    <definedName name="_____________________JAZ3">#REF!</definedName>
    <definedName name="_____________________JAZ33" localSheetId="15">#REF!</definedName>
    <definedName name="_____________________JAZ33">#REF!</definedName>
    <definedName name="_____________________mem2">#REF!</definedName>
    <definedName name="_____________________oac2" localSheetId="15">#REF!</definedName>
    <definedName name="_____________________oac2">#REF!</definedName>
    <definedName name="_____________________RET1" localSheetId="15">#REF!</definedName>
    <definedName name="_____________________RET1">#REF!</definedName>
    <definedName name="_____________________tsd4" localSheetId="15">#REF!</definedName>
    <definedName name="_____________________tsd4">#REF!</definedName>
    <definedName name="_____________________TT21" localSheetId="15">#REF!</definedName>
    <definedName name="_____________________TT21">#REF!</definedName>
    <definedName name="_____________________TT22" localSheetId="15">#REF!</definedName>
    <definedName name="_____________________TT22">#REF!</definedName>
    <definedName name="____________________cab1" localSheetId="15">#REF!</definedName>
    <definedName name="____________________cab1">#REF!</definedName>
    <definedName name="____________________emp2">#REF!</definedName>
    <definedName name="____________________EXT1" localSheetId="15">#REF!</definedName>
    <definedName name="____________________EXT1">#REF!</definedName>
    <definedName name="____________________ind100" localSheetId="15">#REF!</definedName>
    <definedName name="____________________ind100">#REF!</definedName>
    <definedName name="____________________JAZ1" localSheetId="15">#REF!</definedName>
    <definedName name="____________________JAZ1">#REF!</definedName>
    <definedName name="____________________JAZ11" localSheetId="15">#REF!</definedName>
    <definedName name="____________________JAZ11">#REF!</definedName>
    <definedName name="____________________JAZ2" localSheetId="15">#REF!</definedName>
    <definedName name="____________________JAZ2">#REF!</definedName>
    <definedName name="____________________JAZ22" localSheetId="15">#REF!</definedName>
    <definedName name="____________________JAZ22">#REF!</definedName>
    <definedName name="____________________JAZ3" localSheetId="15">#REF!</definedName>
    <definedName name="____________________JAZ3">#REF!</definedName>
    <definedName name="____________________JAZ33" localSheetId="15">#REF!</definedName>
    <definedName name="____________________JAZ33">#REF!</definedName>
    <definedName name="____________________mem2">#REF!</definedName>
    <definedName name="____________________oac2" localSheetId="15">#REF!</definedName>
    <definedName name="____________________oac2">#REF!</definedName>
    <definedName name="____________________RET1" localSheetId="15">#REF!</definedName>
    <definedName name="____________________RET1">#REF!</definedName>
    <definedName name="____________________tsd4" localSheetId="15">#REF!</definedName>
    <definedName name="____________________tsd4">#REF!</definedName>
    <definedName name="____________________TT21" localSheetId="15">#REF!</definedName>
    <definedName name="____________________TT21">#REF!</definedName>
    <definedName name="____________________TT22" localSheetId="15">#REF!</definedName>
    <definedName name="____________________TT22">#REF!</definedName>
    <definedName name="___________________cab1" localSheetId="15">#REF!</definedName>
    <definedName name="___________________cab1">#REF!</definedName>
    <definedName name="___________________emp2">#REF!</definedName>
    <definedName name="___________________EXT1" localSheetId="15">#REF!</definedName>
    <definedName name="___________________EXT1">#REF!</definedName>
    <definedName name="___________________ind100" localSheetId="15">#REF!</definedName>
    <definedName name="___________________ind100">#REF!</definedName>
    <definedName name="___________________JAZ1" localSheetId="15">#REF!</definedName>
    <definedName name="___________________JAZ1">#REF!</definedName>
    <definedName name="___________________JAZ11" localSheetId="15">#REF!</definedName>
    <definedName name="___________________JAZ11">#REF!</definedName>
    <definedName name="___________________JAZ2" localSheetId="15">#REF!</definedName>
    <definedName name="___________________JAZ2">#REF!</definedName>
    <definedName name="___________________JAZ22" localSheetId="15">#REF!</definedName>
    <definedName name="___________________JAZ22">#REF!</definedName>
    <definedName name="___________________JAZ3" localSheetId="15">#REF!</definedName>
    <definedName name="___________________JAZ3">#REF!</definedName>
    <definedName name="___________________JAZ33" localSheetId="15">#REF!</definedName>
    <definedName name="___________________JAZ33">#REF!</definedName>
    <definedName name="___________________mem2">#REF!</definedName>
    <definedName name="___________________oac2" localSheetId="15">#REF!</definedName>
    <definedName name="___________________oac2">#REF!</definedName>
    <definedName name="___________________OUT98" localSheetId="15">#REF!</definedName>
    <definedName name="___________________OUT98">#REF!</definedName>
    <definedName name="___________________RET1" localSheetId="15">#REF!</definedName>
    <definedName name="___________________RET1">#REF!</definedName>
    <definedName name="___________________tsd4" localSheetId="15">#REF!</definedName>
    <definedName name="___________________tsd4">#REF!</definedName>
    <definedName name="___________________TT21" localSheetId="15">#REF!</definedName>
    <definedName name="___________________TT21">#REF!</definedName>
    <definedName name="___________________TT22" localSheetId="15">#REF!</definedName>
    <definedName name="___________________TT22">#REF!</definedName>
    <definedName name="__________________cab1" localSheetId="15">#REF!</definedName>
    <definedName name="__________________cab1">#REF!</definedName>
    <definedName name="__________________emp2">#REF!</definedName>
    <definedName name="__________________EXT1" localSheetId="15">#REF!</definedName>
    <definedName name="__________________EXT1">#REF!</definedName>
    <definedName name="__________________ind100" localSheetId="15">#REF!</definedName>
    <definedName name="__________________ind100">#REF!</definedName>
    <definedName name="__________________JAZ1" localSheetId="15">#REF!</definedName>
    <definedName name="__________________JAZ1">#REF!</definedName>
    <definedName name="__________________JAZ11" localSheetId="15">#REF!</definedName>
    <definedName name="__________________JAZ11">#REF!</definedName>
    <definedName name="__________________JAZ2" localSheetId="15">#REF!</definedName>
    <definedName name="__________________JAZ2">#REF!</definedName>
    <definedName name="__________________JAZ22" localSheetId="15">#REF!</definedName>
    <definedName name="__________________JAZ22">#REF!</definedName>
    <definedName name="__________________JAZ3" localSheetId="15">#REF!</definedName>
    <definedName name="__________________JAZ3">#REF!</definedName>
    <definedName name="__________________JAZ33" localSheetId="15">#REF!</definedName>
    <definedName name="__________________JAZ33">#REF!</definedName>
    <definedName name="__________________mem2">#REF!</definedName>
    <definedName name="__________________oac2" localSheetId="15">#REF!</definedName>
    <definedName name="__________________oac2">#REF!</definedName>
    <definedName name="__________________OUT98" localSheetId="18" hidden="1">{#N/A,#N/A,TRUE,"Serviços"}</definedName>
    <definedName name="__________________OUT98" hidden="1">{#N/A,#N/A,TRUE,"Serviços"}</definedName>
    <definedName name="__________________RET1" localSheetId="15">#REF!</definedName>
    <definedName name="__________________RET1">#REF!</definedName>
    <definedName name="__________________tsd4" localSheetId="15">#REF!</definedName>
    <definedName name="__________________tsd4">#REF!</definedName>
    <definedName name="__________________TT21" localSheetId="15">#REF!</definedName>
    <definedName name="__________________TT21">#REF!</definedName>
    <definedName name="__________________TT22" localSheetId="15">#REF!</definedName>
    <definedName name="__________________TT22">#REF!</definedName>
    <definedName name="_________________cab1" localSheetId="15">#REF!</definedName>
    <definedName name="_________________cab1">#REF!</definedName>
    <definedName name="_________________emp2">#REF!</definedName>
    <definedName name="_________________EXT1" localSheetId="15">#REF!</definedName>
    <definedName name="_________________EXT1">#REF!</definedName>
    <definedName name="_________________ind100" localSheetId="15">#REF!</definedName>
    <definedName name="_________________ind100">#REF!</definedName>
    <definedName name="_________________JAZ1" localSheetId="15">#REF!</definedName>
    <definedName name="_________________JAZ1">#REF!</definedName>
    <definedName name="_________________JAZ11" localSheetId="15">#REF!</definedName>
    <definedName name="_________________JAZ11">#REF!</definedName>
    <definedName name="_________________JAZ2" localSheetId="15">#REF!</definedName>
    <definedName name="_________________JAZ2">#REF!</definedName>
    <definedName name="_________________JAZ22" localSheetId="15">#REF!</definedName>
    <definedName name="_________________JAZ22">#REF!</definedName>
    <definedName name="_________________JAZ3" localSheetId="15">#REF!</definedName>
    <definedName name="_________________JAZ3">#REF!</definedName>
    <definedName name="_________________JAZ33" localSheetId="15">#REF!</definedName>
    <definedName name="_________________JAZ33">#REF!</definedName>
    <definedName name="_________________mem2">#REF!</definedName>
    <definedName name="_________________oac2" localSheetId="15">#REF!</definedName>
    <definedName name="_________________oac2">#REF!</definedName>
    <definedName name="_________________OUT98" localSheetId="18" hidden="1">{#N/A,#N/A,TRUE,"Serviços"}</definedName>
    <definedName name="_________________OUT98" hidden="1">{#N/A,#N/A,TRUE,"Serviços"}</definedName>
    <definedName name="_________________RET1" localSheetId="15">#REF!</definedName>
    <definedName name="_________________RET1">#REF!</definedName>
    <definedName name="_________________tsd4" localSheetId="15">#REF!</definedName>
    <definedName name="_________________tsd4">#REF!</definedName>
    <definedName name="_________________TT21" localSheetId="15">#REF!</definedName>
    <definedName name="_________________TT21">#REF!</definedName>
    <definedName name="_________________TT22" localSheetId="15">#REF!</definedName>
    <definedName name="_________________TT22">#REF!</definedName>
    <definedName name="________________cab1" localSheetId="15">#REF!</definedName>
    <definedName name="________________cab1">#REF!</definedName>
    <definedName name="________________emp2">#REF!</definedName>
    <definedName name="________________EXT1" localSheetId="15">#REF!</definedName>
    <definedName name="________________EXT1">#REF!</definedName>
    <definedName name="________________ind100" localSheetId="15">#REF!</definedName>
    <definedName name="________________ind100">#REF!</definedName>
    <definedName name="________________JAZ1" localSheetId="15">#REF!</definedName>
    <definedName name="________________JAZ1">#REF!</definedName>
    <definedName name="________________JAZ11" localSheetId="15">#REF!</definedName>
    <definedName name="________________JAZ11">#REF!</definedName>
    <definedName name="________________JAZ2" localSheetId="15">#REF!</definedName>
    <definedName name="________________JAZ2">#REF!</definedName>
    <definedName name="________________JAZ22" localSheetId="15">#REF!</definedName>
    <definedName name="________________JAZ22">#REF!</definedName>
    <definedName name="________________JAZ3" localSheetId="15">#REF!</definedName>
    <definedName name="________________JAZ3">#REF!</definedName>
    <definedName name="________________JAZ33" localSheetId="15">#REF!</definedName>
    <definedName name="________________JAZ33">#REF!</definedName>
    <definedName name="________________mem2">#REF!</definedName>
    <definedName name="________________oac2" localSheetId="15">#REF!</definedName>
    <definedName name="________________oac2">#REF!</definedName>
    <definedName name="________________OUT98" localSheetId="18" hidden="1">{#N/A,#N/A,TRUE,"Serviços"}</definedName>
    <definedName name="________________OUT98" hidden="1">{#N/A,#N/A,TRUE,"Serviços"}</definedName>
    <definedName name="________________RET1" localSheetId="15">#REF!</definedName>
    <definedName name="________________RET1">#REF!</definedName>
    <definedName name="________________tsd4" localSheetId="15">#REF!</definedName>
    <definedName name="________________tsd4">#REF!</definedName>
    <definedName name="________________TT21" localSheetId="15">#REF!</definedName>
    <definedName name="________________TT21">#REF!</definedName>
    <definedName name="________________TT22" localSheetId="15">#REF!</definedName>
    <definedName name="________________TT22">#REF!</definedName>
    <definedName name="_______________cab1" localSheetId="15">#REF!</definedName>
    <definedName name="_______________cab1">#REF!</definedName>
    <definedName name="_______________emp2">#REF!</definedName>
    <definedName name="_______________EXT1" localSheetId="15">#REF!</definedName>
    <definedName name="_______________EXT1">#REF!</definedName>
    <definedName name="_______________ind100" localSheetId="15">#REF!</definedName>
    <definedName name="_______________ind100">#REF!</definedName>
    <definedName name="_______________JAZ1" localSheetId="15">#REF!</definedName>
    <definedName name="_______________JAZ1">#REF!</definedName>
    <definedName name="_______________JAZ11" localSheetId="15">#REF!</definedName>
    <definedName name="_______________JAZ11">#REF!</definedName>
    <definedName name="_______________JAZ2" localSheetId="15">#REF!</definedName>
    <definedName name="_______________JAZ2">#REF!</definedName>
    <definedName name="_______________JAZ22" localSheetId="15">#REF!</definedName>
    <definedName name="_______________JAZ22">#REF!</definedName>
    <definedName name="_______________JAZ3" localSheetId="15">#REF!</definedName>
    <definedName name="_______________JAZ3">#REF!</definedName>
    <definedName name="_______________JAZ33" localSheetId="15">#REF!</definedName>
    <definedName name="_______________JAZ33">#REF!</definedName>
    <definedName name="_______________mem2">#REF!</definedName>
    <definedName name="_______________oac2" localSheetId="15">#REF!</definedName>
    <definedName name="_______________oac2">#REF!</definedName>
    <definedName name="_______________OUT98" localSheetId="15">#REF!</definedName>
    <definedName name="_______________OUT98">#REF!</definedName>
    <definedName name="_______________r" localSheetId="15">#REF!</definedName>
    <definedName name="_______________r">#REF!</definedName>
    <definedName name="_______________RET1" localSheetId="15">#REF!</definedName>
    <definedName name="_______________RET1">#REF!</definedName>
    <definedName name="_______________tsd4" localSheetId="15">#REF!</definedName>
    <definedName name="_______________tsd4">#REF!</definedName>
    <definedName name="_______________TT21" localSheetId="15">#REF!</definedName>
    <definedName name="_______________TT21">#REF!</definedName>
    <definedName name="_______________TT22" localSheetId="15">#REF!</definedName>
    <definedName name="_______________TT22">#REF!</definedName>
    <definedName name="______________cab1" localSheetId="15">#REF!</definedName>
    <definedName name="______________cab1">#REF!</definedName>
    <definedName name="______________emp2">#REF!</definedName>
    <definedName name="______________EXT1" localSheetId="15">#REF!</definedName>
    <definedName name="______________EXT1">#REF!</definedName>
    <definedName name="______________ind100" localSheetId="15">#REF!</definedName>
    <definedName name="______________ind100">#REF!</definedName>
    <definedName name="______________JAZ1" localSheetId="15">#REF!</definedName>
    <definedName name="______________JAZ1">#REF!</definedName>
    <definedName name="______________JAZ11" localSheetId="15">#REF!</definedName>
    <definedName name="______________JAZ11">#REF!</definedName>
    <definedName name="______________JAZ2" localSheetId="15">#REF!</definedName>
    <definedName name="______________JAZ2">#REF!</definedName>
    <definedName name="______________JAZ22" localSheetId="15">#REF!</definedName>
    <definedName name="______________JAZ22">#REF!</definedName>
    <definedName name="______________JAZ3" localSheetId="15">#REF!</definedName>
    <definedName name="______________JAZ3">#REF!</definedName>
    <definedName name="______________JAZ33" localSheetId="15">#REF!</definedName>
    <definedName name="______________JAZ33">#REF!</definedName>
    <definedName name="______________mem2">#REF!</definedName>
    <definedName name="______________oac2" localSheetId="15">#REF!</definedName>
    <definedName name="______________oac2">#REF!</definedName>
    <definedName name="______________OUT98" localSheetId="15">#REF!</definedName>
    <definedName name="______________OUT98">#REF!</definedName>
    <definedName name="______________RET1" localSheetId="15">#REF!</definedName>
    <definedName name="______________RET1">#REF!</definedName>
    <definedName name="______________tsd4" localSheetId="15">#REF!</definedName>
    <definedName name="______________tsd4">#REF!</definedName>
    <definedName name="______________TT21" localSheetId="15">#REF!</definedName>
    <definedName name="______________TT21">#REF!</definedName>
    <definedName name="______________TT22" localSheetId="15">#REF!</definedName>
    <definedName name="______________TT22">#REF!</definedName>
    <definedName name="_____________cab1" localSheetId="15">#REF!</definedName>
    <definedName name="_____________cab1">#REF!</definedName>
    <definedName name="_____________emp2">#REF!</definedName>
    <definedName name="_____________EXT1" localSheetId="15">#REF!</definedName>
    <definedName name="_____________EXT1">#REF!</definedName>
    <definedName name="_____________ind100" localSheetId="15">#REF!</definedName>
    <definedName name="_____________ind100">#REF!</definedName>
    <definedName name="_____________JAZ1" localSheetId="15">#REF!</definedName>
    <definedName name="_____________JAZ1">#REF!</definedName>
    <definedName name="_____________JAZ11" localSheetId="15">#REF!</definedName>
    <definedName name="_____________JAZ11">#REF!</definedName>
    <definedName name="_____________JAZ2" localSheetId="15">#REF!</definedName>
    <definedName name="_____________JAZ2">#REF!</definedName>
    <definedName name="_____________JAZ22" localSheetId="15">#REF!</definedName>
    <definedName name="_____________JAZ22">#REF!</definedName>
    <definedName name="_____________JAZ3" localSheetId="15">#REF!</definedName>
    <definedName name="_____________JAZ3">#REF!</definedName>
    <definedName name="_____________JAZ33" localSheetId="15">#REF!</definedName>
    <definedName name="_____________JAZ33">#REF!</definedName>
    <definedName name="_____________mem2">#REF!</definedName>
    <definedName name="_____________oac2" localSheetId="15">#REF!</definedName>
    <definedName name="_____________oac2">#REF!</definedName>
    <definedName name="_____________OUT98" localSheetId="1" hidden="1">{#N/A,#N/A,TRUE,"Serviços"}</definedName>
    <definedName name="_____________OUT98" localSheetId="4" hidden="1">{#N/A,#N/A,TRUE,"Serviços"}</definedName>
    <definedName name="_____________OUT98" localSheetId="24" hidden="1">{#N/A,#N/A,TRUE,"Serviços"}</definedName>
    <definedName name="_____________OUT98" localSheetId="25" hidden="1">{#N/A,#N/A,TRUE,"Serviços"}</definedName>
    <definedName name="_____________OUT98" localSheetId="27" hidden="1">{#N/A,#N/A,TRUE,"Serviços"}</definedName>
    <definedName name="_____________OUT98" localSheetId="20" hidden="1">{#N/A,#N/A,TRUE,"Serviços"}</definedName>
    <definedName name="_____________OUT98" localSheetId="15" hidden="1">{#N/A,#N/A,TRUE,"Serviços"}</definedName>
    <definedName name="_____________OUT98" localSheetId="18" hidden="1">{#N/A,#N/A,TRUE,"Serviços"}</definedName>
    <definedName name="_____________OUT98" hidden="1">{#N/A,#N/A,TRUE,"Serviços"}</definedName>
    <definedName name="_____________OUT98²" localSheetId="18" hidden="1">{#N/A,#N/A,TRUE,"Serviços"}</definedName>
    <definedName name="_____________OUT98²" hidden="1">{#N/A,#N/A,TRUE,"Serviços"}</definedName>
    <definedName name="_____________PL1" localSheetId="15">#REF!</definedName>
    <definedName name="_____________PL1">#REF!</definedName>
    <definedName name="_____________RET1" localSheetId="15">#REF!</definedName>
    <definedName name="_____________RET1">#REF!</definedName>
    <definedName name="_____________tsd4" localSheetId="15">#REF!</definedName>
    <definedName name="_____________tsd4">#REF!</definedName>
    <definedName name="_____________TT21" localSheetId="15">#REF!</definedName>
    <definedName name="_____________TT21">#REF!</definedName>
    <definedName name="_____________TT22" localSheetId="15">#REF!</definedName>
    <definedName name="_____________TT22">#REF!</definedName>
    <definedName name="____________cab1" localSheetId="15">#REF!</definedName>
    <definedName name="____________cab1">#REF!</definedName>
    <definedName name="____________emp2">#REF!</definedName>
    <definedName name="____________EXT1" localSheetId="15">#REF!</definedName>
    <definedName name="____________EXT1">#REF!</definedName>
    <definedName name="____________Ext2" localSheetId="15">#REF!</definedName>
    <definedName name="____________Ext2">#REF!</definedName>
    <definedName name="____________ind100" localSheetId="15">#REF!</definedName>
    <definedName name="____________ind100">#REF!</definedName>
    <definedName name="____________JAZ1" localSheetId="15">#REF!</definedName>
    <definedName name="____________JAZ1">#REF!</definedName>
    <definedName name="____________JAZ11" localSheetId="15">#REF!</definedName>
    <definedName name="____________JAZ11">#REF!</definedName>
    <definedName name="____________JAZ2" localSheetId="15">#REF!</definedName>
    <definedName name="____________JAZ2">#REF!</definedName>
    <definedName name="____________JAZ22" localSheetId="15">#REF!</definedName>
    <definedName name="____________JAZ22">#REF!</definedName>
    <definedName name="____________JAZ3" localSheetId="15">#REF!</definedName>
    <definedName name="____________JAZ3">#REF!</definedName>
    <definedName name="____________JAZ33" localSheetId="15">#REF!</definedName>
    <definedName name="____________JAZ33">#REF!</definedName>
    <definedName name="____________mem2">#REF!</definedName>
    <definedName name="____________oac2" localSheetId="15">#REF!</definedName>
    <definedName name="____________oac2">#REF!</definedName>
    <definedName name="____________OUT98" localSheetId="1" hidden="1">{#N/A,#N/A,TRUE,"Serviços"}</definedName>
    <definedName name="____________OUT98" localSheetId="4" hidden="1">{#N/A,#N/A,TRUE,"Serviços"}</definedName>
    <definedName name="____________OUT98" localSheetId="24" hidden="1">{#N/A,#N/A,TRUE,"Serviços"}</definedName>
    <definedName name="____________OUT98" localSheetId="25" hidden="1">{#N/A,#N/A,TRUE,"Serviços"}</definedName>
    <definedName name="____________OUT98" localSheetId="27" hidden="1">{#N/A,#N/A,TRUE,"Serviços"}</definedName>
    <definedName name="____________OUT98" localSheetId="20" hidden="1">{#N/A,#N/A,TRUE,"Serviços"}</definedName>
    <definedName name="____________OUT98" localSheetId="15" hidden="1">{#N/A,#N/A,TRUE,"Serviços"}</definedName>
    <definedName name="____________OUT98" localSheetId="18" hidden="1">{#N/A,#N/A,TRUE,"Serviços"}</definedName>
    <definedName name="____________OUT98" hidden="1">{#N/A,#N/A,TRUE,"Serviços"}</definedName>
    <definedName name="____________OUT988" localSheetId="18" hidden="1">{#N/A,#N/A,TRUE,"Serviços"}</definedName>
    <definedName name="____________OUT988" hidden="1">{#N/A,#N/A,TRUE,"Serviços"}</definedName>
    <definedName name="____________OUT988²" localSheetId="18" hidden="1">{#N/A,#N/A,TRUE,"Serviços"}</definedName>
    <definedName name="____________OUT988²" hidden="1">{#N/A,#N/A,TRUE,"Serviços"}</definedName>
    <definedName name="____________PL1" localSheetId="15">#REF!</definedName>
    <definedName name="____________PL1">#REF!</definedName>
    <definedName name="____________RET1" localSheetId="15">#REF!</definedName>
    <definedName name="____________RET1">#REF!</definedName>
    <definedName name="____________tsd4" localSheetId="15">#REF!</definedName>
    <definedName name="____________tsd4">#REF!</definedName>
    <definedName name="____________TT102" localSheetId="15">#REF!</definedName>
    <definedName name="____________TT102">#REF!</definedName>
    <definedName name="____________TT107" localSheetId="15">#REF!</definedName>
    <definedName name="____________TT107">#REF!</definedName>
    <definedName name="____________TT121" localSheetId="15">#REF!</definedName>
    <definedName name="____________TT121">#REF!</definedName>
    <definedName name="____________TT123" localSheetId="15">#REF!</definedName>
    <definedName name="____________TT123">#REF!</definedName>
    <definedName name="____________TT19" localSheetId="15">#REF!</definedName>
    <definedName name="____________TT19">#REF!</definedName>
    <definedName name="____________TT20" localSheetId="15">#REF!</definedName>
    <definedName name="____________TT20">#REF!</definedName>
    <definedName name="____________TT21" localSheetId="15">#REF!</definedName>
    <definedName name="____________TT21">#REF!</definedName>
    <definedName name="____________TT22" localSheetId="15">#REF!</definedName>
    <definedName name="____________TT22">#REF!</definedName>
    <definedName name="____________TT26" localSheetId="15">#REF!</definedName>
    <definedName name="____________TT26">#REF!</definedName>
    <definedName name="____________TT27" localSheetId="15">#REF!</definedName>
    <definedName name="____________TT27">#REF!</definedName>
    <definedName name="____________TT28" localSheetId="15">#REF!</definedName>
    <definedName name="____________TT28">#REF!</definedName>
    <definedName name="____________TT30" localSheetId="15">#REF!</definedName>
    <definedName name="____________TT30">#REF!</definedName>
    <definedName name="____________TT31" localSheetId="15">#REF!</definedName>
    <definedName name="____________TT31">#REF!</definedName>
    <definedName name="____________TT32" localSheetId="15">#REF!</definedName>
    <definedName name="____________TT32">#REF!</definedName>
    <definedName name="____________TT33" localSheetId="15">#REF!</definedName>
    <definedName name="____________TT33">#REF!</definedName>
    <definedName name="____________TT34" localSheetId="15">#REF!</definedName>
    <definedName name="____________TT34">#REF!</definedName>
    <definedName name="____________TT36" localSheetId="15">#REF!</definedName>
    <definedName name="____________TT36">#REF!</definedName>
    <definedName name="____________TT37" localSheetId="15">#REF!</definedName>
    <definedName name="____________TT37">#REF!</definedName>
    <definedName name="____________TT38" localSheetId="15">#REF!</definedName>
    <definedName name="____________TT38">#REF!</definedName>
    <definedName name="____________TT39" localSheetId="15">#REF!</definedName>
    <definedName name="____________TT39">#REF!</definedName>
    <definedName name="____________TT40" localSheetId="15">#REF!</definedName>
    <definedName name="____________TT40">#REF!</definedName>
    <definedName name="____________TT5" localSheetId="15">#REF!</definedName>
    <definedName name="____________TT5">#REF!</definedName>
    <definedName name="____________TT52" localSheetId="15">#REF!</definedName>
    <definedName name="____________TT52">#REF!</definedName>
    <definedName name="____________TT53" localSheetId="15">#REF!</definedName>
    <definedName name="____________TT53">#REF!</definedName>
    <definedName name="____________TT54" localSheetId="15">#REF!</definedName>
    <definedName name="____________TT54">#REF!</definedName>
    <definedName name="____________TT55" localSheetId="15">#REF!</definedName>
    <definedName name="____________TT55">#REF!</definedName>
    <definedName name="____________TT6" localSheetId="15">#REF!</definedName>
    <definedName name="____________TT6">#REF!</definedName>
    <definedName name="____________TT60" localSheetId="15">#REF!</definedName>
    <definedName name="____________TT60">#REF!</definedName>
    <definedName name="____________TT61" localSheetId="15">#REF!</definedName>
    <definedName name="____________TT61">#REF!</definedName>
    <definedName name="____________TT69" localSheetId="15">#REF!</definedName>
    <definedName name="____________TT69">#REF!</definedName>
    <definedName name="____________TT7" localSheetId="15">#REF!</definedName>
    <definedName name="____________TT7">#REF!</definedName>
    <definedName name="____________TT70" localSheetId="15">#REF!</definedName>
    <definedName name="____________TT70">#REF!</definedName>
    <definedName name="____________TT71" localSheetId="15">#REF!</definedName>
    <definedName name="____________TT71">#REF!</definedName>
    <definedName name="____________TT74" localSheetId="15">#REF!</definedName>
    <definedName name="____________TT74">#REF!</definedName>
    <definedName name="____________TT75" localSheetId="15">#REF!</definedName>
    <definedName name="____________TT75">#REF!</definedName>
    <definedName name="____________TT76" localSheetId="15">#REF!</definedName>
    <definedName name="____________TT76">#REF!</definedName>
    <definedName name="____________TT77" localSheetId="15">#REF!</definedName>
    <definedName name="____________TT77">#REF!</definedName>
    <definedName name="____________TT78" localSheetId="15">#REF!</definedName>
    <definedName name="____________TT78">#REF!</definedName>
    <definedName name="____________TT79" localSheetId="15">#REF!</definedName>
    <definedName name="____________TT79">#REF!</definedName>
    <definedName name="____________TT94" localSheetId="15">#REF!</definedName>
    <definedName name="____________TT94">#REF!</definedName>
    <definedName name="____________TT95" localSheetId="15">#REF!</definedName>
    <definedName name="____________TT95">#REF!</definedName>
    <definedName name="____________TT97" localSheetId="15">#REF!</definedName>
    <definedName name="____________TT97">#REF!</definedName>
    <definedName name="___________cab1" localSheetId="15">#REF!</definedName>
    <definedName name="___________cab1">#REF!</definedName>
    <definedName name="___________emp2">#REF!</definedName>
    <definedName name="___________EXT1" localSheetId="15">#REF!</definedName>
    <definedName name="___________EXT1">#REF!</definedName>
    <definedName name="___________Ext2" localSheetId="15">#REF!</definedName>
    <definedName name="___________Ext2">#REF!</definedName>
    <definedName name="___________Ext2_25" localSheetId="15">#REF!</definedName>
    <definedName name="___________Ext2_25">#REF!</definedName>
    <definedName name="___________ind100" localSheetId="15">#REF!</definedName>
    <definedName name="___________ind100">#REF!</definedName>
    <definedName name="___________JAZ1" localSheetId="15">#REF!</definedName>
    <definedName name="___________JAZ1">#REF!</definedName>
    <definedName name="___________JAZ11" localSheetId="15">#REF!</definedName>
    <definedName name="___________JAZ11">#REF!</definedName>
    <definedName name="___________JAZ2" localSheetId="15">#REF!</definedName>
    <definedName name="___________JAZ2">#REF!</definedName>
    <definedName name="___________JAZ22" localSheetId="15">#REF!</definedName>
    <definedName name="___________JAZ22">#REF!</definedName>
    <definedName name="___________JAZ3" localSheetId="15">#REF!</definedName>
    <definedName name="___________JAZ3">#REF!</definedName>
    <definedName name="___________JAZ33" localSheetId="15">#REF!</definedName>
    <definedName name="___________JAZ33">#REF!</definedName>
    <definedName name="___________mem2">#REF!</definedName>
    <definedName name="___________oac2" localSheetId="15">#REF!</definedName>
    <definedName name="___________oac2">#REF!</definedName>
    <definedName name="___________OUT98" localSheetId="1" hidden="1">{#N/A,#N/A,TRUE,"Serviços"}</definedName>
    <definedName name="___________OUT98" localSheetId="4" hidden="1">{#N/A,#N/A,TRUE,"Serviços"}</definedName>
    <definedName name="___________OUT98" localSheetId="24" hidden="1">{#N/A,#N/A,TRUE,"Serviços"}</definedName>
    <definedName name="___________OUT98" localSheetId="25" hidden="1">{#N/A,#N/A,TRUE,"Serviços"}</definedName>
    <definedName name="___________OUT98" localSheetId="27" hidden="1">{#N/A,#N/A,TRUE,"Serviços"}</definedName>
    <definedName name="___________OUT98" localSheetId="20" hidden="1">{#N/A,#N/A,TRUE,"Serviços"}</definedName>
    <definedName name="___________OUT98" localSheetId="15" hidden="1">{#N/A,#N/A,TRUE,"Serviços"}</definedName>
    <definedName name="___________OUT98" localSheetId="18" hidden="1">{#N/A,#N/A,TRUE,"Serviços"}</definedName>
    <definedName name="___________OUT98" hidden="1">{#N/A,#N/A,TRUE,"Serviços"}</definedName>
    <definedName name="___________OUT98¹" localSheetId="18" hidden="1">{#N/A,#N/A,TRUE,"Serviços"}</definedName>
    <definedName name="___________OUT98¹" hidden="1">{#N/A,#N/A,TRUE,"Serviços"}</definedName>
    <definedName name="___________OUT98²" localSheetId="18" hidden="1">{#N/A,#N/A,TRUE,"Serviços"}</definedName>
    <definedName name="___________OUT98²" hidden="1">{#N/A,#N/A,TRUE,"Serviços"}</definedName>
    <definedName name="___________OUT98³" localSheetId="18" hidden="1">{#N/A,#N/A,TRUE,"Serviços"}</definedName>
    <definedName name="___________OUT98³" hidden="1">{#N/A,#N/A,TRUE,"Serviços"}</definedName>
    <definedName name="___________OUT988" localSheetId="18" hidden="1">{#N/A,#N/A,TRUE,"Serviços"}</definedName>
    <definedName name="___________OUT988" hidden="1">{#N/A,#N/A,TRUE,"Serviços"}</definedName>
    <definedName name="___________OUT988³" localSheetId="18" hidden="1">{#N/A,#N/A,TRUE,"Serviços"}</definedName>
    <definedName name="___________OUT988³" hidden="1">{#N/A,#N/A,TRUE,"Serviços"}</definedName>
    <definedName name="___________OUT9888" localSheetId="18" hidden="1">{#N/A,#N/A,TRUE,"Serviços"}</definedName>
    <definedName name="___________OUT9888" hidden="1">{#N/A,#N/A,TRUE,"Serviços"}</definedName>
    <definedName name="___________OUT9888²" localSheetId="18" hidden="1">{#N/A,#N/A,TRUE,"Serviços"}</definedName>
    <definedName name="___________OUT9888²" hidden="1">{#N/A,#N/A,TRUE,"Serviços"}</definedName>
    <definedName name="___________PL1" localSheetId="15">#REF!</definedName>
    <definedName name="___________PL1">#REF!</definedName>
    <definedName name="___________r" localSheetId="15">#REF!</definedName>
    <definedName name="___________r">#REF!</definedName>
    <definedName name="___________RET1" localSheetId="15">#REF!</definedName>
    <definedName name="___________RET1">#REF!</definedName>
    <definedName name="___________tsd4" localSheetId="15">#REF!</definedName>
    <definedName name="___________tsd4">#REF!</definedName>
    <definedName name="___________TT21" localSheetId="15">#REF!</definedName>
    <definedName name="___________TT21">#REF!</definedName>
    <definedName name="___________TT22" localSheetId="15">#REF!</definedName>
    <definedName name="___________TT22">#REF!</definedName>
    <definedName name="__________Brz1">#REF!</definedName>
    <definedName name="__________Brz2">#REF!</definedName>
    <definedName name="__________cab1" localSheetId="15">#REF!</definedName>
    <definedName name="__________cab1">#REF!</definedName>
    <definedName name="__________emp2">#REF!</definedName>
    <definedName name="__________EXT1" localSheetId="15">#REF!</definedName>
    <definedName name="__________EXT1">#REF!</definedName>
    <definedName name="__________Ext2" localSheetId="15">#REF!</definedName>
    <definedName name="__________Ext2">#REF!</definedName>
    <definedName name="__________ind100" localSheetId="15">#REF!</definedName>
    <definedName name="__________ind100">#REF!</definedName>
    <definedName name="__________JAZ1" localSheetId="15">#REF!</definedName>
    <definedName name="__________JAZ1">#REF!</definedName>
    <definedName name="__________JAZ11" localSheetId="15">#REF!</definedName>
    <definedName name="__________JAZ11">#REF!</definedName>
    <definedName name="__________JAZ2" localSheetId="15">#REF!</definedName>
    <definedName name="__________JAZ2">#REF!</definedName>
    <definedName name="__________JAZ22" localSheetId="15">#REF!</definedName>
    <definedName name="__________JAZ22">#REF!</definedName>
    <definedName name="__________JAZ3" localSheetId="15">#REF!</definedName>
    <definedName name="__________JAZ3">#REF!</definedName>
    <definedName name="__________JAZ33" localSheetId="15">#REF!</definedName>
    <definedName name="__________JAZ33">#REF!</definedName>
    <definedName name="__________mem2">#REF!</definedName>
    <definedName name="__________oac2" localSheetId="15">#REF!</definedName>
    <definedName name="__________oac2">#REF!</definedName>
    <definedName name="__________OUT98" localSheetId="1" hidden="1">{#N/A,#N/A,TRUE,"Serviços"}</definedName>
    <definedName name="__________OUT98" localSheetId="4" hidden="1">{#N/A,#N/A,TRUE,"Serviços"}</definedName>
    <definedName name="__________OUT98" localSheetId="24" hidden="1">{#N/A,#N/A,TRUE,"Serviços"}</definedName>
    <definedName name="__________OUT98" localSheetId="25" hidden="1">{#N/A,#N/A,TRUE,"Serviços"}</definedName>
    <definedName name="__________OUT98" localSheetId="27" hidden="1">{#N/A,#N/A,TRUE,"Serviços"}</definedName>
    <definedName name="__________OUT98" localSheetId="20" hidden="1">{#N/A,#N/A,TRUE,"Serviços"}</definedName>
    <definedName name="__________OUT98" localSheetId="15" hidden="1">{#N/A,#N/A,TRUE,"Serviços"}</definedName>
    <definedName name="__________OUT98" localSheetId="18" hidden="1">{#N/A,#N/A,TRUE,"Serviços"}</definedName>
    <definedName name="__________OUT98" hidden="1">{#N/A,#N/A,TRUE,"Serviços"}</definedName>
    <definedName name="__________PL1" localSheetId="15">#REF!</definedName>
    <definedName name="__________PL1">#REF!</definedName>
    <definedName name="__________PL1_25" localSheetId="15">#REF!</definedName>
    <definedName name="__________PL1_25">#REF!</definedName>
    <definedName name="__________R" localSheetId="15">#REF!</definedName>
    <definedName name="__________R">#REF!</definedName>
    <definedName name="__________r_25" localSheetId="15">#REF!</definedName>
    <definedName name="__________r_25">#REF!</definedName>
    <definedName name="__________Rbv1">#REF!</definedName>
    <definedName name="__________RET1" localSheetId="15">#REF!</definedName>
    <definedName name="__________RET1">#REF!</definedName>
    <definedName name="__________tsd4" localSheetId="15">#REF!</definedName>
    <definedName name="__________tsd4">#REF!</definedName>
    <definedName name="__________TT21" localSheetId="15">#REF!</definedName>
    <definedName name="__________TT21">#REF!</definedName>
    <definedName name="__________TT22" localSheetId="15">#REF!</definedName>
    <definedName name="__________TT22">#REF!</definedName>
    <definedName name="_________Ago1">#REF!</definedName>
    <definedName name="_________cab1" localSheetId="15">#REF!</definedName>
    <definedName name="_________cab1">#REF!</definedName>
    <definedName name="_________Dez1">#REF!</definedName>
    <definedName name="_________emp2">#REF!</definedName>
    <definedName name="_________EXT1" localSheetId="15">#REF!</definedName>
    <definedName name="_________EXT1">#REF!</definedName>
    <definedName name="_________Ext2" localSheetId="15">#REF!</definedName>
    <definedName name="_________Ext2">#REF!</definedName>
    <definedName name="_________Ext2_25" localSheetId="15">#REF!</definedName>
    <definedName name="_________Ext2_25">#REF!</definedName>
    <definedName name="_________ind100" localSheetId="15">#REF!</definedName>
    <definedName name="_________ind100">#REF!</definedName>
    <definedName name="_________JAZ1" localSheetId="15">#REF!</definedName>
    <definedName name="_________JAZ1">#REF!</definedName>
    <definedName name="_________JAZ11" localSheetId="15">#REF!</definedName>
    <definedName name="_________JAZ11">#REF!</definedName>
    <definedName name="_________JAZ2" localSheetId="15">#REF!</definedName>
    <definedName name="_________JAZ2">#REF!</definedName>
    <definedName name="_________JAZ22" localSheetId="15">#REF!</definedName>
    <definedName name="_________JAZ22">#REF!</definedName>
    <definedName name="_________JAZ3" localSheetId="15">#REF!</definedName>
    <definedName name="_________JAZ3">#REF!</definedName>
    <definedName name="_________JAZ33" localSheetId="15">#REF!</definedName>
    <definedName name="_________JAZ33">#REF!</definedName>
    <definedName name="_________Jul1">#REF!</definedName>
    <definedName name="_________Jun1">#REF!</definedName>
    <definedName name="_________Mai1">#REF!</definedName>
    <definedName name="_________mem2">#REF!</definedName>
    <definedName name="_________Nov1">#REF!</definedName>
    <definedName name="_________oac2" localSheetId="15">#REF!</definedName>
    <definedName name="_________oac2">#REF!</definedName>
    <definedName name="_________Out1">#REF!</definedName>
    <definedName name="_________OUT98" localSheetId="1" hidden="1">{#N/A,#N/A,TRUE,"Serviços"}</definedName>
    <definedName name="_________OUT98" localSheetId="4" hidden="1">{#N/A,#N/A,TRUE,"Serviços"}</definedName>
    <definedName name="_________OUT98" localSheetId="24" hidden="1">{#N/A,#N/A,TRUE,"Serviços"}</definedName>
    <definedName name="_________OUT98" localSheetId="25" hidden="1">{#N/A,#N/A,TRUE,"Serviços"}</definedName>
    <definedName name="_________OUT98" localSheetId="27" hidden="1">{#N/A,#N/A,TRUE,"Serviços"}</definedName>
    <definedName name="_________OUT98" localSheetId="20" hidden="1">{#N/A,#N/A,TRUE,"Serviços"}</definedName>
    <definedName name="_________OUT98" localSheetId="15" hidden="1">{#N/A,#N/A,TRUE,"Serviços"}</definedName>
    <definedName name="_________OUT98" localSheetId="18" hidden="1">{#N/A,#N/A,TRUE,"Serviços"}</definedName>
    <definedName name="_________OUT98" hidden="1">{#N/A,#N/A,TRUE,"Serviços"}</definedName>
    <definedName name="_________OUTT98" localSheetId="18" hidden="1">{#N/A,#N/A,TRUE,"Serviços"}</definedName>
    <definedName name="_________OUTT98" hidden="1">{#N/A,#N/A,TRUE,"Serviços"}</definedName>
    <definedName name="_________OUTT988" localSheetId="18" hidden="1">{#N/A,#N/A,TRUE,"Serviços"}</definedName>
    <definedName name="_________OUTT988" hidden="1">{#N/A,#N/A,TRUE,"Serviços"}</definedName>
    <definedName name="_________PL1" localSheetId="15">#REF!</definedName>
    <definedName name="_________PL1">#REF!</definedName>
    <definedName name="_________r" localSheetId="15">#REF!</definedName>
    <definedName name="_________r">#REF!</definedName>
    <definedName name="_________r_25" localSheetId="15">#REF!</definedName>
    <definedName name="_________r_25">#REF!</definedName>
    <definedName name="_________Rbv1">#REF!</definedName>
    <definedName name="_________reg1">#REF!</definedName>
    <definedName name="_________reg3">#REF!</definedName>
    <definedName name="_________reg5">#REF!</definedName>
    <definedName name="_________reg7">#REF!</definedName>
    <definedName name="_________RET1" localSheetId="15">#REF!</definedName>
    <definedName name="_________RET1">#REF!</definedName>
    <definedName name="_________Set1">#REF!</definedName>
    <definedName name="_________tsd4" localSheetId="15">#REF!</definedName>
    <definedName name="_________tsd4">#REF!</definedName>
    <definedName name="_________TT21" localSheetId="15">#REF!</definedName>
    <definedName name="_________TT21">#REF!</definedName>
    <definedName name="_________TT22" localSheetId="15">#REF!</definedName>
    <definedName name="_________TT22">#REF!</definedName>
    <definedName name="________Abr1">#REF!</definedName>
    <definedName name="________Ago1">#REF!</definedName>
    <definedName name="________b1" localSheetId="18" hidden="1">{#N/A,#N/A,FALSE,"MO (2)"}</definedName>
    <definedName name="________b1" hidden="1">{#N/A,#N/A,FALSE,"MO (2)"}</definedName>
    <definedName name="________Brz1">#REF!</definedName>
    <definedName name="________Brz2">#REF!</definedName>
    <definedName name="________cab1" localSheetId="15">#REF!</definedName>
    <definedName name="________cab1">#REF!</definedName>
    <definedName name="________Dez1">#REF!</definedName>
    <definedName name="________emp2">#REF!</definedName>
    <definedName name="________EXT1" localSheetId="15">#REF!</definedName>
    <definedName name="________EXT1">#REF!</definedName>
    <definedName name="________Ext2" localSheetId="15">#REF!</definedName>
    <definedName name="________Ext2">#REF!</definedName>
    <definedName name="________ind100" localSheetId="15">#REF!</definedName>
    <definedName name="________ind100">#REF!</definedName>
    <definedName name="________JAZ1" localSheetId="15">#REF!</definedName>
    <definedName name="________JAZ1">#REF!</definedName>
    <definedName name="________JAZ11" localSheetId="15">#REF!</definedName>
    <definedName name="________JAZ11">#REF!</definedName>
    <definedName name="________JAZ2" localSheetId="15">#REF!</definedName>
    <definedName name="________JAZ2">#REF!</definedName>
    <definedName name="________JAZ22" localSheetId="15">#REF!</definedName>
    <definedName name="________JAZ22">#REF!</definedName>
    <definedName name="________JAZ3" localSheetId="15">#REF!</definedName>
    <definedName name="________JAZ3">#REF!</definedName>
    <definedName name="________JAZ33" localSheetId="15">#REF!</definedName>
    <definedName name="________JAZ33">#REF!</definedName>
    <definedName name="________Jul1">#REF!</definedName>
    <definedName name="________Jun1">#REF!</definedName>
    <definedName name="________Mai1">#REF!</definedName>
    <definedName name="________mem2">#REF!</definedName>
    <definedName name="________Nov1">#REF!</definedName>
    <definedName name="________oac2" localSheetId="15">#REF!</definedName>
    <definedName name="________oac2">#REF!</definedName>
    <definedName name="________Out1">#REF!</definedName>
    <definedName name="________OUT98" localSheetId="1" hidden="1">{#N/A,#N/A,TRUE,"Serviços"}</definedName>
    <definedName name="________OUT98" localSheetId="4" hidden="1">{#N/A,#N/A,TRUE,"Serviços"}</definedName>
    <definedName name="________OUT98" localSheetId="24" hidden="1">{#N/A,#N/A,TRUE,"Serviços"}</definedName>
    <definedName name="________OUT98" localSheetId="25" hidden="1">{#N/A,#N/A,TRUE,"Serviços"}</definedName>
    <definedName name="________OUT98" localSheetId="27" hidden="1">{#N/A,#N/A,TRUE,"Serviços"}</definedName>
    <definedName name="________OUT98" localSheetId="20" hidden="1">{#N/A,#N/A,TRUE,"Serviços"}</definedName>
    <definedName name="________OUT98" localSheetId="15" hidden="1">{#N/A,#N/A,TRUE,"Serviços"}</definedName>
    <definedName name="________OUT98" localSheetId="18" hidden="1">{#N/A,#N/A,TRUE,"Serviços"}</definedName>
    <definedName name="________OUT98" hidden="1">{#N/A,#N/A,TRUE,"Serviços"}</definedName>
    <definedName name="________OUTTT98" localSheetId="18" hidden="1">{#N/A,#N/A,TRUE,"Serviços"}</definedName>
    <definedName name="________OUTTT98" hidden="1">{#N/A,#N/A,TRUE,"Serviços"}</definedName>
    <definedName name="________PL1" localSheetId="15">#REF!</definedName>
    <definedName name="________PL1">#REF!</definedName>
    <definedName name="________PL1_25" localSheetId="15">#REF!</definedName>
    <definedName name="________PL1_25">#REF!</definedName>
    <definedName name="________r" localSheetId="15">#REF!</definedName>
    <definedName name="________r">#REF!</definedName>
    <definedName name="________r_25" localSheetId="15">#REF!</definedName>
    <definedName name="________r_25">#REF!</definedName>
    <definedName name="________Rbv1">#REF!</definedName>
    <definedName name="________reg1">#REF!</definedName>
    <definedName name="________reg3">#REF!</definedName>
    <definedName name="________reg5">#REF!</definedName>
    <definedName name="________reg7">#REF!</definedName>
    <definedName name="________RET1" localSheetId="15">#REF!</definedName>
    <definedName name="________RET1">#REF!</definedName>
    <definedName name="________Set1">#REF!</definedName>
    <definedName name="________tsd4" localSheetId="15">#REF!</definedName>
    <definedName name="________tsd4">#REF!</definedName>
    <definedName name="________TT102" localSheetId="15">#REF!</definedName>
    <definedName name="________TT102">#REF!</definedName>
    <definedName name="________TT107" localSheetId="15">#REF!</definedName>
    <definedName name="________TT107">#REF!</definedName>
    <definedName name="________TT121" localSheetId="15">#REF!</definedName>
    <definedName name="________TT121">#REF!</definedName>
    <definedName name="________TT123" localSheetId="15">#REF!</definedName>
    <definedName name="________TT123">#REF!</definedName>
    <definedName name="________TT19" localSheetId="15">#REF!</definedName>
    <definedName name="________TT19">#REF!</definedName>
    <definedName name="________TT20" localSheetId="15">#REF!</definedName>
    <definedName name="________TT20">#REF!</definedName>
    <definedName name="________TT21" localSheetId="15">#REF!</definedName>
    <definedName name="________TT21">#REF!</definedName>
    <definedName name="________TT22" localSheetId="15">#REF!</definedName>
    <definedName name="________TT22">#REF!</definedName>
    <definedName name="________TT26" localSheetId="15">#REF!</definedName>
    <definedName name="________TT26">#REF!</definedName>
    <definedName name="________TT27" localSheetId="15">#REF!</definedName>
    <definedName name="________TT27">#REF!</definedName>
    <definedName name="________TT28" localSheetId="15">#REF!</definedName>
    <definedName name="________TT28">#REF!</definedName>
    <definedName name="________TT30" localSheetId="15">#REF!</definedName>
    <definedName name="________TT30">#REF!</definedName>
    <definedName name="________TT31" localSheetId="15">#REF!</definedName>
    <definedName name="________TT31">#REF!</definedName>
    <definedName name="________TT32" localSheetId="15">#REF!</definedName>
    <definedName name="________TT32">#REF!</definedName>
    <definedName name="________TT33" localSheetId="15">#REF!</definedName>
    <definedName name="________TT33">#REF!</definedName>
    <definedName name="________TT34" localSheetId="15">#REF!</definedName>
    <definedName name="________TT34">#REF!</definedName>
    <definedName name="________TT36" localSheetId="15">#REF!</definedName>
    <definedName name="________TT36">#REF!</definedName>
    <definedName name="________TT37" localSheetId="15">#REF!</definedName>
    <definedName name="________TT37">#REF!</definedName>
    <definedName name="________TT38" localSheetId="15">#REF!</definedName>
    <definedName name="________TT38">#REF!</definedName>
    <definedName name="________TT39" localSheetId="15">#REF!</definedName>
    <definedName name="________TT39">#REF!</definedName>
    <definedName name="________TT40" localSheetId="15">#REF!</definedName>
    <definedName name="________TT40">#REF!</definedName>
    <definedName name="________TT5" localSheetId="15">#REF!</definedName>
    <definedName name="________TT5">#REF!</definedName>
    <definedName name="________TT52" localSheetId="15">#REF!</definedName>
    <definedName name="________TT52">#REF!</definedName>
    <definedName name="________TT53" localSheetId="15">#REF!</definedName>
    <definedName name="________TT53">#REF!</definedName>
    <definedName name="________TT54" localSheetId="15">#REF!</definedName>
    <definedName name="________TT54">#REF!</definedName>
    <definedName name="________TT55" localSheetId="15">#REF!</definedName>
    <definedName name="________TT55">#REF!</definedName>
    <definedName name="________TT6" localSheetId="15">#REF!</definedName>
    <definedName name="________TT6">#REF!</definedName>
    <definedName name="________TT60" localSheetId="15">#REF!</definedName>
    <definedName name="________TT60">#REF!</definedName>
    <definedName name="________TT61" localSheetId="15">#REF!</definedName>
    <definedName name="________TT61">#REF!</definedName>
    <definedName name="________TT69" localSheetId="15">#REF!</definedName>
    <definedName name="________TT69">#REF!</definedName>
    <definedName name="________TT7" localSheetId="15">#REF!</definedName>
    <definedName name="________TT7">#REF!</definedName>
    <definedName name="________TT70" localSheetId="15">#REF!</definedName>
    <definedName name="________TT70">#REF!</definedName>
    <definedName name="________TT71" localSheetId="15">#REF!</definedName>
    <definedName name="________TT71">#REF!</definedName>
    <definedName name="________TT74" localSheetId="15">#REF!</definedName>
    <definedName name="________TT74">#REF!</definedName>
    <definedName name="________TT75" localSheetId="15">#REF!</definedName>
    <definedName name="________TT75">#REF!</definedName>
    <definedName name="________TT76" localSheetId="15">#REF!</definedName>
    <definedName name="________TT76">#REF!</definedName>
    <definedName name="________TT77" localSheetId="15">#REF!</definedName>
    <definedName name="________TT77">#REF!</definedName>
    <definedName name="________TT78" localSheetId="15">#REF!</definedName>
    <definedName name="________TT78">#REF!</definedName>
    <definedName name="________TT79" localSheetId="15">#REF!</definedName>
    <definedName name="________TT79">#REF!</definedName>
    <definedName name="________TT94" localSheetId="15">#REF!</definedName>
    <definedName name="________TT94">#REF!</definedName>
    <definedName name="________TT95" localSheetId="15">#REF!</definedName>
    <definedName name="________TT95">#REF!</definedName>
    <definedName name="________TT97" localSheetId="15">#REF!</definedName>
    <definedName name="________TT97">#REF!</definedName>
    <definedName name="_______Abr1">#REF!</definedName>
    <definedName name="_______ABR95" localSheetId="15">#REF!</definedName>
    <definedName name="_______ABR95">#REF!</definedName>
    <definedName name="_______ABR96" localSheetId="15">#REF!</definedName>
    <definedName name="_______ABR96">#REF!</definedName>
    <definedName name="_______ABR97" localSheetId="15">#REF!</definedName>
    <definedName name="_______ABR97">#REF!</definedName>
    <definedName name="_______ABR98" localSheetId="15">#REF!</definedName>
    <definedName name="_______ABR98">#REF!</definedName>
    <definedName name="_______ABR99" localSheetId="15">#REF!</definedName>
    <definedName name="_______ABR99">#REF!</definedName>
    <definedName name="_______Ago1">#REF!</definedName>
    <definedName name="_______AGO95" localSheetId="15">#REF!</definedName>
    <definedName name="_______AGO95">#REF!</definedName>
    <definedName name="_______AGO96" localSheetId="15">#REF!</definedName>
    <definedName name="_______AGO96">#REF!</definedName>
    <definedName name="_______AGO97" localSheetId="15">#REF!</definedName>
    <definedName name="_______AGO97">#REF!</definedName>
    <definedName name="_______AGO98" localSheetId="15">#REF!</definedName>
    <definedName name="_______AGO98">#REF!</definedName>
    <definedName name="_______AGO99" localSheetId="15">#REF!</definedName>
    <definedName name="_______AGO99">#REF!</definedName>
    <definedName name="_______Brz1">#REF!</definedName>
    <definedName name="_______Brz2">#REF!</definedName>
    <definedName name="_______cab1" localSheetId="15">#REF!</definedName>
    <definedName name="_______cab1">#REF!</definedName>
    <definedName name="_______Dez1">#REF!</definedName>
    <definedName name="_______DEZ94" localSheetId="15">#REF!</definedName>
    <definedName name="_______DEZ94">#REF!</definedName>
    <definedName name="_______DEZ95" localSheetId="15">#REF!</definedName>
    <definedName name="_______DEZ95">#REF!</definedName>
    <definedName name="_______DEZ96" localSheetId="15">#REF!</definedName>
    <definedName name="_______DEZ96">#REF!</definedName>
    <definedName name="_______DEZ97" localSheetId="15">#REF!</definedName>
    <definedName name="_______DEZ97">#REF!</definedName>
    <definedName name="_______DEZ98" localSheetId="15">#REF!</definedName>
    <definedName name="_______DEZ98">#REF!</definedName>
    <definedName name="_______DEZ99" localSheetId="15">#REF!</definedName>
    <definedName name="_______DEZ99">#REF!</definedName>
    <definedName name="_______emp2">#REF!</definedName>
    <definedName name="_______EXT1" localSheetId="15">#REF!</definedName>
    <definedName name="_______EXT1">#REF!</definedName>
    <definedName name="_______Ext2" localSheetId="15">#REF!</definedName>
    <definedName name="_______Ext2">#REF!</definedName>
    <definedName name="_______FEV95" localSheetId="15">#REF!</definedName>
    <definedName name="_______FEV95">#REF!</definedName>
    <definedName name="_______FEV96" localSheetId="15">#REF!</definedName>
    <definedName name="_______FEV96">#REF!</definedName>
    <definedName name="_______FEV97" localSheetId="15">#REF!</definedName>
    <definedName name="_______FEV97">#REF!</definedName>
    <definedName name="_______FEV98" localSheetId="15">#REF!</definedName>
    <definedName name="_______FEV98">#REF!</definedName>
    <definedName name="_______FEV99" localSheetId="15">#REF!</definedName>
    <definedName name="_______FEV99">#REF!</definedName>
    <definedName name="_______ind100" localSheetId="15">#REF!</definedName>
    <definedName name="_______ind100">#REF!</definedName>
    <definedName name="_______JAN95" localSheetId="15">#REF!</definedName>
    <definedName name="_______JAN95">#REF!</definedName>
    <definedName name="_______JAN96" localSheetId="15">#REF!</definedName>
    <definedName name="_______JAN96">#REF!</definedName>
    <definedName name="_______JAN97" localSheetId="15">#REF!</definedName>
    <definedName name="_______JAN97">#REF!</definedName>
    <definedName name="_______JAN98" localSheetId="15">#REF!</definedName>
    <definedName name="_______JAN98">#REF!</definedName>
    <definedName name="_______JAN99" localSheetId="15">#REF!</definedName>
    <definedName name="_______JAN99">#REF!</definedName>
    <definedName name="_______JAZ1" localSheetId="15">#REF!</definedName>
    <definedName name="_______JAZ1">#REF!</definedName>
    <definedName name="_______JAZ11" localSheetId="15">#REF!</definedName>
    <definedName name="_______JAZ11">#REF!</definedName>
    <definedName name="_______JAZ2" localSheetId="15">#REF!</definedName>
    <definedName name="_______JAZ2">#REF!</definedName>
    <definedName name="_______JAZ22" localSheetId="15">#REF!</definedName>
    <definedName name="_______JAZ22">#REF!</definedName>
    <definedName name="_______JAZ3" localSheetId="15">#REF!</definedName>
    <definedName name="_______JAZ3">#REF!</definedName>
    <definedName name="_______JAZ33" localSheetId="15">#REF!</definedName>
    <definedName name="_______JAZ33">#REF!</definedName>
    <definedName name="_______Jul1">#REF!</definedName>
    <definedName name="_______JUL95" localSheetId="15">#REF!</definedName>
    <definedName name="_______JUL95">#REF!</definedName>
    <definedName name="_______JUL96" localSheetId="15">#REF!</definedName>
    <definedName name="_______JUL96">#REF!</definedName>
    <definedName name="_______JUL97" localSheetId="15">#REF!</definedName>
    <definedName name="_______JUL97">#REF!</definedName>
    <definedName name="_______JUL98" localSheetId="15">#REF!</definedName>
    <definedName name="_______JUL98">#REF!</definedName>
    <definedName name="_______JUL99" localSheetId="15">#REF!</definedName>
    <definedName name="_______JUL99">#REF!</definedName>
    <definedName name="_______Jun1">#REF!</definedName>
    <definedName name="_______JUN95" localSheetId="15">#REF!</definedName>
    <definedName name="_______JUN95">#REF!</definedName>
    <definedName name="_______JUN96" localSheetId="15">#REF!</definedName>
    <definedName name="_______JUN96">#REF!</definedName>
    <definedName name="_______JUN97" localSheetId="15">#REF!</definedName>
    <definedName name="_______JUN97">#REF!</definedName>
    <definedName name="_______JUN98" localSheetId="15">#REF!</definedName>
    <definedName name="_______JUN98">#REF!</definedName>
    <definedName name="_______JUN99" localSheetId="15">#REF!</definedName>
    <definedName name="_______JUN99">#REF!</definedName>
    <definedName name="_______Mai1">#REF!</definedName>
    <definedName name="_______MAI95" localSheetId="15">#REF!</definedName>
    <definedName name="_______MAI95">#REF!</definedName>
    <definedName name="_______MAI96" localSheetId="15">#REF!</definedName>
    <definedName name="_______MAI96">#REF!</definedName>
    <definedName name="_______MAI97" localSheetId="15">#REF!</definedName>
    <definedName name="_______MAI97">#REF!</definedName>
    <definedName name="_______MAI98" localSheetId="15">#REF!</definedName>
    <definedName name="_______MAI98">#REF!</definedName>
    <definedName name="_______MAI99" localSheetId="15">#REF!</definedName>
    <definedName name="_______MAI99">#REF!</definedName>
    <definedName name="_______MAR95" localSheetId="15">#REF!</definedName>
    <definedName name="_______MAR95">#REF!</definedName>
    <definedName name="_______MAR96" localSheetId="15">#REF!</definedName>
    <definedName name="_______MAR96">#REF!</definedName>
    <definedName name="_______MAR97" localSheetId="15">#REF!</definedName>
    <definedName name="_______MAR97">#REF!</definedName>
    <definedName name="_______MAR98" localSheetId="15">#REF!</definedName>
    <definedName name="_______MAR98">#REF!</definedName>
    <definedName name="_______MAR99" localSheetId="15">#REF!</definedName>
    <definedName name="_______MAR99">#REF!</definedName>
    <definedName name="_______mem2">#REF!</definedName>
    <definedName name="_______Nov1">#REF!</definedName>
    <definedName name="_______NOV94" localSheetId="15">#REF!</definedName>
    <definedName name="_______NOV94">#REF!</definedName>
    <definedName name="_______NOV95" localSheetId="15">#REF!</definedName>
    <definedName name="_______NOV95">#REF!</definedName>
    <definedName name="_______NOV96" localSheetId="15">#REF!</definedName>
    <definedName name="_______NOV96">#REF!</definedName>
    <definedName name="_______NOV97" localSheetId="15">#REF!</definedName>
    <definedName name="_______NOV97">#REF!</definedName>
    <definedName name="_______NOV98" localSheetId="15">#REF!</definedName>
    <definedName name="_______NOV98">#REF!</definedName>
    <definedName name="_______NOV99" localSheetId="15">#REF!</definedName>
    <definedName name="_______NOV99">#REF!</definedName>
    <definedName name="_______oac2" localSheetId="15">#REF!</definedName>
    <definedName name="_______oac2">#REF!</definedName>
    <definedName name="_______Out1">#REF!</definedName>
    <definedName name="_______OUT94" localSheetId="15">#REF!</definedName>
    <definedName name="_______OUT94">#REF!</definedName>
    <definedName name="_______OUT95" localSheetId="15">#REF!</definedName>
    <definedName name="_______OUT95">#REF!</definedName>
    <definedName name="_______OUT96" localSheetId="15">#REF!</definedName>
    <definedName name="_______OUT96">#REF!</definedName>
    <definedName name="_______OUT97" localSheetId="15">#REF!</definedName>
    <definedName name="_______OUT97">#REF!</definedName>
    <definedName name="_______OUT98" localSheetId="1" hidden="1">{#N/A,#N/A,TRUE,"Serviços"}</definedName>
    <definedName name="_______OUT98" localSheetId="4" hidden="1">{#N/A,#N/A,TRUE,"Serviços"}</definedName>
    <definedName name="_______OUT98" localSheetId="24" hidden="1">{#N/A,#N/A,TRUE,"Serviços"}</definedName>
    <definedName name="_______OUT98" localSheetId="25" hidden="1">{#N/A,#N/A,TRUE,"Serviços"}</definedName>
    <definedName name="_______OUT98" localSheetId="27" hidden="1">{#N/A,#N/A,TRUE,"Serviços"}</definedName>
    <definedName name="_______OUT98" localSheetId="20" hidden="1">{#N/A,#N/A,TRUE,"Serviços"}</definedName>
    <definedName name="_______OUT98" localSheetId="15" hidden="1">{#N/A,#N/A,TRUE,"Serviços"}</definedName>
    <definedName name="_______OUT98" localSheetId="18" hidden="1">{#N/A,#N/A,TRUE,"Serviços"}</definedName>
    <definedName name="_______OUT98" hidden="1">{#N/A,#N/A,TRUE,"Serviços"}</definedName>
    <definedName name="_______OUT9888" localSheetId="18" hidden="1">{#N/A,#N/A,TRUE,"Serviços"}</definedName>
    <definedName name="_______OUT9888" hidden="1">{#N/A,#N/A,TRUE,"Serviços"}</definedName>
    <definedName name="_______OUT99" localSheetId="15">#REF!</definedName>
    <definedName name="_______OUT99">#REF!</definedName>
    <definedName name="_______PL1" localSheetId="15">#REF!</definedName>
    <definedName name="_______PL1">#REF!</definedName>
    <definedName name="_______r" localSheetId="15">#REF!</definedName>
    <definedName name="_______r">#REF!</definedName>
    <definedName name="_______Rbv1">#REF!</definedName>
    <definedName name="_______reg1">#REF!</definedName>
    <definedName name="_______reg3">#REF!</definedName>
    <definedName name="_______reg5">#REF!</definedName>
    <definedName name="_______reg7">#REF!</definedName>
    <definedName name="_______RET1" localSheetId="15">#REF!</definedName>
    <definedName name="_______RET1">#REF!</definedName>
    <definedName name="_______SE2" localSheetId="15">#REF!</definedName>
    <definedName name="_______SE2">#REF!</definedName>
    <definedName name="_______Set1">#REF!</definedName>
    <definedName name="_______SET94" localSheetId="15">#REF!</definedName>
    <definedName name="_______SET94">#REF!</definedName>
    <definedName name="_______SET95" localSheetId="15">#REF!</definedName>
    <definedName name="_______SET95">#REF!</definedName>
    <definedName name="_______SET96" localSheetId="15">#REF!</definedName>
    <definedName name="_______SET96">#REF!</definedName>
    <definedName name="_______SET97" localSheetId="15">#REF!</definedName>
    <definedName name="_______SET97">#REF!</definedName>
    <definedName name="_______SET98" localSheetId="15">#REF!</definedName>
    <definedName name="_______SET98">#REF!</definedName>
    <definedName name="_______SET99" localSheetId="15">#REF!</definedName>
    <definedName name="_______SET99">#REF!</definedName>
    <definedName name="_______tsd4" localSheetId="15">#REF!</definedName>
    <definedName name="_______tsd4">#REF!</definedName>
    <definedName name="_______TT102" localSheetId="15">#REF!</definedName>
    <definedName name="_______TT102">#REF!</definedName>
    <definedName name="_______TT107" localSheetId="15">#REF!</definedName>
    <definedName name="_______TT107">#REF!</definedName>
    <definedName name="_______TT121" localSheetId="15">#REF!</definedName>
    <definedName name="_______TT121">#REF!</definedName>
    <definedName name="_______TT123" localSheetId="15">#REF!</definedName>
    <definedName name="_______TT123">#REF!</definedName>
    <definedName name="_______TT19" localSheetId="15">#REF!</definedName>
    <definedName name="_______TT19">#REF!</definedName>
    <definedName name="_______TT20" localSheetId="15">#REF!</definedName>
    <definedName name="_______TT20">#REF!</definedName>
    <definedName name="_______TT21" localSheetId="15">#REF!</definedName>
    <definedName name="_______TT21">#REF!</definedName>
    <definedName name="_______TT22" localSheetId="15">#REF!</definedName>
    <definedName name="_______TT22">#REF!</definedName>
    <definedName name="_______TT26" localSheetId="15">#REF!</definedName>
    <definedName name="_______TT26">#REF!</definedName>
    <definedName name="_______TT27" localSheetId="15">#REF!</definedName>
    <definedName name="_______TT27">#REF!</definedName>
    <definedName name="_______TT28" localSheetId="15">#REF!</definedName>
    <definedName name="_______TT28">#REF!</definedName>
    <definedName name="_______TT30" localSheetId="15">#REF!</definedName>
    <definedName name="_______TT30">#REF!</definedName>
    <definedName name="_______TT31" localSheetId="15">#REF!</definedName>
    <definedName name="_______TT31">#REF!</definedName>
    <definedName name="_______TT32" localSheetId="15">#REF!</definedName>
    <definedName name="_______TT32">#REF!</definedName>
    <definedName name="_______TT33" localSheetId="15">#REF!</definedName>
    <definedName name="_______TT33">#REF!</definedName>
    <definedName name="_______TT34" localSheetId="15">#REF!</definedName>
    <definedName name="_______TT34">#REF!</definedName>
    <definedName name="_______TT36" localSheetId="15">#REF!</definedName>
    <definedName name="_______TT36">#REF!</definedName>
    <definedName name="_______TT37" localSheetId="15">#REF!</definedName>
    <definedName name="_______TT37">#REF!</definedName>
    <definedName name="_______TT38" localSheetId="15">#REF!</definedName>
    <definedName name="_______TT38">#REF!</definedName>
    <definedName name="_______TT39" localSheetId="15">#REF!</definedName>
    <definedName name="_______TT39">#REF!</definedName>
    <definedName name="_______TT40" localSheetId="15">#REF!</definedName>
    <definedName name="_______TT40">#REF!</definedName>
    <definedName name="_______TT5" localSheetId="15">#REF!</definedName>
    <definedName name="_______TT5">#REF!</definedName>
    <definedName name="_______TT52" localSheetId="15">#REF!</definedName>
    <definedName name="_______TT52">#REF!</definedName>
    <definedName name="_______TT53" localSheetId="15">#REF!</definedName>
    <definedName name="_______TT53">#REF!</definedName>
    <definedName name="_______TT54" localSheetId="15">#REF!</definedName>
    <definedName name="_______TT54">#REF!</definedName>
    <definedName name="_______TT55" localSheetId="15">#REF!</definedName>
    <definedName name="_______TT55">#REF!</definedName>
    <definedName name="_______TT6" localSheetId="15">#REF!</definedName>
    <definedName name="_______TT6">#REF!</definedName>
    <definedName name="_______TT60" localSheetId="15">#REF!</definedName>
    <definedName name="_______TT60">#REF!</definedName>
    <definedName name="_______TT61" localSheetId="15">#REF!</definedName>
    <definedName name="_______TT61">#REF!</definedName>
    <definedName name="_______TT69" localSheetId="15">#REF!</definedName>
    <definedName name="_______TT69">#REF!</definedName>
    <definedName name="_______TT7" localSheetId="15">#REF!</definedName>
    <definedName name="_______TT7">#REF!</definedName>
    <definedName name="_______TT70" localSheetId="15">#REF!</definedName>
    <definedName name="_______TT70">#REF!</definedName>
    <definedName name="_______TT71" localSheetId="15">#REF!</definedName>
    <definedName name="_______TT71">#REF!</definedName>
    <definedName name="_______TT74" localSheetId="15">#REF!</definedName>
    <definedName name="_______TT74">#REF!</definedName>
    <definedName name="_______TT75" localSheetId="15">#REF!</definedName>
    <definedName name="_______TT75">#REF!</definedName>
    <definedName name="_______TT76" localSheetId="15">#REF!</definedName>
    <definedName name="_______TT76">#REF!</definedName>
    <definedName name="_______TT77" localSheetId="15">#REF!</definedName>
    <definedName name="_______TT77">#REF!</definedName>
    <definedName name="_______TT78" localSheetId="15">#REF!</definedName>
    <definedName name="_______TT78">#REF!</definedName>
    <definedName name="_______TT79" localSheetId="15">#REF!</definedName>
    <definedName name="_______TT79">#REF!</definedName>
    <definedName name="_______TT94" localSheetId="15">#REF!</definedName>
    <definedName name="_______TT94">#REF!</definedName>
    <definedName name="_______TT95" localSheetId="15">#REF!</definedName>
    <definedName name="_______TT95">#REF!</definedName>
    <definedName name="_______TT97" localSheetId="15">#REF!</definedName>
    <definedName name="_______TT97">#REF!</definedName>
    <definedName name="______Abr1">#REF!</definedName>
    <definedName name="______Ago1">#REF!</definedName>
    <definedName name="______b1" localSheetId="18" hidden="1">{#N/A,#N/A,FALSE,"MO (2)"}</definedName>
    <definedName name="______b1" hidden="1">{#N/A,#N/A,FALSE,"MO (2)"}</definedName>
    <definedName name="______Brz1">#REF!</definedName>
    <definedName name="______Brz2">#REF!</definedName>
    <definedName name="______cab1" localSheetId="15">#REF!</definedName>
    <definedName name="______cab1">#REF!</definedName>
    <definedName name="______Dez1">#REF!</definedName>
    <definedName name="______emp2">#REF!</definedName>
    <definedName name="______EXT1" localSheetId="15">#REF!</definedName>
    <definedName name="______EXT1">#REF!</definedName>
    <definedName name="______Ext2" localSheetId="15">#REF!</definedName>
    <definedName name="______Ext2">#REF!</definedName>
    <definedName name="______ind100" localSheetId="15">#REF!</definedName>
    <definedName name="______ind100">#REF!</definedName>
    <definedName name="______JAZ1" localSheetId="15">#REF!</definedName>
    <definedName name="______JAZ1">#REF!</definedName>
    <definedName name="______JAZ11" localSheetId="15">#REF!</definedName>
    <definedName name="______JAZ11">#REF!</definedName>
    <definedName name="______JAZ2" localSheetId="15">#REF!</definedName>
    <definedName name="______JAZ2">#REF!</definedName>
    <definedName name="______JAZ22" localSheetId="15">#REF!</definedName>
    <definedName name="______JAZ22">#REF!</definedName>
    <definedName name="______JAZ3" localSheetId="15">#REF!</definedName>
    <definedName name="______JAZ3">#REF!</definedName>
    <definedName name="______JAZ33" localSheetId="15">#REF!</definedName>
    <definedName name="______JAZ33">#REF!</definedName>
    <definedName name="______Jul1">#REF!</definedName>
    <definedName name="______Jun1">#REF!</definedName>
    <definedName name="______Mai1">#REF!</definedName>
    <definedName name="______mem2">#REF!</definedName>
    <definedName name="______Nov1">#REF!</definedName>
    <definedName name="______oac2" localSheetId="15">#REF!</definedName>
    <definedName name="______oac2">#REF!</definedName>
    <definedName name="______Out1">#REF!</definedName>
    <definedName name="______OUT98" localSheetId="1" hidden="1">{#N/A,#N/A,TRUE,"Serviços"}</definedName>
    <definedName name="______OUT98" localSheetId="4" hidden="1">{#N/A,#N/A,TRUE,"Serviços"}</definedName>
    <definedName name="______OUT98" localSheetId="24" hidden="1">{#N/A,#N/A,TRUE,"Serviços"}</definedName>
    <definedName name="______OUT98" localSheetId="25" hidden="1">{#N/A,#N/A,TRUE,"Serviços"}</definedName>
    <definedName name="______OUT98" localSheetId="27" hidden="1">{#N/A,#N/A,TRUE,"Serviços"}</definedName>
    <definedName name="______OUT98" localSheetId="20" hidden="1">{#N/A,#N/A,TRUE,"Serviços"}</definedName>
    <definedName name="______OUT98" localSheetId="15" hidden="1">{#N/A,#N/A,TRUE,"Serviços"}</definedName>
    <definedName name="______OUT98" localSheetId="18" hidden="1">{#N/A,#N/A,TRUE,"Serviços"}</definedName>
    <definedName name="______OUT98" hidden="1">{#N/A,#N/A,TRUE,"Serviços"}</definedName>
    <definedName name="______OUTT98888" localSheetId="18" hidden="1">{#N/A,#N/A,TRUE,"Serviços"}</definedName>
    <definedName name="______OUTT98888" hidden="1">{#N/A,#N/A,TRUE,"Serviços"}</definedName>
    <definedName name="______PL1" localSheetId="15">#REF!</definedName>
    <definedName name="______PL1">#REF!</definedName>
    <definedName name="______r" localSheetId="15">#REF!</definedName>
    <definedName name="______r">#REF!</definedName>
    <definedName name="______Rbv1">#REF!</definedName>
    <definedName name="______reg1">#REF!</definedName>
    <definedName name="______reg3">#REF!</definedName>
    <definedName name="______reg5">#REF!</definedName>
    <definedName name="______reg7">#REF!</definedName>
    <definedName name="______RET1" localSheetId="15">#REF!</definedName>
    <definedName name="______RET1">#REF!</definedName>
    <definedName name="______Set1">#REF!</definedName>
    <definedName name="______TP10">#REF!</definedName>
    <definedName name="______TP5">#REF!</definedName>
    <definedName name="______tsd4" localSheetId="15">#REF!</definedName>
    <definedName name="______tsd4">#REF!</definedName>
    <definedName name="______TT102" localSheetId="15">#REF!</definedName>
    <definedName name="______TT102">#REF!</definedName>
    <definedName name="______TT107" localSheetId="15">#REF!</definedName>
    <definedName name="______TT107">#REF!</definedName>
    <definedName name="______TT121" localSheetId="15">#REF!</definedName>
    <definedName name="______TT121">#REF!</definedName>
    <definedName name="______TT123" localSheetId="15">#REF!</definedName>
    <definedName name="______TT123">#REF!</definedName>
    <definedName name="______TT19" localSheetId="15">#REF!</definedName>
    <definedName name="______TT19">#REF!</definedName>
    <definedName name="______TT20" localSheetId="15">#REF!</definedName>
    <definedName name="______TT20">#REF!</definedName>
    <definedName name="______TT21" localSheetId="15">#REF!</definedName>
    <definedName name="______TT21">#REF!</definedName>
    <definedName name="______TT22" localSheetId="15">#REF!</definedName>
    <definedName name="______TT22">#REF!</definedName>
    <definedName name="______TT26" localSheetId="15">#REF!</definedName>
    <definedName name="______TT26">#REF!</definedName>
    <definedName name="______TT27" localSheetId="15">#REF!</definedName>
    <definedName name="______TT27">#REF!</definedName>
    <definedName name="______TT28" localSheetId="15">#REF!</definedName>
    <definedName name="______TT28">#REF!</definedName>
    <definedName name="______TT30" localSheetId="15">#REF!</definedName>
    <definedName name="______TT30">#REF!</definedName>
    <definedName name="______TT31" localSheetId="15">#REF!</definedName>
    <definedName name="______TT31">#REF!</definedName>
    <definedName name="______TT32" localSheetId="15">#REF!</definedName>
    <definedName name="______TT32">#REF!</definedName>
    <definedName name="______TT33" localSheetId="15">#REF!</definedName>
    <definedName name="______TT33">#REF!</definedName>
    <definedName name="______TT34" localSheetId="15">#REF!</definedName>
    <definedName name="______TT34">#REF!</definedName>
    <definedName name="______TT36" localSheetId="15">#REF!</definedName>
    <definedName name="______TT36">#REF!</definedName>
    <definedName name="______TT37" localSheetId="15">#REF!</definedName>
    <definedName name="______TT37">#REF!</definedName>
    <definedName name="______TT38" localSheetId="15">#REF!</definedName>
    <definedName name="______TT38">#REF!</definedName>
    <definedName name="______TT39" localSheetId="15">#REF!</definedName>
    <definedName name="______TT39">#REF!</definedName>
    <definedName name="______TT40" localSheetId="15">#REF!</definedName>
    <definedName name="______TT40">#REF!</definedName>
    <definedName name="______TT5" localSheetId="15">#REF!</definedName>
    <definedName name="______TT5">#REF!</definedName>
    <definedName name="______TT52" localSheetId="15">#REF!</definedName>
    <definedName name="______TT52">#REF!</definedName>
    <definedName name="______TT53" localSheetId="15">#REF!</definedName>
    <definedName name="______TT53">#REF!</definedName>
    <definedName name="______TT54" localSheetId="15">#REF!</definedName>
    <definedName name="______TT54">#REF!</definedName>
    <definedName name="______TT55" localSheetId="15">#REF!</definedName>
    <definedName name="______TT55">#REF!</definedName>
    <definedName name="______TT6" localSheetId="15">#REF!</definedName>
    <definedName name="______TT6">#REF!</definedName>
    <definedName name="______TT60" localSheetId="15">#REF!</definedName>
    <definedName name="______TT60">#REF!</definedName>
    <definedName name="______TT61" localSheetId="15">#REF!</definedName>
    <definedName name="______TT61">#REF!</definedName>
    <definedName name="______TT69" localSheetId="15">#REF!</definedName>
    <definedName name="______TT69">#REF!</definedName>
    <definedName name="______TT7" localSheetId="15">#REF!</definedName>
    <definedName name="______TT7">#REF!</definedName>
    <definedName name="______TT70" localSheetId="15">#REF!</definedName>
    <definedName name="______TT70">#REF!</definedName>
    <definedName name="______TT71" localSheetId="15">#REF!</definedName>
    <definedName name="______TT71">#REF!</definedName>
    <definedName name="______TT74" localSheetId="15">#REF!</definedName>
    <definedName name="______TT74">#REF!</definedName>
    <definedName name="______TT75" localSheetId="15">#REF!</definedName>
    <definedName name="______TT75">#REF!</definedName>
    <definedName name="______TT76" localSheetId="15">#REF!</definedName>
    <definedName name="______TT76">#REF!</definedName>
    <definedName name="______TT77" localSheetId="15">#REF!</definedName>
    <definedName name="______TT77">#REF!</definedName>
    <definedName name="______TT78" localSheetId="15">#REF!</definedName>
    <definedName name="______TT78">#REF!</definedName>
    <definedName name="______TT79" localSheetId="15">#REF!</definedName>
    <definedName name="______TT79">#REF!</definedName>
    <definedName name="______TT94" localSheetId="15">#REF!</definedName>
    <definedName name="______TT94">#REF!</definedName>
    <definedName name="______TT95" localSheetId="15">#REF!</definedName>
    <definedName name="______TT95">#REF!</definedName>
    <definedName name="______TT97" localSheetId="15">#REF!</definedName>
    <definedName name="______TT97">#REF!</definedName>
    <definedName name="_____Abr1">#REF!</definedName>
    <definedName name="_____Ago1">#REF!</definedName>
    <definedName name="_____b1" localSheetId="18" hidden="1">{#N/A,#N/A,FALSE,"MO (2)"}</definedName>
    <definedName name="_____b1" hidden="1">{#N/A,#N/A,FALSE,"MO (2)"}</definedName>
    <definedName name="_____cab1" localSheetId="15">#REF!</definedName>
    <definedName name="_____cab1">#REF!</definedName>
    <definedName name="_____Dez1">#REF!</definedName>
    <definedName name="_____emp2">#REF!</definedName>
    <definedName name="_____EXT1" localSheetId="15">#REF!</definedName>
    <definedName name="_____EXT1">#REF!</definedName>
    <definedName name="_____Ext2" localSheetId="15">#REF!</definedName>
    <definedName name="_____Ext2">#REF!</definedName>
    <definedName name="_____ind100" localSheetId="15">#REF!</definedName>
    <definedName name="_____ind100">#REF!</definedName>
    <definedName name="_____JAZ1" localSheetId="15">#REF!</definedName>
    <definedName name="_____JAZ1">#REF!</definedName>
    <definedName name="_____JAZ11" localSheetId="15">#REF!</definedName>
    <definedName name="_____JAZ11">#REF!</definedName>
    <definedName name="_____JAZ2" localSheetId="15">#REF!</definedName>
    <definedName name="_____JAZ2">#REF!</definedName>
    <definedName name="_____JAZ22" localSheetId="15">#REF!</definedName>
    <definedName name="_____JAZ22">#REF!</definedName>
    <definedName name="_____JAZ3" localSheetId="15">#REF!</definedName>
    <definedName name="_____JAZ3">#REF!</definedName>
    <definedName name="_____JAZ33" localSheetId="15">#REF!</definedName>
    <definedName name="_____JAZ33">#REF!</definedName>
    <definedName name="_____Jul1">#REF!</definedName>
    <definedName name="_____Jun1">#REF!</definedName>
    <definedName name="_____Mai1">#REF!</definedName>
    <definedName name="_____mem2">#REF!</definedName>
    <definedName name="_____Nov1">#REF!</definedName>
    <definedName name="_____oac2" localSheetId="15">#REF!</definedName>
    <definedName name="_____oac2">#REF!</definedName>
    <definedName name="_____Out1">#REF!</definedName>
    <definedName name="_____OUT98" localSheetId="1" hidden="1">{#N/A,#N/A,TRUE,"Serviços"}</definedName>
    <definedName name="_____OUT98" localSheetId="4" hidden="1">{#N/A,#N/A,TRUE,"Serviços"}</definedName>
    <definedName name="_____OUT98" localSheetId="24" hidden="1">{#N/A,#N/A,TRUE,"Serviços"}</definedName>
    <definedName name="_____OUT98" localSheetId="25" hidden="1">{#N/A,#N/A,TRUE,"Serviços"}</definedName>
    <definedName name="_____OUT98" localSheetId="27" hidden="1">{#N/A,#N/A,TRUE,"Serviços"}</definedName>
    <definedName name="_____OUT98" localSheetId="20" hidden="1">{#N/A,#N/A,TRUE,"Serviços"}</definedName>
    <definedName name="_____OUT98" localSheetId="15" hidden="1">{#N/A,#N/A,TRUE,"Serviços"}</definedName>
    <definedName name="_____OUT98" localSheetId="18" hidden="1">{#N/A,#N/A,TRUE,"Serviços"}</definedName>
    <definedName name="_____OUT98" hidden="1">{#N/A,#N/A,TRUE,"Serviços"}</definedName>
    <definedName name="_____OUTTT988" localSheetId="18" hidden="1">{#N/A,#N/A,TRUE,"Serviços"}</definedName>
    <definedName name="_____OUTTT988" hidden="1">{#N/A,#N/A,TRUE,"Serviços"}</definedName>
    <definedName name="_____PL1" localSheetId="15">#REF!</definedName>
    <definedName name="_____PL1">#REF!</definedName>
    <definedName name="_____QQ2">#REF!</definedName>
    <definedName name="_____r" localSheetId="15">#REF!</definedName>
    <definedName name="_____r">#REF!</definedName>
    <definedName name="_____Rbv1">#REF!</definedName>
    <definedName name="_____reg1">#REF!</definedName>
    <definedName name="_____reg3">#REF!</definedName>
    <definedName name="_____reg5">#REF!</definedName>
    <definedName name="_____reg7">#REF!</definedName>
    <definedName name="_____RET1" localSheetId="15">#REF!</definedName>
    <definedName name="_____RET1">#REF!</definedName>
    <definedName name="_____Set1">#REF!</definedName>
    <definedName name="_____TP10">#REF!</definedName>
    <definedName name="_____TP5">#REF!</definedName>
    <definedName name="_____tsd4" localSheetId="15">#REF!</definedName>
    <definedName name="_____tsd4">#REF!</definedName>
    <definedName name="_____TT102" localSheetId="15">#REF!</definedName>
    <definedName name="_____TT102">#REF!</definedName>
    <definedName name="_____TT107" localSheetId="15">#REF!</definedName>
    <definedName name="_____TT107">#REF!</definedName>
    <definedName name="_____TT121" localSheetId="15">#REF!</definedName>
    <definedName name="_____TT121">#REF!</definedName>
    <definedName name="_____TT123" localSheetId="15">#REF!</definedName>
    <definedName name="_____TT123">#REF!</definedName>
    <definedName name="_____TT19" localSheetId="15">#REF!</definedName>
    <definedName name="_____TT19">#REF!</definedName>
    <definedName name="_____TT20" localSheetId="15">#REF!</definedName>
    <definedName name="_____TT20">#REF!</definedName>
    <definedName name="_____TT21" localSheetId="15">#REF!</definedName>
    <definedName name="_____TT21">#REF!</definedName>
    <definedName name="_____TT22" localSheetId="15">#REF!</definedName>
    <definedName name="_____TT22">#REF!</definedName>
    <definedName name="_____TT26" localSheetId="15">#REF!</definedName>
    <definedName name="_____TT26">#REF!</definedName>
    <definedName name="_____TT27" localSheetId="15">#REF!</definedName>
    <definedName name="_____TT27">#REF!</definedName>
    <definedName name="_____TT28" localSheetId="15">#REF!</definedName>
    <definedName name="_____TT28">#REF!</definedName>
    <definedName name="_____TT30" localSheetId="15">#REF!</definedName>
    <definedName name="_____TT30">#REF!</definedName>
    <definedName name="_____TT31" localSheetId="15">#REF!</definedName>
    <definedName name="_____TT31">#REF!</definedName>
    <definedName name="_____TT32" localSheetId="15">#REF!</definedName>
    <definedName name="_____TT32">#REF!</definedName>
    <definedName name="_____TT33" localSheetId="15">#REF!</definedName>
    <definedName name="_____TT33">#REF!</definedName>
    <definedName name="_____TT34" localSheetId="15">#REF!</definedName>
    <definedName name="_____TT34">#REF!</definedName>
    <definedName name="_____TT36" localSheetId="15">#REF!</definedName>
    <definedName name="_____TT36">#REF!</definedName>
    <definedName name="_____TT37" localSheetId="15">#REF!</definedName>
    <definedName name="_____TT37">#REF!</definedName>
    <definedName name="_____TT38" localSheetId="15">#REF!</definedName>
    <definedName name="_____TT38">#REF!</definedName>
    <definedName name="_____TT39" localSheetId="15">#REF!</definedName>
    <definedName name="_____TT39">#REF!</definedName>
    <definedName name="_____TT40" localSheetId="15">#REF!</definedName>
    <definedName name="_____TT40">#REF!</definedName>
    <definedName name="_____TT5" localSheetId="15">#REF!</definedName>
    <definedName name="_____TT5">#REF!</definedName>
    <definedName name="_____TT52" localSheetId="15">#REF!</definedName>
    <definedName name="_____TT52">#REF!</definedName>
    <definedName name="_____TT53" localSheetId="15">#REF!</definedName>
    <definedName name="_____TT53">#REF!</definedName>
    <definedName name="_____TT54" localSheetId="15">#REF!</definedName>
    <definedName name="_____TT54">#REF!</definedName>
    <definedName name="_____TT55" localSheetId="15">#REF!</definedName>
    <definedName name="_____TT55">#REF!</definedName>
    <definedName name="_____TT6" localSheetId="15">#REF!</definedName>
    <definedName name="_____TT6">#REF!</definedName>
    <definedName name="_____TT60" localSheetId="15">#REF!</definedName>
    <definedName name="_____TT60">#REF!</definedName>
    <definedName name="_____TT61" localSheetId="15">#REF!</definedName>
    <definedName name="_____TT61">#REF!</definedName>
    <definedName name="_____TT69" localSheetId="15">#REF!</definedName>
    <definedName name="_____TT69">#REF!</definedName>
    <definedName name="_____TT7" localSheetId="15">#REF!</definedName>
    <definedName name="_____TT7">#REF!</definedName>
    <definedName name="_____TT70" localSheetId="15">#REF!</definedName>
    <definedName name="_____TT70">#REF!</definedName>
    <definedName name="_____TT71" localSheetId="15">#REF!</definedName>
    <definedName name="_____TT71">#REF!</definedName>
    <definedName name="_____TT74" localSheetId="15">#REF!</definedName>
    <definedName name="_____TT74">#REF!</definedName>
    <definedName name="_____TT75" localSheetId="15">#REF!</definedName>
    <definedName name="_____TT75">#REF!</definedName>
    <definedName name="_____TT76" localSheetId="15">#REF!</definedName>
    <definedName name="_____TT76">#REF!</definedName>
    <definedName name="_____TT77" localSheetId="15">#REF!</definedName>
    <definedName name="_____TT77">#REF!</definedName>
    <definedName name="_____TT78" localSheetId="15">#REF!</definedName>
    <definedName name="_____TT78">#REF!</definedName>
    <definedName name="_____TT79" localSheetId="15">#REF!</definedName>
    <definedName name="_____TT79">#REF!</definedName>
    <definedName name="_____TT94" localSheetId="15">#REF!</definedName>
    <definedName name="_____TT94">#REF!</definedName>
    <definedName name="_____TT95" localSheetId="15">#REF!</definedName>
    <definedName name="_____TT95">#REF!</definedName>
    <definedName name="_____TT97" localSheetId="15">#REF!</definedName>
    <definedName name="_____TT97">#REF!</definedName>
    <definedName name="____Abr1">#REF!</definedName>
    <definedName name="____Ago1">#REF!</definedName>
    <definedName name="____b1" localSheetId="18" hidden="1">{#N/A,#N/A,FALSE,"MO (2)"}</definedName>
    <definedName name="____b1" hidden="1">{#N/A,#N/A,FALSE,"MO (2)"}</definedName>
    <definedName name="____BDI2">#REF!</definedName>
    <definedName name="____brv2">#REF!</definedName>
    <definedName name="____cab1" localSheetId="15">#REF!</definedName>
    <definedName name="____cab1">#REF!</definedName>
    <definedName name="____Dez1">#REF!</definedName>
    <definedName name="____emp2">#REF!</definedName>
    <definedName name="____EXT1" localSheetId="15">#REF!</definedName>
    <definedName name="____EXT1">#REF!</definedName>
    <definedName name="____Ext2" localSheetId="15">#REF!</definedName>
    <definedName name="____Ext2">#REF!</definedName>
    <definedName name="____ind100" localSheetId="15">#REF!</definedName>
    <definedName name="____ind100">#REF!</definedName>
    <definedName name="____JAN2003" localSheetId="15">#REF!</definedName>
    <definedName name="____JAN2003">#REF!</definedName>
    <definedName name="____JAZ1" localSheetId="15">#REF!</definedName>
    <definedName name="____JAZ1">#REF!</definedName>
    <definedName name="____JAZ11" localSheetId="15">#REF!</definedName>
    <definedName name="____JAZ11">#REF!</definedName>
    <definedName name="____JAZ2" localSheetId="15">#REF!</definedName>
    <definedName name="____JAZ2">#REF!</definedName>
    <definedName name="____JAZ22" localSheetId="15">#REF!</definedName>
    <definedName name="____JAZ22">#REF!</definedName>
    <definedName name="____JAZ3" localSheetId="15">#REF!</definedName>
    <definedName name="____JAZ3">#REF!</definedName>
    <definedName name="____JAZ33" localSheetId="15">#REF!</definedName>
    <definedName name="____JAZ33">#REF!</definedName>
    <definedName name="____Jul1">#REF!</definedName>
    <definedName name="____Jun1">#REF!</definedName>
    <definedName name="____Mai1">#REF!</definedName>
    <definedName name="____mem2">#REF!</definedName>
    <definedName name="____Nov1">#REF!</definedName>
    <definedName name="____oac2" localSheetId="15">#REF!</definedName>
    <definedName name="____oac2">#REF!</definedName>
    <definedName name="____Out1">#REF!</definedName>
    <definedName name="____OUT98" localSheetId="1" hidden="1">{#N/A,#N/A,TRUE,"Serviços"}</definedName>
    <definedName name="____OUT98" localSheetId="4" hidden="1">{#N/A,#N/A,TRUE,"Serviços"}</definedName>
    <definedName name="____OUT98" localSheetId="24" hidden="1">{#N/A,#N/A,TRUE,"Serviços"}</definedName>
    <definedName name="____OUT98" localSheetId="25" hidden="1">{#N/A,#N/A,TRUE,"Serviços"}</definedName>
    <definedName name="____OUT98" localSheetId="27" hidden="1">{#N/A,#N/A,TRUE,"Serviços"}</definedName>
    <definedName name="____OUT98" localSheetId="20" hidden="1">{#N/A,#N/A,TRUE,"Serviços"}</definedName>
    <definedName name="____OUT98" localSheetId="15" hidden="1">{#N/A,#N/A,TRUE,"Serviços"}</definedName>
    <definedName name="____OUT98" localSheetId="18" hidden="1">{#N/A,#N/A,TRUE,"Serviços"}</definedName>
    <definedName name="____OUT98" hidden="1">{#N/A,#N/A,TRUE,"Serviços"}</definedName>
    <definedName name="____out99" localSheetId="18" hidden="1">{#N/A,#N/A,TRUE,"Serviços"}</definedName>
    <definedName name="____out99" hidden="1">{#N/A,#N/A,TRUE,"Serviços"}</definedName>
    <definedName name="____OUTTT98" localSheetId="18" hidden="1">{#N/A,#N/A,TRUE,"Serviços"}</definedName>
    <definedName name="____OUTTT98" hidden="1">{#N/A,#N/A,TRUE,"Serviços"}</definedName>
    <definedName name="____PL1" localSheetId="15">#REF!</definedName>
    <definedName name="____PL1">#REF!</definedName>
    <definedName name="____r" localSheetId="15">#REF!</definedName>
    <definedName name="____r">#REF!</definedName>
    <definedName name="____Rbv1">#REF!</definedName>
    <definedName name="____reg1">#REF!</definedName>
    <definedName name="____reg3">#REF!</definedName>
    <definedName name="____reg5">#REF!</definedName>
    <definedName name="____reg7">#REF!</definedName>
    <definedName name="____RET1" localSheetId="15">#REF!</definedName>
    <definedName name="____RET1">#REF!</definedName>
    <definedName name="____Set1">#REF!</definedName>
    <definedName name="____TP10">#REF!</definedName>
    <definedName name="____TP5">#REF!</definedName>
    <definedName name="____tsd4" localSheetId="15">#REF!</definedName>
    <definedName name="____tsd4">#REF!</definedName>
    <definedName name="____TT102" localSheetId="15">#REF!</definedName>
    <definedName name="____TT102">#REF!</definedName>
    <definedName name="____TT107" localSheetId="15">#REF!</definedName>
    <definedName name="____TT107">#REF!</definedName>
    <definedName name="____TT121" localSheetId="15">#REF!</definedName>
    <definedName name="____TT121">#REF!</definedName>
    <definedName name="____TT123" localSheetId="15">#REF!</definedName>
    <definedName name="____TT123">#REF!</definedName>
    <definedName name="____TT19" localSheetId="15">#REF!</definedName>
    <definedName name="____TT19">#REF!</definedName>
    <definedName name="____TT20" localSheetId="15">#REF!</definedName>
    <definedName name="____TT20">#REF!</definedName>
    <definedName name="____TT21" localSheetId="15">#REF!</definedName>
    <definedName name="____TT21">#REF!</definedName>
    <definedName name="____TT22" localSheetId="15">#REF!</definedName>
    <definedName name="____TT22">#REF!</definedName>
    <definedName name="____TT236" localSheetId="15">#REF!</definedName>
    <definedName name="____TT236">#REF!</definedName>
    <definedName name="____TT26" localSheetId="15">#REF!</definedName>
    <definedName name="____TT26">#REF!</definedName>
    <definedName name="____TT27" localSheetId="15">#REF!</definedName>
    <definedName name="____TT27">#REF!</definedName>
    <definedName name="____TT28" localSheetId="15">#REF!</definedName>
    <definedName name="____TT28">#REF!</definedName>
    <definedName name="____TT30" localSheetId="15">#REF!</definedName>
    <definedName name="____TT30">#REF!</definedName>
    <definedName name="____TT31" localSheetId="15">#REF!</definedName>
    <definedName name="____TT31">#REF!</definedName>
    <definedName name="____TT32" localSheetId="15">#REF!</definedName>
    <definedName name="____TT32">#REF!</definedName>
    <definedName name="____TT33" localSheetId="15">#REF!</definedName>
    <definedName name="____TT33">#REF!</definedName>
    <definedName name="____TT34" localSheetId="15">#REF!</definedName>
    <definedName name="____TT34">#REF!</definedName>
    <definedName name="____TT36" localSheetId="15">#REF!</definedName>
    <definedName name="____TT36">#REF!</definedName>
    <definedName name="____TT37" localSheetId="15">#REF!</definedName>
    <definedName name="____TT37">#REF!</definedName>
    <definedName name="____TT38" localSheetId="15">#REF!</definedName>
    <definedName name="____TT38">#REF!</definedName>
    <definedName name="____TT39" localSheetId="15">#REF!</definedName>
    <definedName name="____TT39">#REF!</definedName>
    <definedName name="____TT40" localSheetId="15">#REF!</definedName>
    <definedName name="____TT40">#REF!</definedName>
    <definedName name="____TT5" localSheetId="15">#REF!</definedName>
    <definedName name="____TT5">#REF!</definedName>
    <definedName name="____TT52" localSheetId="15">#REF!</definedName>
    <definedName name="____TT52">#REF!</definedName>
    <definedName name="____TT53" localSheetId="15">#REF!</definedName>
    <definedName name="____TT53">#REF!</definedName>
    <definedName name="____TT54" localSheetId="15">#REF!</definedName>
    <definedName name="____TT54">#REF!</definedName>
    <definedName name="____TT55" localSheetId="15">#REF!</definedName>
    <definedName name="____TT55">#REF!</definedName>
    <definedName name="____TT6" localSheetId="15">#REF!</definedName>
    <definedName name="____TT6">#REF!</definedName>
    <definedName name="____TT60" localSheetId="15">#REF!</definedName>
    <definedName name="____TT60">#REF!</definedName>
    <definedName name="____TT61" localSheetId="15">#REF!</definedName>
    <definedName name="____TT61">#REF!</definedName>
    <definedName name="____TT69" localSheetId="15">#REF!</definedName>
    <definedName name="____TT69">#REF!</definedName>
    <definedName name="____TT7" localSheetId="15">#REF!</definedName>
    <definedName name="____TT7">#REF!</definedName>
    <definedName name="____TT70" localSheetId="15">#REF!</definedName>
    <definedName name="____TT70">#REF!</definedName>
    <definedName name="____TT71" localSheetId="15">#REF!</definedName>
    <definedName name="____TT71">#REF!</definedName>
    <definedName name="____TT74" localSheetId="15">#REF!</definedName>
    <definedName name="____TT74">#REF!</definedName>
    <definedName name="____TT75" localSheetId="15">#REF!</definedName>
    <definedName name="____TT75">#REF!</definedName>
    <definedName name="____TT76" localSheetId="15">#REF!</definedName>
    <definedName name="____TT76">#REF!</definedName>
    <definedName name="____TT77" localSheetId="15">#REF!</definedName>
    <definedName name="____TT77">#REF!</definedName>
    <definedName name="____TT78" localSheetId="15">#REF!</definedName>
    <definedName name="____TT78">#REF!</definedName>
    <definedName name="____TT78954" localSheetId="15">#REF!</definedName>
    <definedName name="____TT78954">#REF!</definedName>
    <definedName name="____TT79" localSheetId="15">#REF!</definedName>
    <definedName name="____TT79">#REF!</definedName>
    <definedName name="____TT94" localSheetId="15">#REF!</definedName>
    <definedName name="____TT94">#REF!</definedName>
    <definedName name="____TT95" localSheetId="15">#REF!</definedName>
    <definedName name="____TT95">#REF!</definedName>
    <definedName name="____TT97" localSheetId="15">#REF!</definedName>
    <definedName name="____TT97">#REF!</definedName>
    <definedName name="___Abr1">#REF!</definedName>
    <definedName name="___ABR95" localSheetId="15">#REF!</definedName>
    <definedName name="___ABR95">#REF!</definedName>
    <definedName name="___ABR96" localSheetId="15">#REF!</definedName>
    <definedName name="___ABR96">#REF!</definedName>
    <definedName name="___ABR97" localSheetId="15">#REF!</definedName>
    <definedName name="___ABR97">#REF!</definedName>
    <definedName name="___ABR98" localSheetId="15">#REF!</definedName>
    <definedName name="___ABR98">#REF!</definedName>
    <definedName name="___ABR99" localSheetId="15">#REF!</definedName>
    <definedName name="___ABR99">#REF!</definedName>
    <definedName name="___Ago1">#REF!</definedName>
    <definedName name="___AGO95" localSheetId="15">#REF!</definedName>
    <definedName name="___AGO95">#REF!</definedName>
    <definedName name="___AGO96" localSheetId="15">#REF!</definedName>
    <definedName name="___AGO96">#REF!</definedName>
    <definedName name="___AGO97" localSheetId="15">#REF!</definedName>
    <definedName name="___AGO97">#REF!</definedName>
    <definedName name="___AGO98" localSheetId="15">#REF!</definedName>
    <definedName name="___AGO98">#REF!</definedName>
    <definedName name="___AGO99" localSheetId="15">#REF!</definedName>
    <definedName name="___AGO99">#REF!</definedName>
    <definedName name="___arg13" localSheetId="15">#REF!</definedName>
    <definedName name="___arg13">#REF!</definedName>
    <definedName name="___arg16" localSheetId="15">#REF!</definedName>
    <definedName name="___arg16">#REF!</definedName>
    <definedName name="___ATD1">#REF!</definedName>
    <definedName name="___BDI1">#N/A</definedName>
    <definedName name="___BDI2">#REF!</definedName>
    <definedName name="___brv2">#REF!</definedName>
    <definedName name="___Brz1">#REF!</definedName>
    <definedName name="___Brz2">#REF!</definedName>
    <definedName name="___cab1" localSheetId="15">#REF!</definedName>
    <definedName name="___cab1">#REF!</definedName>
    <definedName name="___Dez1">#REF!</definedName>
    <definedName name="___DEZ94" localSheetId="15">#REF!</definedName>
    <definedName name="___DEZ94">#REF!</definedName>
    <definedName name="___DEZ95" localSheetId="15">#REF!</definedName>
    <definedName name="___DEZ95">#REF!</definedName>
    <definedName name="___DEZ96" localSheetId="15">#REF!</definedName>
    <definedName name="___DEZ96">#REF!</definedName>
    <definedName name="___DEZ97" localSheetId="15">#REF!</definedName>
    <definedName name="___DEZ97">#REF!</definedName>
    <definedName name="___DEZ98" localSheetId="15">#REF!</definedName>
    <definedName name="___DEZ98">#REF!</definedName>
    <definedName name="___DEZ99" localSheetId="15">#REF!</definedName>
    <definedName name="___DEZ99">#REF!</definedName>
    <definedName name="___emp2">#REF!</definedName>
    <definedName name="___EXT1" localSheetId="15">#REF!</definedName>
    <definedName name="___EXT1">#REF!</definedName>
    <definedName name="___Ext2" localSheetId="15">#REF!</definedName>
    <definedName name="___Ext2">#REF!</definedName>
    <definedName name="___Fev1">#REF!</definedName>
    <definedName name="___FEV95" localSheetId="15">#REF!</definedName>
    <definedName name="___FEV95">#REF!</definedName>
    <definedName name="___FEV96" localSheetId="15">#REF!</definedName>
    <definedName name="___FEV96">#REF!</definedName>
    <definedName name="___FEV97" localSheetId="15">#REF!</definedName>
    <definedName name="___FEV97">#REF!</definedName>
    <definedName name="___FEV98" localSheetId="15">#REF!</definedName>
    <definedName name="___FEV98">#REF!</definedName>
    <definedName name="___FEV99" localSheetId="15">#REF!</definedName>
    <definedName name="___FEV99">#REF!</definedName>
    <definedName name="___ind100" localSheetId="15">#REF!</definedName>
    <definedName name="___ind100">#REF!</definedName>
    <definedName name="___Jan1">#REF!</definedName>
    <definedName name="___JAN2003" localSheetId="15">#REF!</definedName>
    <definedName name="___JAN2003">#REF!</definedName>
    <definedName name="___JAN95" localSheetId="15">#REF!</definedName>
    <definedName name="___JAN95">#REF!</definedName>
    <definedName name="___JAN96" localSheetId="15">#REF!</definedName>
    <definedName name="___JAN96">#REF!</definedName>
    <definedName name="___JAN97" localSheetId="15">#REF!</definedName>
    <definedName name="___JAN97">#REF!</definedName>
    <definedName name="___JAN98" localSheetId="15">#REF!</definedName>
    <definedName name="___JAN98">#REF!</definedName>
    <definedName name="___JAN99" localSheetId="15">#REF!</definedName>
    <definedName name="___JAN99">#REF!</definedName>
    <definedName name="___JAZ1" localSheetId="15">#REF!</definedName>
    <definedName name="___JAZ1">#REF!</definedName>
    <definedName name="___JAZ11" localSheetId="15">#REF!</definedName>
    <definedName name="___JAZ11">#REF!</definedName>
    <definedName name="___JAZ2" localSheetId="15">#REF!</definedName>
    <definedName name="___JAZ2">#REF!</definedName>
    <definedName name="___JAZ22" localSheetId="15">#REF!</definedName>
    <definedName name="___JAZ22">#REF!</definedName>
    <definedName name="___JAZ3" localSheetId="15">#REF!</definedName>
    <definedName name="___JAZ3">#REF!</definedName>
    <definedName name="___JAZ33" localSheetId="15">#REF!</definedName>
    <definedName name="___JAZ33">#REF!</definedName>
    <definedName name="___Jul1">#REF!</definedName>
    <definedName name="___JUL95" localSheetId="15">#REF!</definedName>
    <definedName name="___JUL95">#REF!</definedName>
    <definedName name="___JUL96" localSheetId="15">#REF!</definedName>
    <definedName name="___JUL96">#REF!</definedName>
    <definedName name="___JUL97" localSheetId="15">#REF!</definedName>
    <definedName name="___JUL97">#REF!</definedName>
    <definedName name="___JUL98" localSheetId="15">#REF!</definedName>
    <definedName name="___JUL98">#REF!</definedName>
    <definedName name="___JUL99" localSheetId="15">#REF!</definedName>
    <definedName name="___JUL99">#REF!</definedName>
    <definedName name="___Jun1">#REF!</definedName>
    <definedName name="___JUN95" localSheetId="15">#REF!</definedName>
    <definedName name="___JUN95">#REF!</definedName>
    <definedName name="___JUN96" localSheetId="15">#REF!</definedName>
    <definedName name="___JUN96">#REF!</definedName>
    <definedName name="___JUN97" localSheetId="15">#REF!</definedName>
    <definedName name="___JUN97">#REF!</definedName>
    <definedName name="___JUN98" localSheetId="15">#REF!</definedName>
    <definedName name="___JUN98">#REF!</definedName>
    <definedName name="___JUN99" localSheetId="15">#REF!</definedName>
    <definedName name="___JUN99">#REF!</definedName>
    <definedName name="___Mai1">#REF!</definedName>
    <definedName name="___MAI95" localSheetId="15">#REF!</definedName>
    <definedName name="___MAI95">#REF!</definedName>
    <definedName name="___MAI96" localSheetId="15">#REF!</definedName>
    <definedName name="___MAI96">#REF!</definedName>
    <definedName name="___MAI97" localSheetId="15">#REF!</definedName>
    <definedName name="___MAI97">#REF!</definedName>
    <definedName name="___MAI98" localSheetId="15">#REF!</definedName>
    <definedName name="___MAI98">#REF!</definedName>
    <definedName name="___MAI99" localSheetId="15">#REF!</definedName>
    <definedName name="___MAI99">#REF!</definedName>
    <definedName name="___Mar1">#REF!</definedName>
    <definedName name="___MAR95" localSheetId="15">#REF!</definedName>
    <definedName name="___MAR95">#REF!</definedName>
    <definedName name="___MAR96" localSheetId="15">#REF!</definedName>
    <definedName name="___MAR96">#REF!</definedName>
    <definedName name="___MAR97" localSheetId="15">#REF!</definedName>
    <definedName name="___MAR97">#REF!</definedName>
    <definedName name="___MAR98" localSheetId="15">#REF!</definedName>
    <definedName name="___MAR98">#REF!</definedName>
    <definedName name="___MAR99" localSheetId="15">#REF!</definedName>
    <definedName name="___MAR99">#REF!</definedName>
    <definedName name="___mem2">#REF!</definedName>
    <definedName name="___Nov1">#REF!</definedName>
    <definedName name="___NOV94" localSheetId="15">#REF!</definedName>
    <definedName name="___NOV94">#REF!</definedName>
    <definedName name="___NOV95" localSheetId="15">#REF!</definedName>
    <definedName name="___NOV95">#REF!</definedName>
    <definedName name="___NOV96" localSheetId="15">#REF!</definedName>
    <definedName name="___NOV96">#REF!</definedName>
    <definedName name="___NOV97" localSheetId="15">#REF!</definedName>
    <definedName name="___NOV97">#REF!</definedName>
    <definedName name="___NOV98" localSheetId="15">#REF!</definedName>
    <definedName name="___NOV98">#REF!</definedName>
    <definedName name="___NOV99" localSheetId="15">#REF!</definedName>
    <definedName name="___NOV99">#REF!</definedName>
    <definedName name="___oac2" localSheetId="15">#REF!</definedName>
    <definedName name="___oac2">#REF!</definedName>
    <definedName name="___Out1">#REF!</definedName>
    <definedName name="___OUT94" localSheetId="15">#REF!</definedName>
    <definedName name="___OUT94">#REF!</definedName>
    <definedName name="___OUT95" localSheetId="15">#REF!</definedName>
    <definedName name="___OUT95">#REF!</definedName>
    <definedName name="___OUT96" localSheetId="15">#REF!</definedName>
    <definedName name="___OUT96">#REF!</definedName>
    <definedName name="___OUT97" localSheetId="15">#REF!</definedName>
    <definedName name="___OUT97">#REF!</definedName>
    <definedName name="___OUT98" localSheetId="1" hidden="1">{#N/A,#N/A,TRUE,"Serviços"}</definedName>
    <definedName name="___OUT98" localSheetId="4" hidden="1">{#N/A,#N/A,TRUE,"Serviços"}</definedName>
    <definedName name="___OUT98" localSheetId="24" hidden="1">{#N/A,#N/A,TRUE,"Serviços"}</definedName>
    <definedName name="___OUT98" localSheetId="25" hidden="1">{#N/A,#N/A,TRUE,"Serviços"}</definedName>
    <definedName name="___OUT98" localSheetId="27" hidden="1">{#N/A,#N/A,TRUE,"Serviços"}</definedName>
    <definedName name="___OUT98" localSheetId="20" hidden="1">{#N/A,#N/A,TRUE,"Serviços"}</definedName>
    <definedName name="___OUT98" localSheetId="15" hidden="1">{#N/A,#N/A,TRUE,"Serviços"}</definedName>
    <definedName name="___OUT98" localSheetId="18" hidden="1">{#N/A,#N/A,TRUE,"Serviços"}</definedName>
    <definedName name="___OUT98" hidden="1">{#N/A,#N/A,TRUE,"Serviços"}</definedName>
    <definedName name="___OUT99" localSheetId="15">#REF!</definedName>
    <definedName name="___OUT99">#REF!</definedName>
    <definedName name="___PL1" localSheetId="15">#REF!</definedName>
    <definedName name="___PL1">#REF!</definedName>
    <definedName name="___QQ2">#N/A</definedName>
    <definedName name="___r" localSheetId="15">#REF!</definedName>
    <definedName name="___r">#REF!</definedName>
    <definedName name="___Rbv1">#REF!</definedName>
    <definedName name="___reg1">#REF!</definedName>
    <definedName name="___reg3">#REF!</definedName>
    <definedName name="___reg5">#REF!</definedName>
    <definedName name="___reg7">#REF!</definedName>
    <definedName name="___RET1" localSheetId="15">#REF!</definedName>
    <definedName name="___RET1">#REF!</definedName>
    <definedName name="___SE2" localSheetId="15">#REF!</definedName>
    <definedName name="___SE2">#REF!</definedName>
    <definedName name="___Set1">#REF!</definedName>
    <definedName name="___SET94" localSheetId="15">#REF!</definedName>
    <definedName name="___SET94">#REF!</definedName>
    <definedName name="___SET95" localSheetId="15">#REF!</definedName>
    <definedName name="___SET95">#REF!</definedName>
    <definedName name="___SET96" localSheetId="15">#REF!</definedName>
    <definedName name="___SET96">#REF!</definedName>
    <definedName name="___SET97" localSheetId="15">#REF!</definedName>
    <definedName name="___SET97">#REF!</definedName>
    <definedName name="___SET98" localSheetId="15">#REF!</definedName>
    <definedName name="___SET98">#REF!</definedName>
    <definedName name="___SET99" localSheetId="15">#REF!</definedName>
    <definedName name="___SET99">#REF!</definedName>
    <definedName name="___STC04" localSheetId="15">#REF!</definedName>
    <definedName name="___STC04">#REF!</definedName>
    <definedName name="___TCB5">#REF!</definedName>
    <definedName name="___tsd4" localSheetId="15">#REF!</definedName>
    <definedName name="___tsd4">#REF!</definedName>
    <definedName name="___TT102" localSheetId="15">#REF!</definedName>
    <definedName name="___TT102">#REF!</definedName>
    <definedName name="___TT107" localSheetId="15">#REF!</definedName>
    <definedName name="___TT107">#REF!</definedName>
    <definedName name="___TT121" localSheetId="15">#REF!</definedName>
    <definedName name="___TT121">#REF!</definedName>
    <definedName name="___TT123" localSheetId="15">#REF!</definedName>
    <definedName name="___TT123">#REF!</definedName>
    <definedName name="___TT19" localSheetId="15">#REF!</definedName>
    <definedName name="___TT19">#REF!</definedName>
    <definedName name="___TT20" localSheetId="15">#REF!</definedName>
    <definedName name="___TT20">#REF!</definedName>
    <definedName name="___TT21" localSheetId="15">#REF!</definedName>
    <definedName name="___TT21">#REF!</definedName>
    <definedName name="___TT22" localSheetId="15">#REF!</definedName>
    <definedName name="___TT22">#REF!</definedName>
    <definedName name="___TT26" localSheetId="15">#REF!</definedName>
    <definedName name="___TT26">#REF!</definedName>
    <definedName name="___TT27" localSheetId="15">#REF!</definedName>
    <definedName name="___TT27">#REF!</definedName>
    <definedName name="___TT28" localSheetId="15">#REF!</definedName>
    <definedName name="___TT28">#REF!</definedName>
    <definedName name="___TT30" localSheetId="15">#REF!</definedName>
    <definedName name="___TT30">#REF!</definedName>
    <definedName name="___TT31" localSheetId="15">#REF!</definedName>
    <definedName name="___TT31">#REF!</definedName>
    <definedName name="___TT32" localSheetId="15">#REF!</definedName>
    <definedName name="___TT32">#REF!</definedName>
    <definedName name="___TT33" localSheetId="15">#REF!</definedName>
    <definedName name="___TT33">#REF!</definedName>
    <definedName name="___TT34" localSheetId="15">#REF!</definedName>
    <definedName name="___TT34">#REF!</definedName>
    <definedName name="___TT36" localSheetId="15">#REF!</definedName>
    <definedName name="___TT36">#REF!</definedName>
    <definedName name="___TT37" localSheetId="15">#REF!</definedName>
    <definedName name="___TT37">#REF!</definedName>
    <definedName name="___TT38" localSheetId="15">#REF!</definedName>
    <definedName name="___TT38">#REF!</definedName>
    <definedName name="___TT39" localSheetId="15">#REF!</definedName>
    <definedName name="___TT39">#REF!</definedName>
    <definedName name="___TT40" localSheetId="15">#REF!</definedName>
    <definedName name="___TT40">#REF!</definedName>
    <definedName name="___TT5" localSheetId="15">#REF!</definedName>
    <definedName name="___TT5">#REF!</definedName>
    <definedName name="___TT52" localSheetId="15">#REF!</definedName>
    <definedName name="___TT52">#REF!</definedName>
    <definedName name="___TT53" localSheetId="15">#REF!</definedName>
    <definedName name="___TT53">#REF!</definedName>
    <definedName name="___TT54" localSheetId="15">#REF!</definedName>
    <definedName name="___TT54">#REF!</definedName>
    <definedName name="___TT55" localSheetId="15">#REF!</definedName>
    <definedName name="___TT55">#REF!</definedName>
    <definedName name="___TT6" localSheetId="15">#REF!</definedName>
    <definedName name="___TT6">#REF!</definedName>
    <definedName name="___TT60" localSheetId="15">#REF!</definedName>
    <definedName name="___TT60">#REF!</definedName>
    <definedName name="___TT61" localSheetId="15">#REF!</definedName>
    <definedName name="___TT61">#REF!</definedName>
    <definedName name="___TT69" localSheetId="15">#REF!</definedName>
    <definedName name="___TT69">#REF!</definedName>
    <definedName name="___TT7" localSheetId="15">#REF!</definedName>
    <definedName name="___TT7">#REF!</definedName>
    <definedName name="___TT70" localSheetId="15">#REF!</definedName>
    <definedName name="___TT70">#REF!</definedName>
    <definedName name="___TT71" localSheetId="15">#REF!</definedName>
    <definedName name="___TT71">#REF!</definedName>
    <definedName name="___TT74" localSheetId="15">#REF!</definedName>
    <definedName name="___TT74">#REF!</definedName>
    <definedName name="___TT75" localSheetId="15">#REF!</definedName>
    <definedName name="___TT75">#REF!</definedName>
    <definedName name="___TT76" localSheetId="15">#REF!</definedName>
    <definedName name="___TT76">#REF!</definedName>
    <definedName name="___TT77" localSheetId="15">#REF!</definedName>
    <definedName name="___TT77">#REF!</definedName>
    <definedName name="___TT78" localSheetId="15">#REF!</definedName>
    <definedName name="___TT78">#REF!</definedName>
    <definedName name="___TT79" localSheetId="15">#REF!</definedName>
    <definedName name="___TT79">#REF!</definedName>
    <definedName name="___TT94" localSheetId="15">#REF!</definedName>
    <definedName name="___TT94">#REF!</definedName>
    <definedName name="___TT95" localSheetId="15">#REF!</definedName>
    <definedName name="___TT95">#REF!</definedName>
    <definedName name="___TT97" localSheetId="15">#REF!</definedName>
    <definedName name="___TT97">#REF!</definedName>
    <definedName name="___xlnm.Print_Area_4">NA()</definedName>
    <definedName name="__123Graph_A" localSheetId="4" hidden="1">#REF!</definedName>
    <definedName name="__123Graph_A" localSheetId="15" hidden="1">#REF!</definedName>
    <definedName name="__123Graph_A" localSheetId="23" hidden="1">#REF!</definedName>
    <definedName name="__123Graph_A" hidden="1">#REF!</definedName>
    <definedName name="__123Graph_AGraph1" localSheetId="4" hidden="1">#REF!</definedName>
    <definedName name="__123Graph_AGraph1" localSheetId="15" hidden="1">#REF!</definedName>
    <definedName name="__123Graph_AGraph1" localSheetId="23" hidden="1">#REF!</definedName>
    <definedName name="__123Graph_AGraph1" hidden="1">#REF!</definedName>
    <definedName name="__123Graph_AGraph10" localSheetId="4" hidden="1">#REF!</definedName>
    <definedName name="__123Graph_AGraph10" localSheetId="15" hidden="1">#REF!</definedName>
    <definedName name="__123Graph_AGraph10" localSheetId="23" hidden="1">#REF!</definedName>
    <definedName name="__123Graph_AGraph10" hidden="1">#REF!</definedName>
    <definedName name="__123Graph_AGraph11" localSheetId="4" hidden="1">#REF!</definedName>
    <definedName name="__123Graph_AGraph11" localSheetId="15" hidden="1">#REF!</definedName>
    <definedName name="__123Graph_AGraph11" localSheetId="23" hidden="1">#REF!</definedName>
    <definedName name="__123Graph_AGraph11" hidden="1">#REF!</definedName>
    <definedName name="__123Graph_AGraph12" localSheetId="4" hidden="1">#REF!</definedName>
    <definedName name="__123Graph_AGraph12" localSheetId="15" hidden="1">#REF!</definedName>
    <definedName name="__123Graph_AGraph12" localSheetId="23" hidden="1">#REF!</definedName>
    <definedName name="__123Graph_AGraph12" hidden="1">#REF!</definedName>
    <definedName name="__123Graph_AGraph2" localSheetId="4" hidden="1">#REF!</definedName>
    <definedName name="__123Graph_AGraph2" localSheetId="15" hidden="1">#REF!</definedName>
    <definedName name="__123Graph_AGraph2" localSheetId="23" hidden="1">#REF!</definedName>
    <definedName name="__123Graph_AGraph2" hidden="1">#REF!</definedName>
    <definedName name="__123Graph_AGraph3" localSheetId="4" hidden="1">#REF!</definedName>
    <definedName name="__123Graph_AGraph3" localSheetId="15" hidden="1">#REF!</definedName>
    <definedName name="__123Graph_AGraph3" localSheetId="23" hidden="1">#REF!</definedName>
    <definedName name="__123Graph_AGraph3" hidden="1">#REF!</definedName>
    <definedName name="__123Graph_AGraph4" localSheetId="4" hidden="1">#REF!</definedName>
    <definedName name="__123Graph_AGraph4" localSheetId="15" hidden="1">#REF!</definedName>
    <definedName name="__123Graph_AGraph4" localSheetId="23" hidden="1">#REF!</definedName>
    <definedName name="__123Graph_AGraph4" hidden="1">#REF!</definedName>
    <definedName name="__123Graph_AGraph5" localSheetId="4" hidden="1">#REF!</definedName>
    <definedName name="__123Graph_AGraph5" localSheetId="15" hidden="1">#REF!</definedName>
    <definedName name="__123Graph_AGraph5" localSheetId="23" hidden="1">#REF!</definedName>
    <definedName name="__123Graph_AGraph5" hidden="1">#REF!</definedName>
    <definedName name="__123Graph_AGraph6" localSheetId="4" hidden="1">#REF!</definedName>
    <definedName name="__123Graph_AGraph6" localSheetId="15" hidden="1">#REF!</definedName>
    <definedName name="__123Graph_AGraph6" localSheetId="23" hidden="1">#REF!</definedName>
    <definedName name="__123Graph_AGraph6" hidden="1">#REF!</definedName>
    <definedName name="__123Graph_AGraph7" localSheetId="4" hidden="1">#REF!</definedName>
    <definedName name="__123Graph_AGraph7" localSheetId="15" hidden="1">#REF!</definedName>
    <definedName name="__123Graph_AGraph7" localSheetId="23" hidden="1">#REF!</definedName>
    <definedName name="__123Graph_AGraph7" hidden="1">#REF!</definedName>
    <definedName name="__123Graph_AGraph8" localSheetId="4" hidden="1">#REF!</definedName>
    <definedName name="__123Graph_AGraph8" localSheetId="15" hidden="1">#REF!</definedName>
    <definedName name="__123Graph_AGraph8" localSheetId="23" hidden="1">#REF!</definedName>
    <definedName name="__123Graph_AGraph8" hidden="1">#REF!</definedName>
    <definedName name="__123Graph_AGraph9" localSheetId="4" hidden="1">#REF!</definedName>
    <definedName name="__123Graph_AGraph9" localSheetId="15" hidden="1">#REF!</definedName>
    <definedName name="__123Graph_AGraph9" localSheetId="23" hidden="1">#REF!</definedName>
    <definedName name="__123Graph_AGraph9" hidden="1">#REF!</definedName>
    <definedName name="__123Graph_B" localSheetId="4" hidden="1">#REF!</definedName>
    <definedName name="__123Graph_B" localSheetId="15" hidden="1">#REF!</definedName>
    <definedName name="__123Graph_B" localSheetId="23" hidden="1">#REF!</definedName>
    <definedName name="__123Graph_B" hidden="1">#REF!</definedName>
    <definedName name="__123Graph_BGraph1" localSheetId="4" hidden="1">#REF!</definedName>
    <definedName name="__123Graph_BGraph1" localSheetId="15" hidden="1">#REF!</definedName>
    <definedName name="__123Graph_BGraph1" localSheetId="23" hidden="1">#REF!</definedName>
    <definedName name="__123Graph_BGraph1" hidden="1">#REF!</definedName>
    <definedName name="__123Graph_BGraph10" localSheetId="4" hidden="1">#REF!</definedName>
    <definedName name="__123Graph_BGraph10" localSheetId="15" hidden="1">#REF!</definedName>
    <definedName name="__123Graph_BGraph10" localSheetId="23" hidden="1">#REF!</definedName>
    <definedName name="__123Graph_BGraph10" hidden="1">#REF!</definedName>
    <definedName name="__123Graph_BGraph11" localSheetId="4" hidden="1">#REF!</definedName>
    <definedName name="__123Graph_BGraph11" localSheetId="15" hidden="1">#REF!</definedName>
    <definedName name="__123Graph_BGraph11" localSheetId="23" hidden="1">#REF!</definedName>
    <definedName name="__123Graph_BGraph11" hidden="1">#REF!</definedName>
    <definedName name="__123Graph_BGraph12" localSheetId="4" hidden="1">#REF!</definedName>
    <definedName name="__123Graph_BGraph12" localSheetId="15" hidden="1">#REF!</definedName>
    <definedName name="__123Graph_BGraph12" localSheetId="23" hidden="1">#REF!</definedName>
    <definedName name="__123Graph_BGraph12" hidden="1">#REF!</definedName>
    <definedName name="__123Graph_BGraph2" localSheetId="4" hidden="1">#REF!</definedName>
    <definedName name="__123Graph_BGraph2" localSheetId="15" hidden="1">#REF!</definedName>
    <definedName name="__123Graph_BGraph2" localSheetId="23" hidden="1">#REF!</definedName>
    <definedName name="__123Graph_BGraph2" hidden="1">#REF!</definedName>
    <definedName name="__123Graph_BGraph3" localSheetId="4" hidden="1">#REF!</definedName>
    <definedName name="__123Graph_BGraph3" localSheetId="15" hidden="1">#REF!</definedName>
    <definedName name="__123Graph_BGraph3" localSheetId="23" hidden="1">#REF!</definedName>
    <definedName name="__123Graph_BGraph3" hidden="1">#REF!</definedName>
    <definedName name="__123Graph_BGraph4" localSheetId="4" hidden="1">#REF!</definedName>
    <definedName name="__123Graph_BGraph4" localSheetId="15" hidden="1">#REF!</definedName>
    <definedName name="__123Graph_BGraph4" localSheetId="23" hidden="1">#REF!</definedName>
    <definedName name="__123Graph_BGraph4" hidden="1">#REF!</definedName>
    <definedName name="__123Graph_BGraph5" localSheetId="4" hidden="1">#REF!</definedName>
    <definedName name="__123Graph_BGraph5" localSheetId="15" hidden="1">#REF!</definedName>
    <definedName name="__123Graph_BGraph5" localSheetId="23" hidden="1">#REF!</definedName>
    <definedName name="__123Graph_BGraph5" hidden="1">#REF!</definedName>
    <definedName name="__123Graph_BGraph6" localSheetId="4" hidden="1">#REF!</definedName>
    <definedName name="__123Graph_BGraph6" localSheetId="15" hidden="1">#REF!</definedName>
    <definedName name="__123Graph_BGraph6" localSheetId="23" hidden="1">#REF!</definedName>
    <definedName name="__123Graph_BGraph6" hidden="1">#REF!</definedName>
    <definedName name="__123Graph_BGraph7" localSheetId="4" hidden="1">#REF!</definedName>
    <definedName name="__123Graph_BGraph7" localSheetId="15" hidden="1">#REF!</definedName>
    <definedName name="__123Graph_BGraph7" localSheetId="23" hidden="1">#REF!</definedName>
    <definedName name="__123Graph_BGraph7" hidden="1">#REF!</definedName>
    <definedName name="__123Graph_BGraph8" localSheetId="4" hidden="1">#REF!</definedName>
    <definedName name="__123Graph_BGraph8" localSheetId="15" hidden="1">#REF!</definedName>
    <definedName name="__123Graph_BGraph8" localSheetId="23" hidden="1">#REF!</definedName>
    <definedName name="__123Graph_BGraph8" hidden="1">#REF!</definedName>
    <definedName name="__123Graph_BGraph9" localSheetId="4" hidden="1">#REF!</definedName>
    <definedName name="__123Graph_BGraph9" localSheetId="15" hidden="1">#REF!</definedName>
    <definedName name="__123Graph_BGraph9" localSheetId="23" hidden="1">#REF!</definedName>
    <definedName name="__123Graph_BGraph9" hidden="1">#REF!</definedName>
    <definedName name="__123Graph_C" hidden="1">#REF!</definedName>
    <definedName name="__123Graph_CGraph7" hidden="1">#REF!</definedName>
    <definedName name="__123Graph_CGraph8" hidden="1">#REF!</definedName>
    <definedName name="__123Graph_D" hidden="1">#REF!</definedName>
    <definedName name="__123Graph_DGraph7" hidden="1">#REF!</definedName>
    <definedName name="__123Graph_DGraph8" hidden="1">#REF!</definedName>
    <definedName name="__123Graph_E" hidden="1">#REF!</definedName>
    <definedName name="__123Graph_EGraph7" hidden="1">#REF!</definedName>
    <definedName name="__123Graph_EGraph8" hidden="1">#REF!</definedName>
    <definedName name="__123Graph_X" localSheetId="4" hidden="1">#REF!</definedName>
    <definedName name="__123Graph_X" localSheetId="15" hidden="1">#REF!</definedName>
    <definedName name="__123Graph_X" localSheetId="23" hidden="1">#REF!</definedName>
    <definedName name="__123Graph_X" hidden="1">#REF!</definedName>
    <definedName name="__123Graph_XGraph1" localSheetId="4" hidden="1">#REF!</definedName>
    <definedName name="__123Graph_XGraph1" localSheetId="15" hidden="1">#REF!</definedName>
    <definedName name="__123Graph_XGraph1" localSheetId="23" hidden="1">#REF!</definedName>
    <definedName name="__123Graph_XGraph1" hidden="1">#REF!</definedName>
    <definedName name="__123Graph_XGraph10" localSheetId="4" hidden="1">#REF!</definedName>
    <definedName name="__123Graph_XGraph10" localSheetId="15" hidden="1">#REF!</definedName>
    <definedName name="__123Graph_XGraph10" localSheetId="23" hidden="1">#REF!</definedName>
    <definedName name="__123Graph_XGraph10" hidden="1">#REF!</definedName>
    <definedName name="__123Graph_XGraph11" localSheetId="4" hidden="1">#REF!</definedName>
    <definedName name="__123Graph_XGraph11" localSheetId="15" hidden="1">#REF!</definedName>
    <definedName name="__123Graph_XGraph11" localSheetId="23" hidden="1">#REF!</definedName>
    <definedName name="__123Graph_XGraph11" hidden="1">#REF!</definedName>
    <definedName name="__123Graph_XGraph12" localSheetId="4" hidden="1">#REF!</definedName>
    <definedName name="__123Graph_XGraph12" localSheetId="15" hidden="1">#REF!</definedName>
    <definedName name="__123Graph_XGraph12" localSheetId="23" hidden="1">#REF!</definedName>
    <definedName name="__123Graph_XGraph12" hidden="1">#REF!</definedName>
    <definedName name="__123Graph_XGraph2" localSheetId="4" hidden="1">#REF!</definedName>
    <definedName name="__123Graph_XGraph2" localSheetId="15" hidden="1">#REF!</definedName>
    <definedName name="__123Graph_XGraph2" localSheetId="23" hidden="1">#REF!</definedName>
    <definedName name="__123Graph_XGraph2" hidden="1">#REF!</definedName>
    <definedName name="__123Graph_XGraph3" localSheetId="4" hidden="1">#REF!</definedName>
    <definedName name="__123Graph_XGraph3" localSheetId="15" hidden="1">#REF!</definedName>
    <definedName name="__123Graph_XGraph3" localSheetId="23" hidden="1">#REF!</definedName>
    <definedName name="__123Graph_XGraph3" hidden="1">#REF!</definedName>
    <definedName name="__123Graph_XGraph4" localSheetId="4" hidden="1">#REF!</definedName>
    <definedName name="__123Graph_XGraph4" localSheetId="15" hidden="1">#REF!</definedName>
    <definedName name="__123Graph_XGraph4" localSheetId="23" hidden="1">#REF!</definedName>
    <definedName name="__123Graph_XGraph4" hidden="1">#REF!</definedName>
    <definedName name="__123Graph_XGraph5" localSheetId="4" hidden="1">#REF!</definedName>
    <definedName name="__123Graph_XGraph5" localSheetId="15" hidden="1">#REF!</definedName>
    <definedName name="__123Graph_XGraph5" localSheetId="23" hidden="1">#REF!</definedName>
    <definedName name="__123Graph_XGraph5" hidden="1">#REF!</definedName>
    <definedName name="__123Graph_XGraph6" localSheetId="4" hidden="1">#REF!</definedName>
    <definedName name="__123Graph_XGraph6" localSheetId="15" hidden="1">#REF!</definedName>
    <definedName name="__123Graph_XGraph6" localSheetId="23" hidden="1">#REF!</definedName>
    <definedName name="__123Graph_XGraph6" hidden="1">#REF!</definedName>
    <definedName name="__123Graph_XGraph7" localSheetId="4" hidden="1">#REF!</definedName>
    <definedName name="__123Graph_XGraph7" localSheetId="15" hidden="1">#REF!</definedName>
    <definedName name="__123Graph_XGraph7" localSheetId="23" hidden="1">#REF!</definedName>
    <definedName name="__123Graph_XGraph7" hidden="1">#REF!</definedName>
    <definedName name="__123Graph_XGraph8" localSheetId="4" hidden="1">#REF!</definedName>
    <definedName name="__123Graph_XGraph8" localSheetId="15" hidden="1">#REF!</definedName>
    <definedName name="__123Graph_XGraph8" localSheetId="23" hidden="1">#REF!</definedName>
    <definedName name="__123Graph_XGraph8" hidden="1">#REF!</definedName>
    <definedName name="__123Graph_XGraph9" localSheetId="4" hidden="1">#REF!</definedName>
    <definedName name="__123Graph_XGraph9" localSheetId="15" hidden="1">#REF!</definedName>
    <definedName name="__123Graph_XGraph9" localSheetId="23" hidden="1">#REF!</definedName>
    <definedName name="__123Graph_XGraph9" hidden="1">#REF!</definedName>
    <definedName name="__ABR95" localSheetId="15">#REF!</definedName>
    <definedName name="__ABR95">#REF!</definedName>
    <definedName name="__ABR96" localSheetId="15">#REF!</definedName>
    <definedName name="__ABR96">#REF!</definedName>
    <definedName name="__ABR97" localSheetId="15">#REF!</definedName>
    <definedName name="__ABR97">#REF!</definedName>
    <definedName name="__ABR98" localSheetId="15">#REF!</definedName>
    <definedName name="__ABR98">#REF!</definedName>
    <definedName name="__ABR99" localSheetId="15">#REF!</definedName>
    <definedName name="__ABR99">#REF!</definedName>
    <definedName name="__ACA25">#REF!</definedName>
    <definedName name="__ACA50">#REF!</definedName>
    <definedName name="__ACM30">#REF!</definedName>
    <definedName name="__AGO95" localSheetId="15">#REF!</definedName>
    <definedName name="__AGO95">#REF!</definedName>
    <definedName name="__AGO96" localSheetId="15">#REF!</definedName>
    <definedName name="__AGO96">#REF!</definedName>
    <definedName name="__AGO97" localSheetId="15">#REF!</definedName>
    <definedName name="__AGO97">#REF!</definedName>
    <definedName name="__AGO98" localSheetId="15">#REF!</definedName>
    <definedName name="__AGO98">#REF!</definedName>
    <definedName name="__AGO99" localSheetId="15">#REF!</definedName>
    <definedName name="__AGO99">#REF!</definedName>
    <definedName name="__arg13" localSheetId="15">#REF!</definedName>
    <definedName name="__arg13">#REF!</definedName>
    <definedName name="__arg16" localSheetId="15">#REF!</definedName>
    <definedName name="__arg16">#REF!</definedName>
    <definedName name="__ATD1">#REF!</definedName>
    <definedName name="__BDI1">#N/A</definedName>
    <definedName name="__bdi100">#REF!</definedName>
    <definedName name="__BDI2">#REF!</definedName>
    <definedName name="__Brz1">#REF!</definedName>
    <definedName name="__Brz2">#REF!</definedName>
    <definedName name="__cab1" localSheetId="15">#REF!</definedName>
    <definedName name="__cab1">#REF!</definedName>
    <definedName name="__CEF200" localSheetId="18" hidden="1">{#N/A,#N/A,FALSE,"MO (2)"}</definedName>
    <definedName name="__CEF200" hidden="1">{#N/A,#N/A,FALSE,"MO (2)"}</definedName>
    <definedName name="__CEF222" localSheetId="18" hidden="1">{#N/A,#N/A,FALSE,"MO (2)"}</definedName>
    <definedName name="__CEF222" hidden="1">{#N/A,#N/A,FALSE,"MO (2)"}</definedName>
    <definedName name="__CEF300" localSheetId="18" hidden="1">{#N/A,#N/A,FALSE,"MO (2)"}</definedName>
    <definedName name="__CEF300" hidden="1">{#N/A,#N/A,FALSE,"MO (2)"}</definedName>
    <definedName name="__CEF500" localSheetId="18" hidden="1">{#N/A,#N/A,FALSE,"MO (2)"}</definedName>
    <definedName name="__CEF500" hidden="1">{#N/A,#N/A,FALSE,"MO (2)"}</definedName>
    <definedName name="__CMM30">#REF!</definedName>
    <definedName name="__DEZ94" localSheetId="15">#REF!</definedName>
    <definedName name="__DEZ94">#REF!</definedName>
    <definedName name="__DEZ95" localSheetId="15">#REF!</definedName>
    <definedName name="__DEZ95">#REF!</definedName>
    <definedName name="__DEZ96" localSheetId="15">#REF!</definedName>
    <definedName name="__DEZ96">#REF!</definedName>
    <definedName name="__DEZ97" localSheetId="15">#REF!</definedName>
    <definedName name="__DEZ97">#REF!</definedName>
    <definedName name="__DEZ98" localSheetId="15">#REF!</definedName>
    <definedName name="__DEZ98">#REF!</definedName>
    <definedName name="__DEZ99" localSheetId="15">#REF!</definedName>
    <definedName name="__DEZ99">#REF!</definedName>
    <definedName name="__emp2">#REF!</definedName>
    <definedName name="__EXT1" localSheetId="15">#REF!</definedName>
    <definedName name="__EXT1">#REF!</definedName>
    <definedName name="__Ext2" localSheetId="15">#REF!</definedName>
    <definedName name="__Ext2">#REF!</definedName>
    <definedName name="__FEV95" localSheetId="15">#REF!</definedName>
    <definedName name="__FEV95">#REF!</definedName>
    <definedName name="__FEV96" localSheetId="15">#REF!</definedName>
    <definedName name="__FEV96">#REF!</definedName>
    <definedName name="__FEV97" localSheetId="15">#REF!</definedName>
    <definedName name="__FEV97">#REF!</definedName>
    <definedName name="__FEV98" localSheetId="15">#REF!</definedName>
    <definedName name="__FEV98">#REF!</definedName>
    <definedName name="__FEV99" localSheetId="15">#REF!</definedName>
    <definedName name="__FEV99">#REF!</definedName>
    <definedName name="__FOL3">#REF!</definedName>
    <definedName name="__FOL4">#REF!</definedName>
    <definedName name="__ind100" localSheetId="15">#REF!</definedName>
    <definedName name="__ind100">#REF!</definedName>
    <definedName name="__IntlFixup" hidden="1">TRUE</definedName>
    <definedName name="__JAN2003" localSheetId="15">#REF!</definedName>
    <definedName name="__JAN2003">#REF!</definedName>
    <definedName name="__JAN95" localSheetId="15">#REF!</definedName>
    <definedName name="__JAN95">#REF!</definedName>
    <definedName name="__JAN96" localSheetId="15">#REF!</definedName>
    <definedName name="__JAN96">#REF!</definedName>
    <definedName name="__JAN97" localSheetId="15">#REF!</definedName>
    <definedName name="__JAN97">#REF!</definedName>
    <definedName name="__JAN98" localSheetId="15">#REF!</definedName>
    <definedName name="__JAN98">#REF!</definedName>
    <definedName name="__JAN99" localSheetId="15">#REF!</definedName>
    <definedName name="__JAN99">#REF!</definedName>
    <definedName name="__JAZ1" localSheetId="15">#REF!</definedName>
    <definedName name="__JAZ1">#REF!</definedName>
    <definedName name="__JAZ11" localSheetId="15">#REF!</definedName>
    <definedName name="__JAZ11">#REF!</definedName>
    <definedName name="__JAZ2" localSheetId="15">#REF!</definedName>
    <definedName name="__JAZ2">#REF!</definedName>
    <definedName name="__JAZ22" localSheetId="15">#REF!</definedName>
    <definedName name="__JAZ22">#REF!</definedName>
    <definedName name="__JAZ3" localSheetId="15">#REF!</definedName>
    <definedName name="__JAZ3">#REF!</definedName>
    <definedName name="__JAZ33" localSheetId="15">#REF!</definedName>
    <definedName name="__JAZ33">#REF!</definedName>
    <definedName name="__JUL95" localSheetId="15">#REF!</definedName>
    <definedName name="__JUL95">#REF!</definedName>
    <definedName name="__JUL96" localSheetId="15">#REF!</definedName>
    <definedName name="__JUL96">#REF!</definedName>
    <definedName name="__JUL97" localSheetId="15">#REF!</definedName>
    <definedName name="__JUL97">#REF!</definedName>
    <definedName name="__JUL98" localSheetId="15">#REF!</definedName>
    <definedName name="__JUL98">#REF!</definedName>
    <definedName name="__JUL99" localSheetId="15">#REF!</definedName>
    <definedName name="__JUL99">#REF!</definedName>
    <definedName name="__JUN95" localSheetId="15">#REF!</definedName>
    <definedName name="__JUN95">#REF!</definedName>
    <definedName name="__JUN96" localSheetId="15">#REF!</definedName>
    <definedName name="__JUN96">#REF!</definedName>
    <definedName name="__JUN97" localSheetId="15">#REF!</definedName>
    <definedName name="__JUN97">#REF!</definedName>
    <definedName name="__JUN98" localSheetId="15">#REF!</definedName>
    <definedName name="__JUN98">#REF!</definedName>
    <definedName name="__JUN99" localSheetId="15">#REF!</definedName>
    <definedName name="__JUN99">#REF!</definedName>
    <definedName name="__LAG2">#REF!</definedName>
    <definedName name="__MAI95" localSheetId="15">#REF!</definedName>
    <definedName name="__MAI95">#REF!</definedName>
    <definedName name="__MAI96" localSheetId="15">#REF!</definedName>
    <definedName name="__MAI96">#REF!</definedName>
    <definedName name="__MAI97" localSheetId="15">#REF!</definedName>
    <definedName name="__MAI97">#REF!</definedName>
    <definedName name="__MAI98" localSheetId="15">#REF!</definedName>
    <definedName name="__MAI98">#REF!</definedName>
    <definedName name="__MAI99" localSheetId="15">#REF!</definedName>
    <definedName name="__MAI99">#REF!</definedName>
    <definedName name="__MAR95" localSheetId="15">#REF!</definedName>
    <definedName name="__MAR95">#REF!</definedName>
    <definedName name="__MAR96" localSheetId="15">#REF!</definedName>
    <definedName name="__MAR96">#REF!</definedName>
    <definedName name="__MAR97" localSheetId="15">#REF!</definedName>
    <definedName name="__MAR97">#REF!</definedName>
    <definedName name="__MAR98" localSheetId="15">#REF!</definedName>
    <definedName name="__MAR98">#REF!</definedName>
    <definedName name="__MAR99" localSheetId="15">#REF!</definedName>
    <definedName name="__MAR99">#REF!</definedName>
    <definedName name="__mem2">#REF!</definedName>
    <definedName name="__MO2">#REF!</definedName>
    <definedName name="__NOV94" localSheetId="15">#REF!</definedName>
    <definedName name="__NOV94">#REF!</definedName>
    <definedName name="__NOV95" localSheetId="15">#REF!</definedName>
    <definedName name="__NOV95">#REF!</definedName>
    <definedName name="__NOV96" localSheetId="15">#REF!</definedName>
    <definedName name="__NOV96">#REF!</definedName>
    <definedName name="__NOV97" localSheetId="15">#REF!</definedName>
    <definedName name="__NOV97">#REF!</definedName>
    <definedName name="__NOV98" localSheetId="15">#REF!</definedName>
    <definedName name="__NOV98">#REF!</definedName>
    <definedName name="__NOV99" localSheetId="15">#REF!</definedName>
    <definedName name="__NOV99">#REF!</definedName>
    <definedName name="__oac2" localSheetId="15">#REF!</definedName>
    <definedName name="__oac2">#REF!</definedName>
    <definedName name="__OUT94" localSheetId="15">#REF!</definedName>
    <definedName name="__OUT94">#REF!</definedName>
    <definedName name="__OUT95" localSheetId="15">#REF!</definedName>
    <definedName name="__OUT95">#REF!</definedName>
    <definedName name="__OUT96" localSheetId="15">#REF!</definedName>
    <definedName name="__OUT96">#REF!</definedName>
    <definedName name="__OUT97" localSheetId="15">#REF!</definedName>
    <definedName name="__OUT97">#REF!</definedName>
    <definedName name="__OUT98" localSheetId="1" hidden="1">{#N/A,#N/A,TRUE,"Serviços"}</definedName>
    <definedName name="__OUT98" localSheetId="4" hidden="1">{#N/A,#N/A,TRUE,"Serviços"}</definedName>
    <definedName name="__OUT98" localSheetId="24" hidden="1">{#N/A,#N/A,TRUE,"Serviços"}</definedName>
    <definedName name="__OUT98" localSheetId="25" hidden="1">{#N/A,#N/A,TRUE,"Serviços"}</definedName>
    <definedName name="__OUT98" localSheetId="27" hidden="1">{#N/A,#N/A,TRUE,"Serviços"}</definedName>
    <definedName name="__OUT98" localSheetId="20" hidden="1">{#N/A,#N/A,TRUE,"Serviços"}</definedName>
    <definedName name="__OUT98" localSheetId="15" hidden="1">{#N/A,#N/A,TRUE,"Serviços"}</definedName>
    <definedName name="__OUT98" localSheetId="18" hidden="1">{#N/A,#N/A,TRUE,"Serviços"}</definedName>
    <definedName name="__OUT98" hidden="1">{#N/A,#N/A,TRUE,"Serviços"}</definedName>
    <definedName name="__OUT988888" localSheetId="18" hidden="1">{#N/A,#N/A,TRUE,"Serviços"}</definedName>
    <definedName name="__OUT988888" hidden="1">{#N/A,#N/A,TRUE,"Serviços"}</definedName>
    <definedName name="__OUT99" localSheetId="15">#REF!</definedName>
    <definedName name="__OUT99">#REF!</definedName>
    <definedName name="__PA01" localSheetId="18" hidden="1">{"'teste'!$B$2:$R$49"}</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av2" localSheetId="15">#REF!</definedName>
    <definedName name="__pav2">#REF!</definedName>
    <definedName name="__PL1" localSheetId="15">#REF!</definedName>
    <definedName name="__PL1">#REF!</definedName>
    <definedName name="__PMF2">#REF!</definedName>
    <definedName name="__QQ2">#N/A</definedName>
    <definedName name="__r" localSheetId="15">#REF!</definedName>
    <definedName name="__r">#REF!</definedName>
    <definedName name="__Rbv1">#REF!</definedName>
    <definedName name="__reg1">#REF!</definedName>
    <definedName name="__reg3">#REF!</definedName>
    <definedName name="__reg5">#REF!</definedName>
    <definedName name="__reg7">#REF!</definedName>
    <definedName name="__RET1" localSheetId="15">#REF!</definedName>
    <definedName name="__RET1">#REF!</definedName>
    <definedName name="__SE2" localSheetId="15">#REF!</definedName>
    <definedName name="__SE2">#REF!</definedName>
    <definedName name="__SET94" localSheetId="15">#REF!</definedName>
    <definedName name="__SET94">#REF!</definedName>
    <definedName name="__SET95" localSheetId="15">#REF!</definedName>
    <definedName name="__SET95">#REF!</definedName>
    <definedName name="__SET96" localSheetId="15">#REF!</definedName>
    <definedName name="__SET96">#REF!</definedName>
    <definedName name="__SET97" localSheetId="15">#REF!</definedName>
    <definedName name="__SET97">#REF!</definedName>
    <definedName name="__SET98" localSheetId="15">#REF!</definedName>
    <definedName name="__SET98">#REF!</definedName>
    <definedName name="__SET99" localSheetId="15">#REF!</definedName>
    <definedName name="__SET99">#REF!</definedName>
    <definedName name="__STC04" localSheetId="15">#REF!</definedName>
    <definedName name="__STC04">#REF!</definedName>
    <definedName name="__tab0198">#REF!</definedName>
    <definedName name="__TB10">"'file:///D:/Meus documentos/ANASTÁCIO/SERCEL/BR262990800.xls'#$TLMB.$#REF!$#REF!"</definedName>
    <definedName name="__tb97">"$#REF!.$E$71"</definedName>
    <definedName name="__tbw97">"$#REF!.$E$73"</definedName>
    <definedName name="__TCB4">"$#REF!.$I$26"</definedName>
    <definedName name="__TCB5">#REF!</definedName>
    <definedName name="__TCC4">"$#REF!.$I$18"</definedName>
    <definedName name="__TCM30">#REF!</definedName>
    <definedName name="__TEB4">"$#REF!.$I$16"</definedName>
    <definedName name="__ter2" localSheetId="15">#REF!</definedName>
    <definedName name="__ter2">#REF!</definedName>
    <definedName name="__tsd4" localSheetId="15">#REF!</definedName>
    <definedName name="__tsd4">#REF!</definedName>
    <definedName name="__TT102" localSheetId="15">#REF!</definedName>
    <definedName name="__TT102">#REF!</definedName>
    <definedName name="__TT107" localSheetId="15">#REF!</definedName>
    <definedName name="__TT107">#REF!</definedName>
    <definedName name="__TT121" localSheetId="15">#REF!</definedName>
    <definedName name="__TT121">#REF!</definedName>
    <definedName name="__TT123" localSheetId="15">#REF!</definedName>
    <definedName name="__TT123">#REF!</definedName>
    <definedName name="__TT18" localSheetId="15">#REF!</definedName>
    <definedName name="__TT18">#REF!</definedName>
    <definedName name="__TT19" localSheetId="15">#REF!</definedName>
    <definedName name="__TT19">#REF!</definedName>
    <definedName name="__TT20" localSheetId="15">#REF!</definedName>
    <definedName name="__TT20">#REF!</definedName>
    <definedName name="__TT21" localSheetId="15">#REF!</definedName>
    <definedName name="__TT21">#REF!</definedName>
    <definedName name="__TT22" localSheetId="15">#REF!</definedName>
    <definedName name="__TT22">#REF!</definedName>
    <definedName name="__TT26" localSheetId="15">#REF!</definedName>
    <definedName name="__TT26">#REF!</definedName>
    <definedName name="__TT27" localSheetId="15">#REF!</definedName>
    <definedName name="__TT27">#REF!</definedName>
    <definedName name="__TT28" localSheetId="15">#REF!</definedName>
    <definedName name="__TT28">#REF!</definedName>
    <definedName name="__TT30" localSheetId="15">#REF!</definedName>
    <definedName name="__TT30">#REF!</definedName>
    <definedName name="__TT31" localSheetId="15">#REF!</definedName>
    <definedName name="__TT31">#REF!</definedName>
    <definedName name="__TT32" localSheetId="15">#REF!</definedName>
    <definedName name="__TT32">#REF!</definedName>
    <definedName name="__TT33" localSheetId="15">#REF!</definedName>
    <definedName name="__TT33">#REF!</definedName>
    <definedName name="__TT34" localSheetId="15">#REF!</definedName>
    <definedName name="__TT34">#REF!</definedName>
    <definedName name="__TT36" localSheetId="15">#REF!</definedName>
    <definedName name="__TT36">#REF!</definedName>
    <definedName name="__TT37" localSheetId="15">#REF!</definedName>
    <definedName name="__TT37">#REF!</definedName>
    <definedName name="__TT38" localSheetId="15">#REF!</definedName>
    <definedName name="__TT38">#REF!</definedName>
    <definedName name="__TT39" localSheetId="15">#REF!</definedName>
    <definedName name="__TT39">#REF!</definedName>
    <definedName name="__TT40" localSheetId="15">#REF!</definedName>
    <definedName name="__TT40">#REF!</definedName>
    <definedName name="__TT5" localSheetId="15">#REF!</definedName>
    <definedName name="__TT5">#REF!</definedName>
    <definedName name="__TT52" localSheetId="15">#REF!</definedName>
    <definedName name="__TT52">#REF!</definedName>
    <definedName name="__TT53" localSheetId="15">#REF!</definedName>
    <definedName name="__TT53">#REF!</definedName>
    <definedName name="__TT54" localSheetId="15">#REF!</definedName>
    <definedName name="__TT54">#REF!</definedName>
    <definedName name="__TT55" localSheetId="15">#REF!</definedName>
    <definedName name="__TT55">#REF!</definedName>
    <definedName name="__TT6" localSheetId="15">#REF!</definedName>
    <definedName name="__TT6">#REF!</definedName>
    <definedName name="__TT60" localSheetId="15">#REF!</definedName>
    <definedName name="__TT60">#REF!</definedName>
    <definedName name="__TT61" localSheetId="15">#REF!</definedName>
    <definedName name="__TT61">#REF!</definedName>
    <definedName name="__TT69" localSheetId="15">#REF!</definedName>
    <definedName name="__TT69">#REF!</definedName>
    <definedName name="__TT7" localSheetId="15">#REF!</definedName>
    <definedName name="__TT7">#REF!</definedName>
    <definedName name="__TT70" localSheetId="15">#REF!</definedName>
    <definedName name="__TT70">#REF!</definedName>
    <definedName name="__TT71" localSheetId="15">#REF!</definedName>
    <definedName name="__TT71">#REF!</definedName>
    <definedName name="__TT74" localSheetId="15">#REF!</definedName>
    <definedName name="__TT74">#REF!</definedName>
    <definedName name="__TT75" localSheetId="15">#REF!</definedName>
    <definedName name="__TT75">#REF!</definedName>
    <definedName name="__TT76" localSheetId="15">#REF!</definedName>
    <definedName name="__TT76">#REF!</definedName>
    <definedName name="__TT77" localSheetId="15">#REF!</definedName>
    <definedName name="__TT77">#REF!</definedName>
    <definedName name="__TT78" localSheetId="15">#REF!</definedName>
    <definedName name="__TT78">#REF!</definedName>
    <definedName name="__TT79" localSheetId="15">#REF!</definedName>
    <definedName name="__TT79">#REF!</definedName>
    <definedName name="__TT94" localSheetId="15">#REF!</definedName>
    <definedName name="__TT94">#REF!</definedName>
    <definedName name="__TT95" localSheetId="15">#REF!</definedName>
    <definedName name="__TT95">#REF!</definedName>
    <definedName name="__TT97" localSheetId="15">#REF!</definedName>
    <definedName name="__TT97">#REF!</definedName>
    <definedName name="__xlfn.AVERAGEIF" hidden="1">#NAME?</definedName>
    <definedName name="__xlfn.RTD" hidden="1">#NAME?</definedName>
    <definedName name="__xlfn_SUMIFS">NA()</definedName>
    <definedName name="__xlnm.Print_Area">{#NAME?}</definedName>
    <definedName name="__xlnm.Print_Area_1">{#NAME?}</definedName>
    <definedName name="__xlnm.Print_Area_3">{#NAME?}</definedName>
    <definedName name="__xlnm.Print_Area_4">NA()</definedName>
    <definedName name="__xlnm.Print_Area_5">{#NAME?}</definedName>
    <definedName name="__xlnm.Print_Area_6">{#NAME?}</definedName>
    <definedName name="__xlnm.Print_Area_7">{#NAME?}</definedName>
    <definedName name="__xlnm.Print_Titles">{#NAME?}</definedName>
    <definedName name="__xlnm.Print_Titles_1">{#NAME?}</definedName>
    <definedName name="__xlnm.Print_Titles_10">{#NAME?}</definedName>
    <definedName name="__xlnm.Print_Titles_2">{#NAME?}</definedName>
    <definedName name="__xlnm.Print_Titles_3">{#NAME?}</definedName>
    <definedName name="__xlnm.Print_Titles_4">{#NAME?}</definedName>
    <definedName name="__xlnm.Print_Titles_5">{#NAME?}</definedName>
    <definedName name="__xlnm.Print_Titles_6">{#NAME?}</definedName>
    <definedName name="__xlnm.Print_Titles_7">{#NAME?}</definedName>
    <definedName name="__xlnm.Print_Titles_8">{#NAME?}</definedName>
    <definedName name="__xlnm.Print_Titles_9">{#NAME?}</definedName>
    <definedName name="_01_09_96" localSheetId="15">#REF!</definedName>
    <definedName name="_01_09_96">#REF!</definedName>
    <definedName name="_01_09_96_25" localSheetId="15">#REF!</definedName>
    <definedName name="_01_09_96_25">#REF!</definedName>
    <definedName name="_1.0_3S0900100" localSheetId="15">#REF!</definedName>
    <definedName name="_1.0_3S0900100">#REF!</definedName>
    <definedName name="_1.0_3S0900200" localSheetId="15">#REF!</definedName>
    <definedName name="_1.0_3S0900200">#REF!</definedName>
    <definedName name="_1.0_3S0900203" localSheetId="15">#REF!</definedName>
    <definedName name="_1.0_3S0900203">#REF!</definedName>
    <definedName name="_1.0_3S0900290" localSheetId="15">#REF!</definedName>
    <definedName name="_1.0_3S0900290">#REF!</definedName>
    <definedName name="_1.0_3S0900291" localSheetId="15">#REF!</definedName>
    <definedName name="_1.0_3S0900291">#REF!</definedName>
    <definedName name="_1__123Graph_ACHART_1" hidden="1">#REF!</definedName>
    <definedName name="_10__123Graph_ECHART_1" hidden="1">#REF!</definedName>
    <definedName name="_10PassaExtenso_7_1">"#NAME!PassaExtenso"</definedName>
    <definedName name="_12__123Graph_FCHART_1" hidden="1">#REF!</definedName>
    <definedName name="_14__123Graph_XCHART_3" hidden="1">#REF!</definedName>
    <definedName name="_1830201">#N/A</definedName>
    <definedName name="_1830201_26">NA()</definedName>
    <definedName name="_1830201_27">NA()</definedName>
    <definedName name="_1Excel_BuiltIn_Print_Area_2_1">"$Quad_Quant_.$#REF!$#REF!:$#REF!$#REF!"</definedName>
    <definedName name="_1Excel_BuiltIn_Print_Area_7_1" localSheetId="15">#REF!</definedName>
    <definedName name="_1Excel_BuiltIn_Print_Area_7_1">#REF!</definedName>
    <definedName name="_2.0_3S0900100" localSheetId="15">#REF!</definedName>
    <definedName name="_2.0_3S0900100">#REF!</definedName>
    <definedName name="_2.0_3S0900200" localSheetId="15">#REF!</definedName>
    <definedName name="_2.0_3S0900200">#REF!</definedName>
    <definedName name="_2__123Graph_ACHART_3" hidden="1">#REF!</definedName>
    <definedName name="_21PassaExtenso_4_1">NA()</definedName>
    <definedName name="_22PassaExtenso_6_1">"#NAME!PassaExtenso"</definedName>
    <definedName name="_23PassaExtenso_7_1">"#NAME!PassaExtenso"</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15">#REF!</definedName>
    <definedName name="_2Excel_BuiltIn_Print_Area_8_1">#REF!</definedName>
    <definedName name="_3.0_3S0900200" localSheetId="15">#REF!</definedName>
    <definedName name="_3.0_3S0900200">#REF!</definedName>
    <definedName name="_3.0_3S0900290" localSheetId="15">#REF!</definedName>
    <definedName name="_3.0_3S0900290">#REF!</definedName>
    <definedName name="_3.0_3S0900291" localSheetId="15">#REF!</definedName>
    <definedName name="_3.0_3S0900291">#REF!</definedName>
    <definedName name="_3Excel_BuiltIn_Print_Titles_1_1" localSheetId="15">#REF!</definedName>
    <definedName name="_3Excel_BuiltIn_Print_Titles_1_1">#REF!</definedName>
    <definedName name="_4.0_3S0900200" localSheetId="15">#REF!</definedName>
    <definedName name="_4.0_3S0900200">#REF!</definedName>
    <definedName name="_4.0_3S0900203" localSheetId="15">#REF!</definedName>
    <definedName name="_4.0_3S0900203">#REF!</definedName>
    <definedName name="_4.0_3S0900241" localSheetId="15">#REF!</definedName>
    <definedName name="_4.0_3S0900241">#REF!</definedName>
    <definedName name="_4.0_3S0900290" localSheetId="15">#REF!</definedName>
    <definedName name="_4.0_3S0900290">#REF!</definedName>
    <definedName name="_4.0_3S0900291" localSheetId="15">#REF!</definedName>
    <definedName name="_4.0_3S0900291">#REF!</definedName>
    <definedName name="_4__123Graph_BCHART_1" hidden="1">#REF!</definedName>
    <definedName name="_6__123Graph_CCHART_1" hidden="1">#REF!</definedName>
    <definedName name="_8__123Graph_DCHART_1" hidden="1">#REF!</definedName>
    <definedName name="_8PassaExtenso_4_1">NA()</definedName>
    <definedName name="_9PassaExtenso_6_1">"#NAME!PassaExtenso"</definedName>
    <definedName name="_ABR95" localSheetId="15">#REF!</definedName>
    <definedName name="_ABR95">#REF!</definedName>
    <definedName name="_ABR96" localSheetId="15">#REF!</definedName>
    <definedName name="_ABR96">#REF!</definedName>
    <definedName name="_ABR97" localSheetId="15">#REF!</definedName>
    <definedName name="_ABR97">#REF!</definedName>
    <definedName name="_ABR98" localSheetId="15">#REF!</definedName>
    <definedName name="_ABR98">#REF!</definedName>
    <definedName name="_ABR99" localSheetId="15">#REF!</definedName>
    <definedName name="_ABR99">#REF!</definedName>
    <definedName name="_ACA25">#REF!</definedName>
    <definedName name="_ACA50">#REF!</definedName>
    <definedName name="_AGO95" localSheetId="15">#REF!</definedName>
    <definedName name="_AGO95">#REF!</definedName>
    <definedName name="_AGO96" localSheetId="15">#REF!</definedName>
    <definedName name="_AGO96">#REF!</definedName>
    <definedName name="_AGO97" localSheetId="15">#REF!</definedName>
    <definedName name="_AGO97">#REF!</definedName>
    <definedName name="_AGO98" localSheetId="15">#REF!</definedName>
    <definedName name="_AGO98">#REF!</definedName>
    <definedName name="_AGO99" localSheetId="15">#REF!</definedName>
    <definedName name="_AGO99">#REF!</definedName>
    <definedName name="_arg13" localSheetId="15">#REF!</definedName>
    <definedName name="_arg13">#REF!</definedName>
    <definedName name="_arg16" localSheetId="15">#REF!</definedName>
    <definedName name="_arg16">#REF!</definedName>
    <definedName name="_b1" localSheetId="18" hidden="1">{#N/A,#N/A,FALSE,"MO (2)"}</definedName>
    <definedName name="_b1" hidden="1">{#N/A,#N/A,FALSE,"MO (2)"}</definedName>
    <definedName name="_bdi100">#REF!</definedName>
    <definedName name="_BDI2">#REF!</definedName>
    <definedName name="_Brz1">#REF!</definedName>
    <definedName name="_Brz2">#REF!</definedName>
    <definedName name="_c" localSheetId="15">#REF!</definedName>
    <definedName name="_c">#REF!</definedName>
    <definedName name="_cab1" localSheetId="15">#REF!</definedName>
    <definedName name="_cab1">#REF!</definedName>
    <definedName name="_CCM30" localSheetId="15">#REF!</definedName>
    <definedName name="_CCM30">#REF!</definedName>
    <definedName name="_CEF200" localSheetId="18" hidden="1">{#N/A,#N/A,FALSE,"MO (2)"}</definedName>
    <definedName name="_CEF200" hidden="1">{#N/A,#N/A,FALSE,"MO (2)"}</definedName>
    <definedName name="_CEF222" localSheetId="18" hidden="1">{#N/A,#N/A,FALSE,"MO (2)"}</definedName>
    <definedName name="_CEF222" hidden="1">{#N/A,#N/A,FALSE,"MO (2)"}</definedName>
    <definedName name="_CEF300" localSheetId="18" hidden="1">{#N/A,#N/A,FALSE,"MO (2)"}</definedName>
    <definedName name="_CEF300" hidden="1">{#N/A,#N/A,FALSE,"MO (2)"}</definedName>
    <definedName name="_CEF500" localSheetId="18" hidden="1">{#N/A,#N/A,FALSE,"MO (2)"}</definedName>
    <definedName name="_CEF500" hidden="1">{#N/A,#N/A,FALSE,"MO (2)"}</definedName>
    <definedName name="_CIE400">#REF!</definedName>
    <definedName name="_CMM30">#REF!</definedName>
    <definedName name="_COE400">#REF!</definedName>
    <definedName name="_DEZ94" localSheetId="15">#REF!</definedName>
    <definedName name="_DEZ94">#REF!</definedName>
    <definedName name="_DEZ95" localSheetId="15">#REF!</definedName>
    <definedName name="_DEZ95">#REF!</definedName>
    <definedName name="_DEZ96" localSheetId="15">#REF!</definedName>
    <definedName name="_DEZ96">#REF!</definedName>
    <definedName name="_DEZ97" localSheetId="15">#REF!</definedName>
    <definedName name="_DEZ97">#REF!</definedName>
    <definedName name="_DEZ98" localSheetId="15">#REF!</definedName>
    <definedName name="_DEZ98">#REF!</definedName>
    <definedName name="_DEZ99" localSheetId="15">#REF!</definedName>
    <definedName name="_DEZ99">#REF!</definedName>
    <definedName name="_dmt1000" localSheetId="15">#REF!</definedName>
    <definedName name="_dmt1000">#REF!</definedName>
    <definedName name="_dmt1200" localSheetId="15">#REF!</definedName>
    <definedName name="_dmt1200">#REF!</definedName>
    <definedName name="_dmt200" localSheetId="15">#REF!</definedName>
    <definedName name="_dmt200">#REF!</definedName>
    <definedName name="_dmt400" localSheetId="15">#REF!</definedName>
    <definedName name="_dmt400">#REF!</definedName>
    <definedName name="_dmt50" localSheetId="15">#REF!</definedName>
    <definedName name="_dmt50">#REF!</definedName>
    <definedName name="_dmt600" localSheetId="15">#REF!</definedName>
    <definedName name="_dmt600">#REF!</definedName>
    <definedName name="_dmt800" localSheetId="15">#REF!</definedName>
    <definedName name="_dmt800">#REF!</definedName>
    <definedName name="_dre2" localSheetId="15">#REF!</definedName>
    <definedName name="_dre2">#REF!</definedName>
    <definedName name="_ELE1" localSheetId="15">#REF!</definedName>
    <definedName name="_ELE1">#REF!</definedName>
    <definedName name="_ELE2" localSheetId="15">#REF!</definedName>
    <definedName name="_ELE2">#REF!</definedName>
    <definedName name="_ELE3" localSheetId="15">#REF!</definedName>
    <definedName name="_ELE3">#REF!</definedName>
    <definedName name="_emp2">#REF!</definedName>
    <definedName name="_EXT1" localSheetId="15">#REF!</definedName>
    <definedName name="_EXT1">#REF!</definedName>
    <definedName name="_Ext2" localSheetId="15">#REF!</definedName>
    <definedName name="_Ext2">#REF!</definedName>
    <definedName name="_FEV95" localSheetId="15">#REF!</definedName>
    <definedName name="_FEV95">#REF!</definedName>
    <definedName name="_FEV96" localSheetId="15">#REF!</definedName>
    <definedName name="_FEV96">#REF!</definedName>
    <definedName name="_FEV97" localSheetId="15">#REF!</definedName>
    <definedName name="_FEV97">#REF!</definedName>
    <definedName name="_FEV98" localSheetId="15">#REF!</definedName>
    <definedName name="_FEV98">#REF!</definedName>
    <definedName name="_FEV99" localSheetId="15">#REF!</definedName>
    <definedName name="_FEV99">#REF!</definedName>
    <definedName name="_Fill" hidden="1">#REF!</definedName>
    <definedName name="_xlnm._FilterDatabase" localSheetId="1" hidden="1">#REF!</definedName>
    <definedName name="_xlnm._FilterDatabase" localSheetId="4" hidden="1">#REF!</definedName>
    <definedName name="_xlnm._FilterDatabase" localSheetId="15" hidden="1">#REF!</definedName>
    <definedName name="_xlnm._FilterDatabase" localSheetId="23" hidden="1">#REF!</definedName>
    <definedName name="_xlnm._FilterDatabase" hidden="1">#REF!</definedName>
    <definedName name="_FOL3">#REF!</definedName>
    <definedName name="_FOL4">#REF!</definedName>
    <definedName name="_I" localSheetId="15">#REF!</definedName>
    <definedName name="_I">#REF!</definedName>
    <definedName name="_I_25" localSheetId="15">#REF!</definedName>
    <definedName name="_I_25">#REF!</definedName>
    <definedName name="_ind100" localSheetId="15">#REF!</definedName>
    <definedName name="_ind100">#REF!</definedName>
    <definedName name="_JAN2003" localSheetId="15">#REF!</definedName>
    <definedName name="_JAN2003">#REF!</definedName>
    <definedName name="_JAN95" localSheetId="15">#REF!</definedName>
    <definedName name="_JAN95">#REF!</definedName>
    <definedName name="_JAN96" localSheetId="15">#REF!</definedName>
    <definedName name="_JAN96">#REF!</definedName>
    <definedName name="_JAN97" localSheetId="15">#REF!</definedName>
    <definedName name="_JAN97">#REF!</definedName>
    <definedName name="_JAN98" localSheetId="15">#REF!</definedName>
    <definedName name="_JAN98">#REF!</definedName>
    <definedName name="_JAN99" localSheetId="15">#REF!</definedName>
    <definedName name="_JAN99">#REF!</definedName>
    <definedName name="_JAZ1" localSheetId="15">#REF!</definedName>
    <definedName name="_JAZ1">#REF!</definedName>
    <definedName name="_JAZ11" localSheetId="15">#REF!</definedName>
    <definedName name="_JAZ11">#REF!</definedName>
    <definedName name="_JAZ2" localSheetId="15">#REF!</definedName>
    <definedName name="_JAZ2">#REF!</definedName>
    <definedName name="_JAZ22" localSheetId="15">#REF!</definedName>
    <definedName name="_JAZ22">#REF!</definedName>
    <definedName name="_JAZ3" localSheetId="15">#REF!</definedName>
    <definedName name="_JAZ3">#REF!</definedName>
    <definedName name="_JAZ33" localSheetId="15">#REF!</definedName>
    <definedName name="_JAZ33">#REF!</definedName>
    <definedName name="_JUL95" localSheetId="15">#REF!</definedName>
    <definedName name="_JUL95">#REF!</definedName>
    <definedName name="_JUL96" localSheetId="15">#REF!</definedName>
    <definedName name="_JUL96">#REF!</definedName>
    <definedName name="_JUL97" localSheetId="15">#REF!</definedName>
    <definedName name="_JUL97">#REF!</definedName>
    <definedName name="_JUL98" localSheetId="15">#REF!</definedName>
    <definedName name="_JUL98">#REF!</definedName>
    <definedName name="_JUL99" localSheetId="15">#REF!</definedName>
    <definedName name="_JUL99">#REF!</definedName>
    <definedName name="_JUN95" localSheetId="15">#REF!</definedName>
    <definedName name="_JUN95">#REF!</definedName>
    <definedName name="_JUN96" localSheetId="15">#REF!</definedName>
    <definedName name="_JUN96">#REF!</definedName>
    <definedName name="_JUN97" localSheetId="15">#REF!</definedName>
    <definedName name="_JUN97">#REF!</definedName>
    <definedName name="_JUN98" localSheetId="15">#REF!</definedName>
    <definedName name="_JUN98">#REF!</definedName>
    <definedName name="_JUN99" localSheetId="15">#REF!</definedName>
    <definedName name="_JUN99">#REF!</definedName>
    <definedName name="_Key1" localSheetId="4" hidden="1">#REF!</definedName>
    <definedName name="_Key1" localSheetId="15" hidden="1">#REF!</definedName>
    <definedName name="_Key1" localSheetId="23" hidden="1">#REF!</definedName>
    <definedName name="_Key1" hidden="1">#REF!</definedName>
    <definedName name="_Key2" hidden="1">#REF!</definedName>
    <definedName name="_la2" localSheetId="15">#REF!</definedName>
    <definedName name="_la2">#REF!</definedName>
    <definedName name="_LAG2">#REF!</definedName>
    <definedName name="_MAI95" localSheetId="15">#REF!</definedName>
    <definedName name="_MAI95">#REF!</definedName>
    <definedName name="_MAI96" localSheetId="15">#REF!</definedName>
    <definedName name="_MAI96">#REF!</definedName>
    <definedName name="_MAI97" localSheetId="15">#REF!</definedName>
    <definedName name="_MAI97">#REF!</definedName>
    <definedName name="_MAI98" localSheetId="15">#REF!</definedName>
    <definedName name="_MAI98">#REF!</definedName>
    <definedName name="_MAI99" localSheetId="15">#REF!</definedName>
    <definedName name="_MAI99">#REF!</definedName>
    <definedName name="_MAR95" localSheetId="15">#REF!</definedName>
    <definedName name="_MAR95">#REF!</definedName>
    <definedName name="_MAR96" localSheetId="15">#REF!</definedName>
    <definedName name="_MAR96">#REF!</definedName>
    <definedName name="_MAR97" localSheetId="15">#REF!</definedName>
    <definedName name="_MAR97">#REF!</definedName>
    <definedName name="_MAR98" localSheetId="15">#REF!</definedName>
    <definedName name="_MAR98">#REF!</definedName>
    <definedName name="_MAR99" localSheetId="15">#REF!</definedName>
    <definedName name="_MAR99">#REF!</definedName>
    <definedName name="_mem2">#REF!</definedName>
    <definedName name="_MO2">#REF!</definedName>
    <definedName name="_NOV94" localSheetId="15">#REF!</definedName>
    <definedName name="_NOV94">#REF!</definedName>
    <definedName name="_NOV95" localSheetId="15">#REF!</definedName>
    <definedName name="_NOV95">#REF!</definedName>
    <definedName name="_NOV96" localSheetId="15">#REF!</definedName>
    <definedName name="_NOV96">#REF!</definedName>
    <definedName name="_NOV97" localSheetId="15">#REF!</definedName>
    <definedName name="_NOV97">#REF!</definedName>
    <definedName name="_NOV98" localSheetId="15">#REF!</definedName>
    <definedName name="_NOV98">#REF!</definedName>
    <definedName name="_NOV99" localSheetId="15">#REF!</definedName>
    <definedName name="_NOV99">#REF!</definedName>
    <definedName name="_oac2" localSheetId="15">#REF!</definedName>
    <definedName name="_oac2">#REF!</definedName>
    <definedName name="_oae2" localSheetId="15">#REF!</definedName>
    <definedName name="_oae2">#REF!</definedName>
    <definedName name="_oco2" localSheetId="15">#REF!</definedName>
    <definedName name="_oco2">#REF!</definedName>
    <definedName name="_OR1">#REF!</definedName>
    <definedName name="_OR12">#REF!</definedName>
    <definedName name="_OR13">#REF!</definedName>
    <definedName name="_OR14">#REF!</definedName>
    <definedName name="_OR15">#REF!</definedName>
    <definedName name="_OR16">#REF!</definedName>
    <definedName name="_OR17">#REF!</definedName>
    <definedName name="_OR18">#REF!</definedName>
    <definedName name="_OR19">#REF!</definedName>
    <definedName name="_OR2">#REF!</definedName>
    <definedName name="_OR3">#REF!</definedName>
    <definedName name="_OR4">#REF!</definedName>
    <definedName name="_OR5">#REF!</definedName>
    <definedName name="_OR6">#REF!</definedName>
    <definedName name="_OR7">#REF!</definedName>
    <definedName name="_OR8">#REF!</definedName>
    <definedName name="_OR9">#REF!</definedName>
    <definedName name="_Order1" hidden="1">255</definedName>
    <definedName name="_Order2" hidden="1">255</definedName>
    <definedName name="_OUT94" localSheetId="15">#REF!</definedName>
    <definedName name="_OUT94">#REF!</definedName>
    <definedName name="_OUT95" localSheetId="15">#REF!</definedName>
    <definedName name="_OUT95">#REF!</definedName>
    <definedName name="_OUT96" localSheetId="15">#REF!</definedName>
    <definedName name="_OUT96">#REF!</definedName>
    <definedName name="_OUT97" localSheetId="15">#REF!</definedName>
    <definedName name="_OUT97">#REF!</definedName>
    <definedName name="_OUT98" localSheetId="1" hidden="1">{#N/A,#N/A,TRUE,"Serviços"}</definedName>
    <definedName name="_OUT98" localSheetId="4" hidden="1">{#N/A,#N/A,TRUE,"Serviços"}</definedName>
    <definedName name="_OUT98" localSheetId="24" hidden="1">{#N/A,#N/A,TRUE,"Serviços"}</definedName>
    <definedName name="_OUT98" localSheetId="25" hidden="1">{#N/A,#N/A,TRUE,"Serviços"}</definedName>
    <definedName name="_OUT98" localSheetId="27" hidden="1">{#N/A,#N/A,TRUE,"Serviços"}</definedName>
    <definedName name="_OUT98" localSheetId="20" hidden="1">{#N/A,#N/A,TRUE,"Serviços"}</definedName>
    <definedName name="_OUT98" localSheetId="15" hidden="1">{#N/A,#N/A,TRUE,"Serviços"}</definedName>
    <definedName name="_OUT98" localSheetId="18" hidden="1">{#N/A,#N/A,TRUE,"Serviços"}</definedName>
    <definedName name="_OUT98" hidden="1">{#N/A,#N/A,TRUE,"Serviços"}</definedName>
    <definedName name="_OUT98_" localSheetId="18" hidden="1">{#N/A,#N/A,TRUE,"Serviços"}</definedName>
    <definedName name="_OUT98_" hidden="1">{#N/A,#N/A,TRUE,"Serviços"}</definedName>
    <definedName name="_OUT99" localSheetId="15">#REF!</definedName>
    <definedName name="_OUT99">#REF!</definedName>
    <definedName name="_OUTTTT9888" localSheetId="18" hidden="1">{#N/A,#N/A,TRUE,"Serviços"}</definedName>
    <definedName name="_OUTTTT9888" hidden="1">{#N/A,#N/A,TRUE,"Serviços"}</definedName>
    <definedName name="_PA01" localSheetId="18" hidden="1">{"'teste'!$B$2:$R$49"}</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av2" localSheetId="15">#REF!</definedName>
    <definedName name="_pav2">#REF!</definedName>
    <definedName name="_PCM30" localSheetId="15">#REF!</definedName>
    <definedName name="_PCM30">#REF!</definedName>
    <definedName name="_PL1" localSheetId="15">#REF!</definedName>
    <definedName name="_PL1">#REF!</definedName>
    <definedName name="_PLA2" localSheetId="15">#REF!</definedName>
    <definedName name="_PLA2">#REF!</definedName>
    <definedName name="_PMF2">#REF!</definedName>
    <definedName name="_PTB10" localSheetId="15">#REF!</definedName>
    <definedName name="_PTB10">#REF!</definedName>
    <definedName name="_QQ2">#N/A</definedName>
    <definedName name="_r" localSheetId="15">#REF!</definedName>
    <definedName name="_r">#REF!</definedName>
    <definedName name="_Rbv1">#REF!</definedName>
    <definedName name="_reg1">#REF!</definedName>
    <definedName name="_reg3">#REF!</definedName>
    <definedName name="_reg5">#REF!</definedName>
    <definedName name="_reg7">#REF!</definedName>
    <definedName name="_Regression_Int" hidden="1">1</definedName>
    <definedName name="_RET1" localSheetId="15">#REF!</definedName>
    <definedName name="_RET1">#REF!</definedName>
    <definedName name="_ROD1">#REF!</definedName>
    <definedName name="_S" localSheetId="15">#REF!</definedName>
    <definedName name="_S">#REF!</definedName>
    <definedName name="_S_10" localSheetId="15">#REF!</definedName>
    <definedName name="_S_10">#REF!</definedName>
    <definedName name="_S_25" localSheetId="15">#REF!</definedName>
    <definedName name="_S_25">#REF!</definedName>
    <definedName name="_S_27" localSheetId="15">#REF!</definedName>
    <definedName name="_S_27">#REF!</definedName>
    <definedName name="_S_29" localSheetId="15">#REF!</definedName>
    <definedName name="_S_29">#REF!</definedName>
    <definedName name="_S_31" localSheetId="15">#REF!</definedName>
    <definedName name="_S_31">#REF!</definedName>
    <definedName name="_S_9" localSheetId="15">#REF!</definedName>
    <definedName name="_S_9">#REF!</definedName>
    <definedName name="_SE2" localSheetId="15">#REF!</definedName>
    <definedName name="_SE2">#REF!</definedName>
    <definedName name="_SET94" localSheetId="15">#REF!</definedName>
    <definedName name="_SET94">#REF!</definedName>
    <definedName name="_SET95" localSheetId="15">#REF!</definedName>
    <definedName name="_SET95">#REF!</definedName>
    <definedName name="_SET96" localSheetId="15">#REF!</definedName>
    <definedName name="_SET96">#REF!</definedName>
    <definedName name="_SET97" localSheetId="15">#REF!</definedName>
    <definedName name="_SET97">#REF!</definedName>
    <definedName name="_SET98" localSheetId="15">#REF!</definedName>
    <definedName name="_SET98">#REF!</definedName>
    <definedName name="_SET99" localSheetId="15">#REF!</definedName>
    <definedName name="_SET99">#REF!</definedName>
    <definedName name="_Sort" hidden="1">#REF!</definedName>
    <definedName name="_STC04" localSheetId="15">#REF!</definedName>
    <definedName name="_STC04">#REF!</definedName>
    <definedName name="_sub1" localSheetId="15">#REF!</definedName>
    <definedName name="_sub1">#REF!</definedName>
    <definedName name="_sub2" localSheetId="15">#REF!</definedName>
    <definedName name="_sub2">#REF!</definedName>
    <definedName name="_sub3" localSheetId="15">#REF!</definedName>
    <definedName name="_sub3">#REF!</definedName>
    <definedName name="_sub4" localSheetId="15">#REF!</definedName>
    <definedName name="_sub4">#REF!</definedName>
    <definedName name="_tab0198">#REF!</definedName>
    <definedName name="_TB10">"'file:///D:/Meus documentos/ANASTÁCIO/SERCEL/BR262990800.xls'#$TLMB.$#REF!$#REF!"</definedName>
    <definedName name="_tb97">"$#REF!.$E$71"</definedName>
    <definedName name="_tbw97">"$#REF!.$E$73"</definedName>
    <definedName name="_TCB4">"$#REF!.$I$26"</definedName>
    <definedName name="_TCC4">"$#REF!.$I$18"</definedName>
    <definedName name="_TCM30">#REF!</definedName>
    <definedName name="_TEB4">"$#REF!.$I$16"</definedName>
    <definedName name="_ter2" localSheetId="15">#REF!</definedName>
    <definedName name="_ter2">#REF!</definedName>
    <definedName name="_tot1" localSheetId="15">#REF!</definedName>
    <definedName name="_tot1">#REF!</definedName>
    <definedName name="_tot2" localSheetId="15">#REF!</definedName>
    <definedName name="_tot2">#REF!</definedName>
    <definedName name="_tot3" localSheetId="15">#REF!</definedName>
    <definedName name="_tot3">#REF!</definedName>
    <definedName name="_tot4" localSheetId="15">#REF!</definedName>
    <definedName name="_tot4">#REF!</definedName>
    <definedName name="_tot5" localSheetId="15">#REF!</definedName>
    <definedName name="_tot5">#REF!</definedName>
    <definedName name="_TOT6">#REF!</definedName>
    <definedName name="_TOT7" localSheetId="15">#REF!</definedName>
    <definedName name="_TOT7">#REF!</definedName>
    <definedName name="_tot8" localSheetId="15">#REF!</definedName>
    <definedName name="_tot8">#REF!</definedName>
    <definedName name="_TSD2" localSheetId="15">#REF!</definedName>
    <definedName name="_TSD2">#REF!</definedName>
    <definedName name="_tsd4" localSheetId="15">#REF!</definedName>
    <definedName name="_tsd4">#REF!</definedName>
    <definedName name="_tt1">#N/A</definedName>
    <definedName name="_TT102" localSheetId="15">#REF!</definedName>
    <definedName name="_TT102">#REF!</definedName>
    <definedName name="_TT107" localSheetId="15">#REF!</definedName>
    <definedName name="_TT107">#REF!</definedName>
    <definedName name="_TT121" localSheetId="15">#REF!</definedName>
    <definedName name="_TT121">#REF!</definedName>
    <definedName name="_TT123" localSheetId="15">#REF!</definedName>
    <definedName name="_TT123">#REF!</definedName>
    <definedName name="_TT18" localSheetId="15">#REF!</definedName>
    <definedName name="_TT18">#REF!</definedName>
    <definedName name="_TT19" localSheetId="15">#REF!</definedName>
    <definedName name="_TT19">#REF!</definedName>
    <definedName name="_TT20" localSheetId="15">#REF!</definedName>
    <definedName name="_TT20">#REF!</definedName>
    <definedName name="_TT21" localSheetId="15">#REF!</definedName>
    <definedName name="_TT21">#REF!</definedName>
    <definedName name="_TT22" localSheetId="15">#REF!</definedName>
    <definedName name="_TT22">#REF!</definedName>
    <definedName name="_TT26" localSheetId="15">#REF!</definedName>
    <definedName name="_TT26">#REF!</definedName>
    <definedName name="_TT27" localSheetId="15">#REF!</definedName>
    <definedName name="_TT27">#REF!</definedName>
    <definedName name="_TT28" localSheetId="15">#REF!</definedName>
    <definedName name="_TT28">#REF!</definedName>
    <definedName name="_TT30" localSheetId="15">#REF!</definedName>
    <definedName name="_TT30">#REF!</definedName>
    <definedName name="_TT31" localSheetId="15">#REF!</definedName>
    <definedName name="_TT31">#REF!</definedName>
    <definedName name="_TT32" localSheetId="15">#REF!</definedName>
    <definedName name="_TT32">#REF!</definedName>
    <definedName name="_TT33" localSheetId="15">#REF!</definedName>
    <definedName name="_TT33">#REF!</definedName>
    <definedName name="_TT34" localSheetId="15">#REF!</definedName>
    <definedName name="_TT34">#REF!</definedName>
    <definedName name="_TT36" localSheetId="15">#REF!</definedName>
    <definedName name="_TT36">#REF!</definedName>
    <definedName name="_TT37" localSheetId="15">#REF!</definedName>
    <definedName name="_TT37">#REF!</definedName>
    <definedName name="_TT38" localSheetId="15">#REF!</definedName>
    <definedName name="_TT38">#REF!</definedName>
    <definedName name="_TT39" localSheetId="15">#REF!</definedName>
    <definedName name="_TT39">#REF!</definedName>
    <definedName name="_TT40" localSheetId="15">#REF!</definedName>
    <definedName name="_TT40">#REF!</definedName>
    <definedName name="_TT5" localSheetId="15">#REF!</definedName>
    <definedName name="_TT5">#REF!</definedName>
    <definedName name="_TT52" localSheetId="15">#REF!</definedName>
    <definedName name="_TT52">#REF!</definedName>
    <definedName name="_TT53" localSheetId="15">#REF!</definedName>
    <definedName name="_TT53">#REF!</definedName>
    <definedName name="_TT54" localSheetId="15">#REF!</definedName>
    <definedName name="_TT54">#REF!</definedName>
    <definedName name="_TT55" localSheetId="15">#REF!</definedName>
    <definedName name="_TT55">#REF!</definedName>
    <definedName name="_TT6" localSheetId="15">#REF!</definedName>
    <definedName name="_TT6">#REF!</definedName>
    <definedName name="_TT60" localSheetId="15">#REF!</definedName>
    <definedName name="_TT60">#REF!</definedName>
    <definedName name="_TT61" localSheetId="15">#REF!</definedName>
    <definedName name="_TT61">#REF!</definedName>
    <definedName name="_TT69" localSheetId="15">#REF!</definedName>
    <definedName name="_TT69">#REF!</definedName>
    <definedName name="_TT7" localSheetId="15">#REF!</definedName>
    <definedName name="_TT7">#REF!</definedName>
    <definedName name="_TT70" localSheetId="15">#REF!</definedName>
    <definedName name="_TT70">#REF!</definedName>
    <definedName name="_TT71" localSheetId="15">#REF!</definedName>
    <definedName name="_TT71">#REF!</definedName>
    <definedName name="_TT74" localSheetId="15">#REF!</definedName>
    <definedName name="_TT74">#REF!</definedName>
    <definedName name="_TT75" localSheetId="15">#REF!</definedName>
    <definedName name="_TT75">#REF!</definedName>
    <definedName name="_TT76" localSheetId="15">#REF!</definedName>
    <definedName name="_TT76">#REF!</definedName>
    <definedName name="_TT77" localSheetId="15">#REF!</definedName>
    <definedName name="_TT77">#REF!</definedName>
    <definedName name="_TT78" localSheetId="15">#REF!</definedName>
    <definedName name="_TT78">#REF!</definedName>
    <definedName name="_TT79" localSheetId="15">#REF!</definedName>
    <definedName name="_TT79">#REF!</definedName>
    <definedName name="_TT94" localSheetId="15">#REF!</definedName>
    <definedName name="_TT94">#REF!</definedName>
    <definedName name="_TT95" localSheetId="15">#REF!</definedName>
    <definedName name="_TT95">#REF!</definedName>
    <definedName name="_TT97" localSheetId="15">#REF!</definedName>
    <definedName name="_TT97">#REF!</definedName>
    <definedName name="_x" localSheetId="15">#REF!</definedName>
    <definedName name="_x">#REF!</definedName>
    <definedName name="_z" localSheetId="15">#REF!</definedName>
    <definedName name="_z">#REF!</definedName>
    <definedName name="A" localSheetId="1" hidden="1">{#N/A,#N/A,FALSE,"Planilha";#N/A,#N/A,FALSE,"Resumo";#N/A,#N/A,FALSE,"Fisico";#N/A,#N/A,FALSE,"Financeiro";#N/A,#N/A,FALSE,"Financeiro"}</definedName>
    <definedName name="A" localSheetId="4" hidden="1">{#N/A,#N/A,FALSE,"Planilha";#N/A,#N/A,FALSE,"Resumo";#N/A,#N/A,FALSE,"Fisico";#N/A,#N/A,FALSE,"Financeiro";#N/A,#N/A,FALSE,"Financeiro"}</definedName>
    <definedName name="A" localSheetId="24" hidden="1">{#N/A,#N/A,FALSE,"Planilha";#N/A,#N/A,FALSE,"Resumo";#N/A,#N/A,FALSE,"Fisico";#N/A,#N/A,FALSE,"Financeiro";#N/A,#N/A,FALSE,"Financeiro"}</definedName>
    <definedName name="A" localSheetId="20" hidden="1">{#N/A,#N/A,FALSE,"Planilha";#N/A,#N/A,FALSE,"Resumo";#N/A,#N/A,FALSE,"Fisico";#N/A,#N/A,FALSE,"Financeiro";#N/A,#N/A,FALSE,"Financeiro"}</definedName>
    <definedName name="A" localSheetId="15" hidden="1">{#N/A,#N/A,FALSE,"Planilha";#N/A,#N/A,FALSE,"Resumo";#N/A,#N/A,FALSE,"Fisico";#N/A,#N/A,FALSE,"Financeiro";#N/A,#N/A,FALSE,"Financeiro"}</definedName>
    <definedName name="A" localSheetId="18" hidden="1">{#N/A,#N/A,FALSE,"Planilha";#N/A,#N/A,FALSE,"Resumo";#N/A,#N/A,FALSE,"Fisico";#N/A,#N/A,FALSE,"Financeiro";#N/A,#N/A,FALSE,"Financeiro"}</definedName>
    <definedName name="A" localSheetId="23" hidden="1">{#N/A,#N/A,FALSE,"Planilha";#N/A,#N/A,FALSE,"Resumo";#N/A,#N/A,FALSE,"Fisico";#N/A,#N/A,FALSE,"Financeiro";#N/A,#N/A,FALSE,"Financeiro"}</definedName>
    <definedName name="A" hidden="1">{#N/A,#N/A,FALSE,"Planilha";#N/A,#N/A,FALSE,"Resumo";#N/A,#N/A,FALSE,"Fisico";#N/A,#N/A,FALSE,"Financeiro";#N/A,#N/A,FALSE,"Financeiro"}</definedName>
    <definedName name="a_25" localSheetId="15">#REF!</definedName>
    <definedName name="a_25">#REF!</definedName>
    <definedName name="AA" localSheetId="15">#REF!</definedName>
    <definedName name="AA">#REF!</definedName>
    <definedName name="AA_1">#N/A</definedName>
    <definedName name="AA_10">#N/A</definedName>
    <definedName name="AA_12">#N/A</definedName>
    <definedName name="AA_13">#N/A</definedName>
    <definedName name="AA_14">#N/A</definedName>
    <definedName name="AA_19">#N/A</definedName>
    <definedName name="AA_2">#N/A</definedName>
    <definedName name="AA_20">#N/A</definedName>
    <definedName name="AA_21">#N/A</definedName>
    <definedName name="AA_22">#N/A</definedName>
    <definedName name="AA_23">#N/A</definedName>
    <definedName name="AA_24">#N/A</definedName>
    <definedName name="AA_25">#N/A</definedName>
    <definedName name="AA_26">#N/A</definedName>
    <definedName name="AA_27">#N/A</definedName>
    <definedName name="AA_28">#N/A</definedName>
    <definedName name="AA_29">#N/A</definedName>
    <definedName name="AA_3">#N/A</definedName>
    <definedName name="AA_30">#N/A</definedName>
    <definedName name="AA_31">#N/A</definedName>
    <definedName name="AA_32">#N/A</definedName>
    <definedName name="AA_33">#N/A</definedName>
    <definedName name="AA_34">#N/A</definedName>
    <definedName name="AA_35">#N/A</definedName>
    <definedName name="AA_36">#N/A</definedName>
    <definedName name="AA_37">#N/A</definedName>
    <definedName name="AA_38">#N/A</definedName>
    <definedName name="AA_39">#N/A</definedName>
    <definedName name="AA_4">#N/A</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#N/A</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#N/A</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#N/A</definedName>
    <definedName name="AA_70">#N/A</definedName>
    <definedName name="AA_71">#N/A</definedName>
    <definedName name="AA_72">#N/A</definedName>
    <definedName name="AA_8">#N/A</definedName>
    <definedName name="AA_9">#N/A</definedName>
    <definedName name="AAAA" localSheetId="15">#REF!</definedName>
    <definedName name="AAAA">#REF!</definedName>
    <definedName name="AAAA1" localSheetId="15">#REF!</definedName>
    <definedName name="AAAA1">#REF!</definedName>
    <definedName name="AAAAA" localSheetId="15">#REF!</definedName>
    <definedName name="AAAAA">#REF!</definedName>
    <definedName name="AAAAAAAAA">#N/A</definedName>
    <definedName name="AAAAAAAAA_25">#N/A</definedName>
    <definedName name="aauqs" localSheetId="18">#REF!</definedName>
    <definedName name="aauqs">#REF!</definedName>
    <definedName name="AB">#N/A</definedName>
    <definedName name="ABC_segurança" localSheetId="15">#REF!</definedName>
    <definedName name="ABC_segurança">#REF!</definedName>
    <definedName name="ABCD23" localSheetId="15">#REF!</definedName>
    <definedName name="ABCD23">#REF!</definedName>
    <definedName name="ABR00" localSheetId="15">#REF!</definedName>
    <definedName name="ABR00">#REF!</definedName>
    <definedName name="acabamentos" localSheetId="15">#REF!</definedName>
    <definedName name="acabamentos">#REF!</definedName>
    <definedName name="ACADGDDJSDJSBDJSJFSF" localSheetId="15">#REF!</definedName>
    <definedName name="ACADGDDJSDJSBDJSJFSF">#REF!</definedName>
    <definedName name="AÇO_CA_50" localSheetId="15">#REF!</definedName>
    <definedName name="AÇO_CA_50">#REF!</definedName>
    <definedName name="acost" localSheetId="18" hidden="1">{#N/A,#N/A,TRUE,"Serviços"}</definedName>
    <definedName name="acost" hidden="1">{#N/A,#N/A,TRUE,"Serviços"}</definedName>
    <definedName name="ACOSTD" localSheetId="15">#REF!</definedName>
    <definedName name="ACOSTD">#REF!</definedName>
    <definedName name="ACOSTLE" localSheetId="15">#REF!</definedName>
    <definedName name="ACOSTLE">#REF!</definedName>
    <definedName name="acrescimo" localSheetId="15">#REF!</definedName>
    <definedName name="acrescimo">#REF!</definedName>
    <definedName name="Acréscimo" localSheetId="15">#REF!</definedName>
    <definedName name="Acréscimo">#REF!</definedName>
    <definedName name="ad" localSheetId="18" hidden="1">{#N/A,#N/A,FALSE,"MO (2)"}</definedName>
    <definedName name="ad" hidden="1">{#N/A,#N/A,FALSE,"MO (2)"}</definedName>
    <definedName name="aditivo" localSheetId="15">#REF!</definedName>
    <definedName name="aditivo">#REF!</definedName>
    <definedName name="AGORA" localSheetId="18" hidden="1">{#N/A,#N/A,FALSE,"SS";#N/A,#N/A,FALSE,"TER1";#N/A,#N/A,FALSE,"TER2";#N/A,#N/A,FALSE,"TER3";#N/A,#N/A,FALSE,"TP1";#N/A,#N/A,FALSE,"TP2";#N/A,#N/A,FALSE,"TP3";#N/A,#N/A,FALSE,"DI1";#N/A,#N/A,FALSE,"DI2";#N/A,#N/A,FALSE,"DI3";#N/A,#N/A,FALSE,"DS1";#N/A,#N/A,FALSE,"DS2";#N/A,#N/A,FALSE,"CM"}</definedName>
    <definedName name="AGORA" hidden="1">{#N/A,#N/A,FALSE,"SS";#N/A,#N/A,FALSE,"TER1";#N/A,#N/A,FALSE,"TER2";#N/A,#N/A,FALSE,"TER3";#N/A,#N/A,FALSE,"TP1";#N/A,#N/A,FALSE,"TP2";#N/A,#N/A,FALSE,"TP3";#N/A,#N/A,FALSE,"DI1";#N/A,#N/A,FALSE,"DI2";#N/A,#N/A,FALSE,"DI3";#N/A,#N/A,FALSE,"DS1";#N/A,#N/A,FALSE,"DS2";#N/A,#N/A,FALSE,"CM"}</definedName>
    <definedName name="AGORA2" localSheetId="18"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osto2016" localSheetId="18" hidden="1">{#N/A,#N/A,TRUE,"Serviços"}</definedName>
    <definedName name="agosto2016" hidden="1">{#N/A,#N/A,TRUE,"Serviços"}</definedName>
    <definedName name="AGREGADO" localSheetId="15">#REF!</definedName>
    <definedName name="AGREGADO">#REF!</definedName>
    <definedName name="AILTON">#N/A</definedName>
    <definedName name="AJ" localSheetId="15">#REF!</definedName>
    <definedName name="AJ">#REF!</definedName>
    <definedName name="AJA" localSheetId="15">#REF!</definedName>
    <definedName name="AJA">#REF!</definedName>
    <definedName name="ajud" localSheetId="15">#REF!</definedName>
    <definedName name="ajud">#REF!</definedName>
    <definedName name="alex" localSheetId="1" hidden="1">{#N/A,#N/A,FALSE,"MO (2)"}</definedName>
    <definedName name="alex" localSheetId="4" hidden="1">{#N/A,#N/A,FALSE,"MO (2)"}</definedName>
    <definedName name="alex" localSheetId="24" hidden="1">{#N/A,#N/A,FALSE,"MO (2)"}</definedName>
    <definedName name="alex" localSheetId="25" hidden="1">{#N/A,#N/A,FALSE,"MO (2)"}</definedName>
    <definedName name="alex" localSheetId="27" hidden="1">{#N/A,#N/A,FALSE,"MO (2)"}</definedName>
    <definedName name="alex" localSheetId="20" hidden="1">{#N/A,#N/A,FALSE,"MO (2)"}</definedName>
    <definedName name="alex" localSheetId="15" hidden="1">{#N/A,#N/A,FALSE,"MO (2)"}</definedName>
    <definedName name="alex" localSheetId="18" hidden="1">{#N/A,#N/A,FALSE,"MO (2)"}</definedName>
    <definedName name="alex" localSheetId="23" hidden="1">{#N/A,#N/A,FALSE,"MO (2)"}</definedName>
    <definedName name="alex" hidden="1">{#N/A,#N/A,FALSE,"MO (2)"}</definedName>
    <definedName name="alex_1" localSheetId="18" hidden="1">{#N/A,#N/A,FALSE,"MO (2)"}</definedName>
    <definedName name="alex_1" hidden="1">{#N/A,#N/A,FALSE,"MO (2)"}</definedName>
    <definedName name="ALTA" localSheetId="15">#REF!</definedName>
    <definedName name="ALTA">#REF!</definedName>
    <definedName name="ALTA_10" localSheetId="15">#REF!</definedName>
    <definedName name="ALTA_10">#REF!</definedName>
    <definedName name="ALTA_25" localSheetId="15">#REF!</definedName>
    <definedName name="ALTA_25">#REF!</definedName>
    <definedName name="ALTA_27" localSheetId="15">#REF!</definedName>
    <definedName name="ALTA_27">#REF!</definedName>
    <definedName name="ALTA_29" localSheetId="15">#REF!</definedName>
    <definedName name="ALTA_29">#REF!</definedName>
    <definedName name="ALTA_9" localSheetId="15">#REF!</definedName>
    <definedName name="ALTA_9">#REF!</definedName>
    <definedName name="ALVENARIA">#N/A</definedName>
    <definedName name="Alvenaria_vedação" localSheetId="15">#REF!</definedName>
    <definedName name="Alvenaria_vedação">#REF!</definedName>
    <definedName name="am" localSheetId="18" hidden="1">{#N/A,#N/A,FALSE,"MO (2)"}</definedName>
    <definedName name="am" hidden="1">{#N/A,#N/A,FALSE,"MO (2)"}</definedName>
    <definedName name="AM.01">#REF!</definedName>
    <definedName name="AM.02">#REF!</definedName>
    <definedName name="AM.03">#REF!</definedName>
    <definedName name="AM.04">#REF!</definedName>
    <definedName name="AM.05">#REF!</definedName>
    <definedName name="AM.06">#REF!</definedName>
    <definedName name="AM.07">#REF!</definedName>
    <definedName name="AM.08">#REF!</definedName>
    <definedName name="AM.09">#REF!</definedName>
    <definedName name="AM.10">#REF!</definedName>
    <definedName name="AM.11">#REF!</definedName>
    <definedName name="AM.12">#REF!</definedName>
    <definedName name="AM.19">#REF!</definedName>
    <definedName name="AM.20">#REF!</definedName>
    <definedName name="AM.25">#REF!</definedName>
    <definedName name="AM.26">#REF!</definedName>
    <definedName name="AM.27">#REF!</definedName>
    <definedName name="AM.28">#REF!</definedName>
    <definedName name="AM.29">#REF!</definedName>
    <definedName name="AM.30">#REF!</definedName>
    <definedName name="AM.35">#REF!</definedName>
    <definedName name="AM.36">#REF!</definedName>
    <definedName name="AM.37">#REF!</definedName>
    <definedName name="amarela" localSheetId="15">#REF!</definedName>
    <definedName name="amarela">#REF!</definedName>
    <definedName name="amarela_25" localSheetId="15">#REF!</definedName>
    <definedName name="amarela_25">#REF!</definedName>
    <definedName name="AMELI" localSheetId="18" hidden="1">{#N/A,#N/A,FALSE,"MO (2)"}</definedName>
    <definedName name="AMELI" hidden="1">{#N/A,#N/A,FALSE,"MO (2)"}</definedName>
    <definedName name="AnalisarAterro" localSheetId="15">#REF!</definedName>
    <definedName name="AnalisarAterro">#REF!</definedName>
    <definedName name="AnalisarCorte" localSheetId="15">#REF!</definedName>
    <definedName name="AnalisarCorte">#REF!</definedName>
    <definedName name="AND" localSheetId="15">#REF!</definedName>
    <definedName name="AND">#REF!</definedName>
    <definedName name="anscount" hidden="1">3</definedName>
    <definedName name="ant" localSheetId="1" hidden="1">{#N/A,#N/A,FALSE,"MO (2)"}</definedName>
    <definedName name="ant" localSheetId="4" hidden="1">{#N/A,#N/A,FALSE,"MO (2)"}</definedName>
    <definedName name="ant" localSheetId="24" hidden="1">{#N/A,#N/A,FALSE,"MO (2)"}</definedName>
    <definedName name="ant" localSheetId="25" hidden="1">{#N/A,#N/A,FALSE,"MO (2)"}</definedName>
    <definedName name="ant" localSheetId="27" hidden="1">{#N/A,#N/A,FALSE,"MO (2)"}</definedName>
    <definedName name="ant" localSheetId="20" hidden="1">{#N/A,#N/A,FALSE,"MO (2)"}</definedName>
    <definedName name="ant" localSheetId="15" hidden="1">{#N/A,#N/A,FALSE,"MO (2)"}</definedName>
    <definedName name="ant" localSheetId="12" hidden="1">{#N/A,#N/A,FALSE,"MO (2)"}</definedName>
    <definedName name="ant" localSheetId="18" hidden="1">{#N/A,#N/A,FALSE,"MO (2)"}</definedName>
    <definedName name="ant" localSheetId="23" hidden="1">{#N/A,#N/A,FALSE,"MO (2)"}</definedName>
    <definedName name="ant" localSheetId="16" hidden="1">{#N/A,#N/A,FALSE,"MO (2)"}</definedName>
    <definedName name="ant" hidden="1">{#N/A,#N/A,FALSE,"MO (2)"}</definedName>
    <definedName name="ant_1" localSheetId="1" hidden="1">{#N/A,#N/A,FALSE,"MO (2)"}</definedName>
    <definedName name="ant_1" localSheetId="4" hidden="1">{#N/A,#N/A,FALSE,"MO (2)"}</definedName>
    <definedName name="ant_1" localSheetId="24" hidden="1">{#N/A,#N/A,FALSE,"MO (2)"}</definedName>
    <definedName name="ant_1" localSheetId="25" hidden="1">{#N/A,#N/A,FALSE,"MO (2)"}</definedName>
    <definedName name="ant_1" localSheetId="27" hidden="1">{#N/A,#N/A,FALSE,"MO (2)"}</definedName>
    <definedName name="ant_1" localSheetId="20" hidden="1">{#N/A,#N/A,FALSE,"MO (2)"}</definedName>
    <definedName name="ant_1" localSheetId="15" hidden="1">{#N/A,#N/A,FALSE,"MO (2)"}</definedName>
    <definedName name="ant_1" localSheetId="12" hidden="1">{#N/A,#N/A,FALSE,"MO (2)"}</definedName>
    <definedName name="ant_1" localSheetId="18" hidden="1">{#N/A,#N/A,FALSE,"MO (2)"}</definedName>
    <definedName name="ant_1" localSheetId="23" hidden="1">{#N/A,#N/A,FALSE,"MO (2)"}</definedName>
    <definedName name="ant_1" localSheetId="16" hidden="1">{#N/A,#N/A,FALSE,"MO (2)"}</definedName>
    <definedName name="ant_1" hidden="1">{#N/A,#N/A,FALSE,"MO (2)"}</definedName>
    <definedName name="AqCAP1">#REF!</definedName>
    <definedName name="AqCap2">#REF!</definedName>
    <definedName name="AQCAP20">"$#REF!.$I$15"</definedName>
    <definedName name="AqCAPCBUQ">#REF!</definedName>
    <definedName name="AqCAPPMQ">#REF!</definedName>
    <definedName name="AQCM30">"$#REF!.$I$16"</definedName>
    <definedName name="AQRM1C">"$#REF!.$I$18"</definedName>
    <definedName name="AQRR1C">"$#REF!.$I$17"</definedName>
    <definedName name="AquisMatBet">#REF!</definedName>
    <definedName name="area_base" localSheetId="15">#REF!</definedName>
    <definedName name="area_base">#REF!</definedName>
    <definedName name="_xlnm.Extract" localSheetId="15">#REF!</definedName>
    <definedName name="_xlnm.Extract">#REF!</definedName>
    <definedName name="_xlnm.Print_Area" localSheetId="1">'103689-PLACA DE OBRA'!$A$1:$G$43</definedName>
    <definedName name="_xlnm.Print_Area" localSheetId="9">'BDI-SERVIÇOS'!$E$4:$L$35</definedName>
    <definedName name="_xlnm.Print_Area" localSheetId="8">COTAÇÃOBRITA!$B$1:$Q$37</definedName>
    <definedName name="_xlnm.Print_Area" localSheetId="0">'CPAV001-ADM'!$A$5:$L$17</definedName>
    <definedName name="_xlnm.Print_Area" localSheetId="2">'CPAV002-BARRACÃO'!$A$5:$G$66</definedName>
    <definedName name="_xlnm.Print_Area" localSheetId="3">'CPAV003- MOB_DESMOB'!$A$5:$N$35</definedName>
    <definedName name="_xlnm.Print_Area" localSheetId="4">'CPAV004 4016096'!$A$1:$L$39</definedName>
    <definedName name="_xlnm.Print_Area" localSheetId="5">'CPAV006-TSD-104389'!$A$5:$G$23</definedName>
    <definedName name="_xlnm.Print_Area" localSheetId="6">'CPAV008-PLACA RUA'!$A$5:$G$28</definedName>
    <definedName name="_xlnm.Print_Area" localSheetId="13">CRONOGRAMA!$B$1:$M$26</definedName>
    <definedName name="_xlnm.Print_Area" localSheetId="24">'DREN. MEM. CAL.'!$A$2:$L$170</definedName>
    <definedName name="_xlnm.Print_Area" localSheetId="25">'DREN. REDE'!$A$1:$R$60</definedName>
    <definedName name="_xlnm.Print_Area" localSheetId="27">'DREN. SARJETA'!$B$1:$S$381</definedName>
    <definedName name="_xlnm.Print_Area" localSheetId="20">ÍNDICE!$A$12:$G$22</definedName>
    <definedName name="_xlnm.Print_Area" localSheetId="15">LIMPEZA!$B$2:$O$61</definedName>
    <definedName name="_xlnm.Print_Area" localSheetId="12">ORÇAMENTO!$G$1:$Q$99</definedName>
    <definedName name="_xlnm.Print_Area" localSheetId="19">PAVIMENTO!$A$1:$K$45</definedName>
    <definedName name="_xlnm.Print_Area" localSheetId="10">QCI!$A$2:$F$15</definedName>
    <definedName name="_xlnm.Print_Area" localSheetId="18">'REMOÇÃO DE POSTE'!$A$1:$B$12</definedName>
    <definedName name="_xlnm.Print_Area" localSheetId="11">RESUMO!$B$1:$E$15</definedName>
    <definedName name="_xlnm.Print_Area" localSheetId="14">RUAS!$A$1:$O$46</definedName>
    <definedName name="_xlnm.Print_Area" localSheetId="23">'SIN. HORIZONTAL '!$A$1:$AE$48</definedName>
    <definedName name="_xlnm.Print_Area" localSheetId="17">'SUBLEITO-BASE-SUB.'!$A$1:$M$46</definedName>
    <definedName name="_xlnm.Print_Area" localSheetId="28">'TRANSP. DRENAGEM'!$B$2:$N$46</definedName>
    <definedName name="_xlnm.Print_Area">#REF!</definedName>
    <definedName name="Área_impressão_IM">#REF!</definedName>
    <definedName name="AREA_IMPRI" localSheetId="15">#REF!</definedName>
    <definedName name="AREA_IMPRI">#REF!</definedName>
    <definedName name="area_sub_base" localSheetId="15">#REF!</definedName>
    <definedName name="area_sub_base">#REF!</definedName>
    <definedName name="area01" localSheetId="15">#REF!</definedName>
    <definedName name="area01">#REF!</definedName>
    <definedName name="AREAL" localSheetId="15">#REF!</definedName>
    <definedName name="AREAL">#REF!</definedName>
    <definedName name="areal.pista" localSheetId="15">#REF!</definedName>
    <definedName name="areal.pista">#REF!</definedName>
    <definedName name="AREAL.USINA">#REF!</definedName>
    <definedName name="ÁreaTotal">#REF!</definedName>
    <definedName name="AREC">#REF!</definedName>
    <definedName name="Areia" localSheetId="15">#REF!</definedName>
    <definedName name="Areia">#REF!</definedName>
    <definedName name="AREIACS">#REF!</definedName>
    <definedName name="AreiaGrossa">#REF!</definedName>
    <definedName name="AREIANP" localSheetId="15">#REF!</definedName>
    <definedName name="AREIANP">#REF!</definedName>
    <definedName name="areianpav">#REF!</definedName>
    <definedName name="AREIAPAV" localSheetId="15">#REF!</definedName>
    <definedName name="AREIAPAV">#REF!</definedName>
    <definedName name="AREIAPAVUSINA" localSheetId="15">#REF!</definedName>
    <definedName name="AREIAPAVUSINA">#REF!</definedName>
    <definedName name="ARGAMASSA10">#REF!</definedName>
    <definedName name="ARGAMASSA10S">#REF!</definedName>
    <definedName name="arm" localSheetId="15">#REF!</definedName>
    <definedName name="arm">#REF!</definedName>
    <definedName name="as" localSheetId="1" hidden="1">{#N/A,#N/A,FALSE,"MO (2)"}</definedName>
    <definedName name="as" localSheetId="4" hidden="1">{#N/A,#N/A,FALSE,"MO (2)"}</definedName>
    <definedName name="as" localSheetId="15" hidden="1">{#N/A,#N/A,FALSE,"MO (2)"}</definedName>
    <definedName name="as" localSheetId="18" hidden="1">{#N/A,#N/A,FALSE,"MO (2)"}</definedName>
    <definedName name="as" localSheetId="23" hidden="1">{#N/A,#N/A,FALSE,"MO (2)"}</definedName>
    <definedName name="as" localSheetId="16" hidden="1">{#N/A,#N/A,FALSE,"MO (2)"}</definedName>
    <definedName name="as" hidden="1">{#N/A,#N/A,FALSE,"MO (2)"}</definedName>
    <definedName name="asasa" localSheetId="18" hidden="1">{#N/A,#N/A,FALSE,"MO (2)"}</definedName>
    <definedName name="asasa" hidden="1">{#N/A,#N/A,FALSE,"MO (2)"}</definedName>
    <definedName name="asde" localSheetId="15">#REF!</definedName>
    <definedName name="asde">#REF!</definedName>
    <definedName name="asdf" localSheetId="15">#REF!</definedName>
    <definedName name="asdf">#REF!</definedName>
    <definedName name="ASDFG" localSheetId="18" hidden="1">{#N/A,#N/A,TRUE,"Serviços"}</definedName>
    <definedName name="ASDFG" hidden="1">{#N/A,#N/A,TRUE,"Serviços"}</definedName>
    <definedName name="asdfghqefha" localSheetId="18" hidden="1">{#N/A,#N/A,FALSE,"MO (2)"}</definedName>
    <definedName name="asdfghqefha" hidden="1">{#N/A,#N/A,FALSE,"MO (2)"}</definedName>
    <definedName name="asefete" localSheetId="18" hidden="1">{#N/A,#N/A,FALSE,"MO (2)"}</definedName>
    <definedName name="asefete" hidden="1">{#N/A,#N/A,FALSE,"MO (2)"}</definedName>
    <definedName name="ASFALTO">"$#REF!.$E$#REF!"</definedName>
    <definedName name="ASFGG" localSheetId="18" hidden="1">{#N/A,#N/A,TRUE,"Serviços"}</definedName>
    <definedName name="ASFGG" hidden="1">{#N/A,#N/A,TRUE,"Serviços"}</definedName>
    <definedName name="ASKDJAKSDJ" hidden="1">#REF!</definedName>
    <definedName name="ASSEN_TUBO_EMISS" localSheetId="15">#REF!</definedName>
    <definedName name="ASSEN_TUBO_EMISS">#REF!</definedName>
    <definedName name="ASSEN_TUBO_EMISS2" localSheetId="15">#REF!</definedName>
    <definedName name="ASSEN_TUBO_EMISS2">#REF!</definedName>
    <definedName name="Assent." localSheetId="15">#REF!</definedName>
    <definedName name="Assent.">#REF!</definedName>
    <definedName name="ASSENT_EMISS3_S" localSheetId="15">#REF!</definedName>
    <definedName name="ASSENT_EMISS3_S">#REF!</definedName>
    <definedName name="ASSENT_TUBO" localSheetId="15">#REF!</definedName>
    <definedName name="ASSENT_TUBO">#REF!</definedName>
    <definedName name="assinatura">#REF!</definedName>
    <definedName name="ATUAL">"$#REF!.$F$29"</definedName>
    <definedName name="Aut_original" localSheetId="15">#REF!</definedName>
    <definedName name="Aut_original">#REF!</definedName>
    <definedName name="Aut_original_25" localSheetId="15">#REF!</definedName>
    <definedName name="Aut_original_25">#REF!</definedName>
    <definedName name="Aut_original_4" localSheetId="15">#REF!</definedName>
    <definedName name="Aut_original_4">#REF!</definedName>
    <definedName name="Aut_resumo" localSheetId="15">#REF!</definedName>
    <definedName name="Aut_resumo">#REF!</definedName>
    <definedName name="Aut_resumo_25" localSheetId="15">#REF!</definedName>
    <definedName name="Aut_resumo_25">#REF!</definedName>
    <definedName name="Aut_resumo_4" localSheetId="15">#REF!</definedName>
    <definedName name="Aut_resumo_4">#REF!</definedName>
    <definedName name="AUTO">"$#REF!.$D$12"</definedName>
    <definedName name="aux" localSheetId="15">#REF!</definedName>
    <definedName name="aux">#REF!</definedName>
    <definedName name="AUXILIO">#REF!</definedName>
    <definedName name="AvFisZero">#N/A</definedName>
    <definedName name="AVV" localSheetId="15">#REF!</definedName>
    <definedName name="AVV">#REF!</definedName>
    <definedName name="AZSXDCFV" localSheetId="18" hidden="1">{#N/A,#N/A,TRUE,"Serviços"}</definedName>
    <definedName name="AZSXDCFV" hidden="1">{#N/A,#N/A,TRUE,"Serviços"}</definedName>
    <definedName name="azul" localSheetId="15">#REF!</definedName>
    <definedName name="azul">#REF!</definedName>
    <definedName name="azul_25" localSheetId="15">#REF!</definedName>
    <definedName name="azul_25">#REF!</definedName>
    <definedName name="AZULSINAL" localSheetId="15">#REF!</definedName>
    <definedName name="AZULSINAL">#REF!</definedName>
    <definedName name="AZULSINAL_25" localSheetId="15">#REF!</definedName>
    <definedName name="AZULSINAL_25">#REF!</definedName>
    <definedName name="AZXSDC" hidden="1">#REF!</definedName>
    <definedName name="b" localSheetId="15">#REF!</definedName>
    <definedName name="b">#REF!</definedName>
    <definedName name="bacia16" localSheetId="15">#REF!</definedName>
    <definedName name="bacia16">#REF!</definedName>
    <definedName name="_xlnm.Database" localSheetId="15">#REF!</definedName>
    <definedName name="_xlnm.Database">#REF!</definedName>
    <definedName name="base" localSheetId="15">#REF!</definedName>
    <definedName name="base">#REF!</definedName>
    <definedName name="batista" localSheetId="18"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#N/A</definedName>
    <definedName name="bb_38">#N/A</definedName>
    <definedName name="bbbb" localSheetId="1" hidden="1">{#N/A,#N/A,FALSE,"MO (2)"}</definedName>
    <definedName name="bbbb" localSheetId="4" hidden="1">{#N/A,#N/A,FALSE,"MO (2)"}</definedName>
    <definedName name="bbbb" localSheetId="24" hidden="1">{#N/A,#N/A,FALSE,"MO (2)"}</definedName>
    <definedName name="bbbb" localSheetId="25" hidden="1">{#N/A,#N/A,FALSE,"MO (2)"}</definedName>
    <definedName name="bbbb" localSheetId="27" hidden="1">{#N/A,#N/A,FALSE,"MO (2)"}</definedName>
    <definedName name="bbbb" localSheetId="20" hidden="1">{#N/A,#N/A,FALSE,"MO (2)"}</definedName>
    <definedName name="bbbb" localSheetId="15" hidden="1">{#N/A,#N/A,FALSE,"MO (2)"}</definedName>
    <definedName name="bbbb" localSheetId="18" hidden="1">{#N/A,#N/A,FALSE,"MO (2)"}</definedName>
    <definedName name="bbbb" localSheetId="23" hidden="1">{#N/A,#N/A,FALSE,"MO (2)"}</definedName>
    <definedName name="bbbb" hidden="1">{#N/A,#N/A,FALSE,"MO (2)"}</definedName>
    <definedName name="bbbb_1" localSheetId="18" hidden="1">{#N/A,#N/A,FALSE,"MO (2)"}</definedName>
    <definedName name="bbbb_1" hidden="1">{#N/A,#N/A,FALSE,"MO (2)"}</definedName>
    <definedName name="bbbbbbb" localSheetId="18" hidden="1">{#N/A,#N/A,FALSE,"MO (2)"}</definedName>
    <definedName name="bbbbbbb" hidden="1">{#N/A,#N/A,FALSE,"MO (2)"}</definedName>
    <definedName name="bc" localSheetId="15">#REF!</definedName>
    <definedName name="bc">#REF!</definedName>
    <definedName name="BDI" localSheetId="15">#REF!</definedName>
    <definedName name="BDI">#REF!</definedName>
    <definedName name="BDI.Difer">#REF!</definedName>
    <definedName name="BDI_10" localSheetId="15">#REF!</definedName>
    <definedName name="BDI_10">#REF!</definedName>
    <definedName name="BDI_25" localSheetId="15">#REF!</definedName>
    <definedName name="BDI_25">#REF!</definedName>
    <definedName name="BDI_27" localSheetId="15">#REF!</definedName>
    <definedName name="BDI_27">#REF!</definedName>
    <definedName name="BDI_29" localSheetId="15">#REF!</definedName>
    <definedName name="BDI_29">#REF!</definedName>
    <definedName name="BDI_9" localSheetId="15">#REF!</definedName>
    <definedName name="BDI_9">#REF!</definedName>
    <definedName name="BDI_DIFERENCIADO">#REF!</definedName>
    <definedName name="BDI_NORMAL">#REF!</definedName>
    <definedName name="BDIB">#REF!</definedName>
    <definedName name="BDIG">#REF!</definedName>
    <definedName name="BETUMINBETIM" localSheetId="15">#REF!</definedName>
    <definedName name="BETUMINBETIM">#REF!</definedName>
    <definedName name="BETUMINCBA" localSheetId="15">#REF!</definedName>
    <definedName name="BETUMINCBA">#REF!</definedName>
    <definedName name="BETUMINOSO" localSheetId="15">#REF!</definedName>
    <definedName name="BETUMINOSO">#REF!</definedName>
    <definedName name="BG" localSheetId="15">#REF!</definedName>
    <definedName name="BG">#REF!</definedName>
    <definedName name="BG_25" localSheetId="15">#REF!</definedName>
    <definedName name="BG_25">#REF!</definedName>
    <definedName name="BGU" localSheetId="15">#REF!</definedName>
    <definedName name="BGU">#REF!</definedName>
    <definedName name="BGU_25" localSheetId="15">#REF!</definedName>
    <definedName name="BGU_25">#REF!</definedName>
    <definedName name="BI">#REF!</definedName>
    <definedName name="BII">#REF!</definedName>
    <definedName name="BL_ANC_EMISS3_S" localSheetId="15">#REF!</definedName>
    <definedName name="BL_ANC_EMISS3_S">#REF!</definedName>
    <definedName name="BL_ANCO_EMISS2" localSheetId="15">#REF!</definedName>
    <definedName name="BL_ANCO_EMISS2">#REF!</definedName>
    <definedName name="Bloco" localSheetId="1" hidden="1">#REF!</definedName>
    <definedName name="Bloco" localSheetId="2" hidden="1">#REF!</definedName>
    <definedName name="Bloco" localSheetId="3" hidden="1">#REF!</definedName>
    <definedName name="Bloco" localSheetId="4" hidden="1">#REF!</definedName>
    <definedName name="Bloco" localSheetId="5" hidden="1">#REF!</definedName>
    <definedName name="Bloco" localSheetId="6" hidden="1">#REF!</definedName>
    <definedName name="Bloco" localSheetId="24" hidden="1">#REF!</definedName>
    <definedName name="Bloco" localSheetId="25" hidden="1">#REF!</definedName>
    <definedName name="Bloco" localSheetId="27" hidden="1">#REF!</definedName>
    <definedName name="Bloco" localSheetId="20" hidden="1">#REF!</definedName>
    <definedName name="Bloco" localSheetId="15" hidden="1">#REF!</definedName>
    <definedName name="Bloco" localSheetId="22" hidden="1">#REF!</definedName>
    <definedName name="Bloco" hidden="1">#REF!</definedName>
    <definedName name="BLOCO_ANCOR_EMISS" localSheetId="15">#REF!</definedName>
    <definedName name="BLOCO_ANCOR_EMISS">#REF!</definedName>
    <definedName name="Bloco2" localSheetId="1" hidden="1">#REF!</definedName>
    <definedName name="Bloco2" localSheetId="2" hidden="1">#REF!</definedName>
    <definedName name="Bloco2" localSheetId="3" hidden="1">#REF!</definedName>
    <definedName name="Bloco2" localSheetId="4" hidden="1">#REF!</definedName>
    <definedName name="Bloco2" localSheetId="5" hidden="1">#REF!</definedName>
    <definedName name="Bloco2" localSheetId="6" hidden="1">#REF!</definedName>
    <definedName name="Bloco2" localSheetId="24" hidden="1">#REF!</definedName>
    <definedName name="Bloco2" localSheetId="25" hidden="1">#REF!</definedName>
    <definedName name="Bloco2" localSheetId="27" hidden="1">#REF!</definedName>
    <definedName name="Bloco2" localSheetId="20" hidden="1">#REF!</definedName>
    <definedName name="Bloco2" localSheetId="15" hidden="1">#REF!</definedName>
    <definedName name="Bloco2" localSheetId="22" hidden="1">#REF!</definedName>
    <definedName name="Bloco2" hidden="1">#REF!</definedName>
    <definedName name="BLOCOS" localSheetId="18" hidden="1">{#N/A,#N/A,FALSE,"Plan1"}</definedName>
    <definedName name="BLOCOS" hidden="1">{#N/A,#N/A,FALSE,"Plan1"}</definedName>
    <definedName name="BONI" localSheetId="15">#REF!</definedName>
    <definedName name="BONI">#REF!</definedName>
    <definedName name="BR">#REF!</definedName>
    <definedName name="BR_10">#REF!</definedName>
    <definedName name="BR_10_13">#REF!</definedName>
    <definedName name="BR_10_39">#REF!</definedName>
    <definedName name="BR_10_6">#REF!</definedName>
    <definedName name="BR_11">#REF!</definedName>
    <definedName name="BR_11_13">#REF!</definedName>
    <definedName name="BR_11_39">#REF!</definedName>
    <definedName name="BR_11_6">#REF!</definedName>
    <definedName name="BR_12">#REF!</definedName>
    <definedName name="BR_12_13">#REF!</definedName>
    <definedName name="BR_12_39">#REF!</definedName>
    <definedName name="BR_12_6">#REF!</definedName>
    <definedName name="BR_13">#REF!</definedName>
    <definedName name="BR_13_13">#REF!</definedName>
    <definedName name="BR_13_39">#REF!</definedName>
    <definedName name="BR_13_6">#REF!</definedName>
    <definedName name="BR_14">#REF!</definedName>
    <definedName name="BR_14_13">#REF!</definedName>
    <definedName name="BR_14_39">#REF!</definedName>
    <definedName name="BR_14_6">#REF!</definedName>
    <definedName name="BR_15">#REF!</definedName>
    <definedName name="BR_15_13">#REF!</definedName>
    <definedName name="BR_15_39">#REF!</definedName>
    <definedName name="BR_15_6">#REF!</definedName>
    <definedName name="BR_16">#REF!</definedName>
    <definedName name="BR_16_13">#REF!</definedName>
    <definedName name="BR_16_39">#REF!</definedName>
    <definedName name="BR_16_6">#REF!</definedName>
    <definedName name="BR_17">#REF!</definedName>
    <definedName name="BR_17_13">#REF!</definedName>
    <definedName name="BR_17_39">#REF!</definedName>
    <definedName name="BR_17_6">#REF!</definedName>
    <definedName name="BR_18">#REF!</definedName>
    <definedName name="BR_18_13">#REF!</definedName>
    <definedName name="BR_18_39">#REF!</definedName>
    <definedName name="BR_18_6">#REF!</definedName>
    <definedName name="BR_19">#REF!</definedName>
    <definedName name="BR_19_13">#REF!</definedName>
    <definedName name="BR_19_39">#REF!</definedName>
    <definedName name="BR_19_6">#REF!</definedName>
    <definedName name="BR_2">#REF!</definedName>
    <definedName name="BR_2_13">#REF!</definedName>
    <definedName name="BR_2_39">#REF!</definedName>
    <definedName name="BR_2_6">#REF!</definedName>
    <definedName name="BR_20">#REF!</definedName>
    <definedName name="BR_20_13">#REF!</definedName>
    <definedName name="BR_20_39">#REF!</definedName>
    <definedName name="BR_20_6">#REF!</definedName>
    <definedName name="BR_21">#REF!</definedName>
    <definedName name="BR_21_13">#REF!</definedName>
    <definedName name="BR_21_39">#REF!</definedName>
    <definedName name="BR_21_6">#REF!</definedName>
    <definedName name="BR_22">#REF!</definedName>
    <definedName name="BR_22_13">#REF!</definedName>
    <definedName name="BR_22_39">#REF!</definedName>
    <definedName name="BR_22_6">#REF!</definedName>
    <definedName name="BR_23">#REF!</definedName>
    <definedName name="BR_23_13">#REF!</definedName>
    <definedName name="BR_23_39">#REF!</definedName>
    <definedName name="BR_23_6">#REF!</definedName>
    <definedName name="BR_24">#REF!</definedName>
    <definedName name="BR_24_13">#REF!</definedName>
    <definedName name="BR_24_39">#REF!</definedName>
    <definedName name="BR_24_6">#REF!</definedName>
    <definedName name="BR_25">#REF!</definedName>
    <definedName name="BR_25_13">#REF!</definedName>
    <definedName name="BR_25_39">#REF!</definedName>
    <definedName name="BR_25_6">#REF!</definedName>
    <definedName name="BR_26">#REF!</definedName>
    <definedName name="BR_26_13">#REF!</definedName>
    <definedName name="BR_26_39">#REF!</definedName>
    <definedName name="BR_26_6">#REF!</definedName>
    <definedName name="BR_27">#REF!</definedName>
    <definedName name="BR_27_13">#REF!</definedName>
    <definedName name="BR_27_39">#REF!</definedName>
    <definedName name="BR_27_6">#REF!</definedName>
    <definedName name="BR_28">#REF!</definedName>
    <definedName name="BR_28_13">#REF!</definedName>
    <definedName name="BR_28_39">#REF!</definedName>
    <definedName name="BR_28_6">#REF!</definedName>
    <definedName name="BR_29">#REF!</definedName>
    <definedName name="BR_29_13">#REF!</definedName>
    <definedName name="BR_29_39">#REF!</definedName>
    <definedName name="BR_29_6">#REF!</definedName>
    <definedName name="BR_30">#REF!</definedName>
    <definedName name="BR_30_13">#REF!</definedName>
    <definedName name="BR_30_39">#REF!</definedName>
    <definedName name="BR_30_6">#REF!</definedName>
    <definedName name="BR_31">#REF!</definedName>
    <definedName name="BR_32">#REF!</definedName>
    <definedName name="BR_32_13">#REF!</definedName>
    <definedName name="BR_32_39">#REF!</definedName>
    <definedName name="BR_32_6">#REF!</definedName>
    <definedName name="BR_33">#REF!</definedName>
    <definedName name="BR_33_13">#REF!</definedName>
    <definedName name="BR_33_39">#REF!</definedName>
    <definedName name="BR_33_6">#REF!</definedName>
    <definedName name="BR_34">#REF!</definedName>
    <definedName name="BR_34_13">#REF!</definedName>
    <definedName name="BR_34_39">#REF!</definedName>
    <definedName name="BR_34_6">#REF!</definedName>
    <definedName name="BR_40">#REF!</definedName>
    <definedName name="BR_40_13">#REF!</definedName>
    <definedName name="BR_40_39">#REF!</definedName>
    <definedName name="BR_40_6">#REF!</definedName>
    <definedName name="BR_41">#REF!</definedName>
    <definedName name="BR_41_13">#REF!</definedName>
    <definedName name="BR_41_39">#REF!</definedName>
    <definedName name="BR_41_6">#REF!</definedName>
    <definedName name="BR_43">#REF!</definedName>
    <definedName name="BR_43_13">#REF!</definedName>
    <definedName name="BR_43_39">#REF!</definedName>
    <definedName name="BR_43_6">#REF!</definedName>
    <definedName name="BR_44">#REF!</definedName>
    <definedName name="BR_44_13">#REF!</definedName>
    <definedName name="BR_44_39">#REF!</definedName>
    <definedName name="BR_44_6">#REF!</definedName>
    <definedName name="BR_45">#REF!</definedName>
    <definedName name="BR_45_13">#REF!</definedName>
    <definedName name="BR_45_39">#REF!</definedName>
    <definedName name="BR_45_6">#REF!</definedName>
    <definedName name="BR_46">#REF!</definedName>
    <definedName name="BR_46_13">#REF!</definedName>
    <definedName name="BR_46_39">#REF!</definedName>
    <definedName name="BR_46_6">#REF!</definedName>
    <definedName name="BR_47">#REF!</definedName>
    <definedName name="BR_47_13">#REF!</definedName>
    <definedName name="BR_47_39">#REF!</definedName>
    <definedName name="BR_47_6">#REF!</definedName>
    <definedName name="BR_48">#REF!</definedName>
    <definedName name="BR_48_13">#REF!</definedName>
    <definedName name="BR_48_39">#REF!</definedName>
    <definedName name="BR_48_6">#REF!</definedName>
    <definedName name="BR_49">#REF!</definedName>
    <definedName name="BR_49_13">#REF!</definedName>
    <definedName name="BR_49_39">#REF!</definedName>
    <definedName name="BR_49_6">#REF!</definedName>
    <definedName name="BR_50">#REF!</definedName>
    <definedName name="BR_50_13">#REF!</definedName>
    <definedName name="BR_50_39">#REF!</definedName>
    <definedName name="BR_50_6">#REF!</definedName>
    <definedName name="BR_51">#REF!</definedName>
    <definedName name="BR_51_13">#REF!</definedName>
    <definedName name="BR_51_39">#REF!</definedName>
    <definedName name="BR_51_6">#REF!</definedName>
    <definedName name="BR_52">#REF!</definedName>
    <definedName name="BR_52_13">#REF!</definedName>
    <definedName name="BR_52_39">#REF!</definedName>
    <definedName name="BR_52_6">#REF!</definedName>
    <definedName name="BR_6">#REF!</definedName>
    <definedName name="BR_6_13">#REF!</definedName>
    <definedName name="BR_6_39">#REF!</definedName>
    <definedName name="BR_6_6">#REF!</definedName>
    <definedName name="BR_7">#REF!</definedName>
    <definedName name="BR_7_13">#REF!</definedName>
    <definedName name="BR_7_39">#REF!</definedName>
    <definedName name="BR_7_6">#REF!</definedName>
    <definedName name="BR_8">#REF!</definedName>
    <definedName name="BR_8_13">#REF!</definedName>
    <definedName name="BR_8_39">#REF!</definedName>
    <definedName name="BR_8_6">#REF!</definedName>
    <definedName name="BR_9">#REF!</definedName>
    <definedName name="BR_9_13">#REF!</definedName>
    <definedName name="BR_9_39">#REF!</definedName>
    <definedName name="BR_9_6">#REF!</definedName>
    <definedName name="Brita" localSheetId="15">#REF!</definedName>
    <definedName name="Brita">#REF!</definedName>
    <definedName name="BRITA_DRENO" localSheetId="18" hidden="1">{#N/A,#N/A,TRUE,"Plan1"}</definedName>
    <definedName name="BRITA_DRENO" hidden="1">{#N/A,#N/A,TRUE,"Plan1"}</definedName>
    <definedName name="Brita_TSD" localSheetId="18" hidden="1">{#N/A,#N/A,TRUE,"Plan1"}</definedName>
    <definedName name="Brita_TSD" hidden="1">{#N/A,#N/A,TRUE,"Plan1"}</definedName>
    <definedName name="Brita_TSD_2" localSheetId="18" hidden="1">{#N/A,#N/A,TRUE,"Plan1"}</definedName>
    <definedName name="Brita_TSD_2" hidden="1">{#N/A,#N/A,TRUE,"Plan1"}</definedName>
    <definedName name="BRITA1">#REF!</definedName>
    <definedName name="BRITA2">#REF!</definedName>
    <definedName name="britanpav">#REF!</definedName>
    <definedName name="BRITAP1" localSheetId="15">#REF!</definedName>
    <definedName name="BRITAP1">#REF!</definedName>
    <definedName name="BRITAP2" localSheetId="15">#REF!</definedName>
    <definedName name="BRITAP2">#REF!</definedName>
    <definedName name="BRITAT">#REF!</definedName>
    <definedName name="BRZ">#REF!</definedName>
    <definedName name="BRZ_13">#REF!</definedName>
    <definedName name="BRZ_39">#REF!</definedName>
    <definedName name="BRZ_6">#REF!</definedName>
    <definedName name="BU">#REF!</definedName>
    <definedName name="bueiro" localSheetId="1" hidden="1">{#N/A,#N/A,FALSE,"MO (2)"}</definedName>
    <definedName name="bueiro" localSheetId="4" hidden="1">{#N/A,#N/A,FALSE,"MO (2)"}</definedName>
    <definedName name="bueiro" localSheetId="24" hidden="1">{#N/A,#N/A,FALSE,"MO (2)"}</definedName>
    <definedName name="bueiro" localSheetId="15" hidden="1">{#N/A,#N/A,FALSE,"MO (2)"}</definedName>
    <definedName name="bueiro" localSheetId="18" hidden="1">{#N/A,#N/A,FALSE,"MO (2)"}</definedName>
    <definedName name="bueiro" localSheetId="23" hidden="1">{#N/A,#N/A,FALSE,"MO (2)"}</definedName>
    <definedName name="bueiro" localSheetId="16" hidden="1">{#N/A,#N/A,FALSE,"MO (2)"}</definedName>
    <definedName name="bueiro" hidden="1">{#N/A,#N/A,FALSE,"MO (2)"}</definedName>
    <definedName name="BuiltIn_Print_Titles" localSheetId="15">#REF!</definedName>
    <definedName name="BuiltIn_Print_Titles">#REF!</definedName>
    <definedName name="BVBZ" localSheetId="18" hidden="1">{#N/A,#N/A,FALSE,"MO (2)"}</definedName>
    <definedName name="BVBZ" hidden="1">{#N/A,#N/A,FALSE,"MO (2)"}</definedName>
    <definedName name="Ç" localSheetId="18" hidden="1">{#N/A,#N/A,FALSE,"MO (2)"}</definedName>
    <definedName name="Ç" hidden="1">{#N/A,#N/A,FALSE,"MO (2)"}</definedName>
    <definedName name="c.drena" localSheetId="15">#REF!</definedName>
    <definedName name="c.drena">#REF!</definedName>
    <definedName name="cab" localSheetId="15">#REF!</definedName>
    <definedName name="cab">#REF!</definedName>
    <definedName name="CAB_ATERRO" localSheetId="15">#REF!</definedName>
    <definedName name="CAB_ATERRO">#REF!</definedName>
    <definedName name="cab_cortes" localSheetId="15">#REF!</definedName>
    <definedName name="cab_cortes">#REF!</definedName>
    <definedName name="cab_dmt" localSheetId="15">#REF!</definedName>
    <definedName name="cab_dmt">#REF!</definedName>
    <definedName name="cab_limpeza" localSheetId="15">#REF!</definedName>
    <definedName name="cab_limpeza">#REF!</definedName>
    <definedName name="CAB_PLANO" localSheetId="15">#REF!</definedName>
    <definedName name="CAB_PLANO">#REF!</definedName>
    <definedName name="cab_pmf" localSheetId="15">#REF!</definedName>
    <definedName name="cab_pmf">#REF!</definedName>
    <definedName name="CABE">#REF!</definedName>
    <definedName name="CABEC" localSheetId="15">#REF!</definedName>
    <definedName name="CABEC">#REF!</definedName>
    <definedName name="cabeca" localSheetId="15">#REF!</definedName>
    <definedName name="cabeca">#REF!</definedName>
    <definedName name="CABEÇA" localSheetId="15">#REF!</definedName>
    <definedName name="CABEÇA">#REF!</definedName>
    <definedName name="cabeca1" localSheetId="15">#REF!</definedName>
    <definedName name="cabeca1">#REF!</definedName>
    <definedName name="cabeçalho" localSheetId="15">#REF!</definedName>
    <definedName name="cabeçalho">#REF!</definedName>
    <definedName name="cabeçalho1" localSheetId="15">#REF!</definedName>
    <definedName name="cabeçalho1">#REF!</definedName>
    <definedName name="cabmeio" localSheetId="15">#REF!</definedName>
    <definedName name="cabmeio">#REF!</definedName>
    <definedName name="CAD_EMISS3_S" localSheetId="15">#REF!</definedName>
    <definedName name="CAD_EMISS3_S">#REF!</definedName>
    <definedName name="CADASTRO" localSheetId="15">#REF!</definedName>
    <definedName name="CADASTRO">#REF!</definedName>
    <definedName name="CADASTRO_EMISS" localSheetId="15">#REF!</definedName>
    <definedName name="CADASTRO_EMISS">#REF!</definedName>
    <definedName name="CADASTRO_EMISS2" localSheetId="15">#REF!</definedName>
    <definedName name="CADASTRO_EMISS2">#REF!</definedName>
    <definedName name="CADASTRO_REDE_COL" localSheetId="15">#REF!</definedName>
    <definedName name="CADASTRO_REDE_COL">#REF!</definedName>
    <definedName name="CadastroMicro">#REF!</definedName>
    <definedName name="cadeira" localSheetId="18" hidden="1">{#N/A,#N/A,TRUE,"Serviços"}</definedName>
    <definedName name="cadeira" hidden="1">{#N/A,#N/A,TRUE,"Serviços"}</definedName>
    <definedName name="CadIns" localSheetId="1" hidden="1">#REF!</definedName>
    <definedName name="CadIns" localSheetId="2" hidden="1">#REF!</definedName>
    <definedName name="CadIns" localSheetId="3" hidden="1">#REF!</definedName>
    <definedName name="CadIns" localSheetId="4" hidden="1">#REF!</definedName>
    <definedName name="CadIns" localSheetId="5" hidden="1">#REF!</definedName>
    <definedName name="CadIns" localSheetId="6" hidden="1">#REF!</definedName>
    <definedName name="CadIns" localSheetId="24" hidden="1">#REF!</definedName>
    <definedName name="CadIns" localSheetId="25" hidden="1">#REF!</definedName>
    <definedName name="CadIns" localSheetId="27" hidden="1">#REF!</definedName>
    <definedName name="CadIns" localSheetId="20" hidden="1">#REF!</definedName>
    <definedName name="CadIns" localSheetId="15" hidden="1">#REF!</definedName>
    <definedName name="CadIns" localSheetId="22" hidden="1">#REF!</definedName>
    <definedName name="CadIns" hidden="1">#REF!</definedName>
    <definedName name="CadSrv" localSheetId="1" hidden="1">#REF!</definedName>
    <definedName name="CadSrv" localSheetId="2" hidden="1">#REF!</definedName>
    <definedName name="CadSrv" localSheetId="3" hidden="1">#REF!</definedName>
    <definedName name="CadSrv" localSheetId="4" hidden="1">#REF!</definedName>
    <definedName name="CadSrv" localSheetId="5" hidden="1">#REF!</definedName>
    <definedName name="CadSrv" localSheetId="6" hidden="1">#REF!</definedName>
    <definedName name="CadSrv" localSheetId="24" hidden="1">#REF!</definedName>
    <definedName name="CadSrv" localSheetId="25" hidden="1">#REF!</definedName>
    <definedName name="CadSrv" localSheetId="27" hidden="1">#REF!</definedName>
    <definedName name="CadSrv" localSheetId="20" hidden="1">#REF!</definedName>
    <definedName name="CadSrv" localSheetId="15" hidden="1">#REF!</definedName>
    <definedName name="CadSrv" localSheetId="22" hidden="1">#REF!</definedName>
    <definedName name="CadSrv" hidden="1">#REF!</definedName>
    <definedName name="CAI">#REF!</definedName>
    <definedName name="CAIA">"'file:///D:/Meus documentos/ANASTÁCIO/SERCEL/BR262990800.xls'#$SERVIÇOS.$#REF!$#REF!"</definedName>
    <definedName name="caiacao">#REF!</definedName>
    <definedName name="CAIB">#REF!</definedName>
    <definedName name="caixa">#REF!</definedName>
    <definedName name="CAIXAS" localSheetId="15">#REF!</definedName>
    <definedName name="CAIXAS">#REF!</definedName>
    <definedName name="CAIXAS_EMISS3_S" localSheetId="15">#REF!</definedName>
    <definedName name="CAIXAS_EMISS3_S">#REF!</definedName>
    <definedName name="CAL">#REF!</definedName>
    <definedName name="CalcularAgora" localSheetId="15">#REF!</definedName>
    <definedName name="CalcularAgora">#REF!</definedName>
    <definedName name="Camada_brita" localSheetId="15">#REF!</definedName>
    <definedName name="Camada_brita">#REF!</definedName>
    <definedName name="Camada_impermeabilizadora" localSheetId="15">#REF!</definedName>
    <definedName name="Camada_impermeabilizadora">#REF!</definedName>
    <definedName name="CAMI">"$#REF!.$D$13"</definedName>
    <definedName name="CAMPANARIO" localSheetId="15">#REF!</definedName>
    <definedName name="CAMPANARIO">#REF!</definedName>
    <definedName name="CANALETA" localSheetId="15">#REF!</definedName>
    <definedName name="CANALETA">#REF!</definedName>
    <definedName name="cant.pista" localSheetId="15">#REF!</definedName>
    <definedName name="cant.pista">#REF!</definedName>
    <definedName name="CANTEIRO" localSheetId="15">#REF!</definedName>
    <definedName name="CANTEIRO">#REF!</definedName>
    <definedName name="CANTEIRO_DE_OBRAS">#REF!</definedName>
    <definedName name="CANTEIRO_OBRAS" localSheetId="15">#REF!</definedName>
    <definedName name="CANTEIRO_OBRAS">#REF!</definedName>
    <definedName name="CANTEIRO_P" localSheetId="15">#REF!</definedName>
    <definedName name="CANTEIRO_P">#REF!</definedName>
    <definedName name="cap">#REF!</definedName>
    <definedName name="cap_20" localSheetId="15">#REF!</definedName>
    <definedName name="cap_20">#REF!</definedName>
    <definedName name="CAP20W">"$#REF!.$J$14"</definedName>
    <definedName name="CAP20WA">"$#REF!.$J$13"</definedName>
    <definedName name="CAPA" localSheetId="1" hidden="1">{#N/A,#N/A,TRUE,"Serviços"}</definedName>
    <definedName name="CAPA" localSheetId="4" hidden="1">{#N/A,#N/A,TRUE,"Serviços"}</definedName>
    <definedName name="CAPA" localSheetId="24" hidden="1">{#N/A,#N/A,TRUE,"Serviços"}</definedName>
    <definedName name="CAPA" localSheetId="25" hidden="1">{#N/A,#N/A,TRUE,"Serviços"}</definedName>
    <definedName name="CAPA" localSheetId="27" hidden="1">{#N/A,#N/A,TRUE,"Serviços"}</definedName>
    <definedName name="CAPA" localSheetId="20" hidden="1">{#N/A,#N/A,TRUE,"Serviços"}</definedName>
    <definedName name="CAPA" localSheetId="15" hidden="1">{#N/A,#N/A,TRUE,"Serviços"}</definedName>
    <definedName name="CAPA" localSheetId="18" hidden="1">{#N/A,#N/A,TRUE,"Serviços"}</definedName>
    <definedName name="CAPA" hidden="1">{#N/A,#N/A,TRUE,"Serviços"}</definedName>
    <definedName name="capa1" localSheetId="1" hidden="1">{#N/A,#N/A,TRUE,"Serviços"}</definedName>
    <definedName name="capa1" localSheetId="4" hidden="1">{#N/A,#N/A,TRUE,"Serviços"}</definedName>
    <definedName name="capa1" localSheetId="24" hidden="1">{#N/A,#N/A,TRUE,"Serviços"}</definedName>
    <definedName name="capa1" localSheetId="25" hidden="1">{#N/A,#N/A,TRUE,"Serviços"}</definedName>
    <definedName name="capa1" localSheetId="27" hidden="1">{#N/A,#N/A,TRUE,"Serviços"}</definedName>
    <definedName name="capa1" localSheetId="20" hidden="1">{#N/A,#N/A,TRUE,"Serviços"}</definedName>
    <definedName name="capa1" localSheetId="15" hidden="1">{#N/A,#N/A,TRUE,"Serviços"}</definedName>
    <definedName name="capa1" localSheetId="18" hidden="1">{#N/A,#N/A,TRUE,"Serviços"}</definedName>
    <definedName name="capa1" hidden="1">{#N/A,#N/A,TRUE,"Serviços"}</definedName>
    <definedName name="capa11" localSheetId="18" hidden="1">{#N/A,#N/A,TRUE,"Serviços"}</definedName>
    <definedName name="capa11" hidden="1">{#N/A,#N/A,TRUE,"Serviços"}</definedName>
    <definedName name="capa2" localSheetId="1" hidden="1">{#N/A,#N/A,TRUE,"Serviços"}</definedName>
    <definedName name="capa2" localSheetId="4" hidden="1">{#N/A,#N/A,TRUE,"Serviços"}</definedName>
    <definedName name="capa2" localSheetId="24" hidden="1">{#N/A,#N/A,TRUE,"Serviços"}</definedName>
    <definedName name="capa2" localSheetId="25" hidden="1">{#N/A,#N/A,TRUE,"Serviços"}</definedName>
    <definedName name="capa2" localSheetId="27" hidden="1">{#N/A,#N/A,TRUE,"Serviços"}</definedName>
    <definedName name="capa2" localSheetId="20" hidden="1">{#N/A,#N/A,TRUE,"Serviços"}</definedName>
    <definedName name="capa2" localSheetId="15" hidden="1">{#N/A,#N/A,TRUE,"Serviços"}</definedName>
    <definedName name="capa2" localSheetId="18" hidden="1">{#N/A,#N/A,TRUE,"Serviços"}</definedName>
    <definedName name="capa2" hidden="1">{#N/A,#N/A,TRUE,"Serviços"}</definedName>
    <definedName name="capa22" localSheetId="18" hidden="1">{#N/A,#N/A,TRUE,"Serviços"}</definedName>
    <definedName name="capa22" hidden="1">{#N/A,#N/A,TRUE,"Serviços"}</definedName>
    <definedName name="CAPAA" localSheetId="18" hidden="1">{#N/A,#N/A,TRUE,"Serviços"}</definedName>
    <definedName name="CAPAA" hidden="1">{#N/A,#N/A,TRUE,"Serviços"}</definedName>
    <definedName name="capataz">#REF!</definedName>
    <definedName name="CAPCOR_20">#REF!</definedName>
    <definedName name="CAPREC_20">#REF!</definedName>
    <definedName name="CAPREM_20">#REF!</definedName>
    <definedName name="CAPSEL">#REF!</definedName>
    <definedName name="CAPSEL_13">#REF!</definedName>
    <definedName name="CAPSEL_39">#REF!</definedName>
    <definedName name="CAPSEL_6">#REF!</definedName>
    <definedName name="CAPTB_20">#REF!</definedName>
    <definedName name="CAPTOTAL">"$#REF!.$J$12"</definedName>
    <definedName name="car">#REF!</definedName>
    <definedName name="CARLA" localSheetId="18"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p" localSheetId="15">#REF!</definedName>
    <definedName name="carp">#REF!</definedName>
    <definedName name="CARRO">#REF!</definedName>
    <definedName name="CBU" localSheetId="15">#REF!</definedName>
    <definedName name="CBU">#REF!</definedName>
    <definedName name="CBU_25" localSheetId="15">#REF!</definedName>
    <definedName name="CBU_25">#REF!</definedName>
    <definedName name="CBUII" localSheetId="15">#REF!</definedName>
    <definedName name="CBUII">#REF!</definedName>
    <definedName name="CBUII_25" localSheetId="15">#REF!</definedName>
    <definedName name="CBUII_25">#REF!</definedName>
    <definedName name="cbuq" localSheetId="15">#REF!</definedName>
    <definedName name="cbuq">#REF!</definedName>
    <definedName name="CBUQ_C" localSheetId="15">#REF!</definedName>
    <definedName name="CBUQ_C">#REF!</definedName>
    <definedName name="CBUQB" localSheetId="15">#REF!</definedName>
    <definedName name="CBUQB">#REF!</definedName>
    <definedName name="CBUQB_25" localSheetId="15">#REF!</definedName>
    <definedName name="CBUQB_25">#REF!</definedName>
    <definedName name="CBUQc" localSheetId="15">#REF!</definedName>
    <definedName name="CBUQc">#REF!</definedName>
    <definedName name="CBUQc_25" localSheetId="15">#REF!</definedName>
    <definedName name="CBUQc_25">#REF!</definedName>
    <definedName name="çç">#N/A</definedName>
    <definedName name="çç_30">#N/A</definedName>
    <definedName name="çç_38">#N/A</definedName>
    <definedName name="CCARR" localSheetId="15">#REF!</definedName>
    <definedName name="CCARR">#REF!</definedName>
    <definedName name="CCC" localSheetId="18" hidden="1">{#N/A,#N/A,FALSE,"MO (2)"}</definedName>
    <definedName name="CCC" hidden="1">{#N/A,#N/A,FALSE,"MO (2)"}</definedName>
    <definedName name="CCCCCCCC" localSheetId="18" hidden="1">{#N/A,#N/A,FALSE,"Plan1"}</definedName>
    <definedName name="CCCCCCCC" hidden="1">{#N/A,#N/A,FALSE,"Plan1"}</definedName>
    <definedName name="CCCCCCCCCCC">#N/A</definedName>
    <definedName name="CCCCCCCCCCC_25">#N/A</definedName>
    <definedName name="cccusto">#REF!</definedName>
    <definedName name="cch" hidden="1">#N/A</definedName>
    <definedName name="CCIC">#REF!</definedName>
    <definedName name="CCP">#REF!</definedName>
    <definedName name="CCP_13">#REF!</definedName>
    <definedName name="CCP_39">#REF!</definedName>
    <definedName name="CCP_6">#REF!</definedName>
    <definedName name="CCPW">"$#REF!.$E$34"</definedName>
    <definedName name="CCPWA">"$#REF!.$E$33"</definedName>
    <definedName name="ccusto">#REF!</definedName>
    <definedName name="ccva" localSheetId="15">#REF!</definedName>
    <definedName name="ccva">#REF!</definedName>
    <definedName name="CD">#REF!</definedName>
    <definedName name="CD_13">#REF!</definedName>
    <definedName name="CD_39">#REF!</definedName>
    <definedName name="CD_6">#REF!</definedName>
    <definedName name="CD97A">"$#REF!.$H$80"</definedName>
    <definedName name="CD97AW">"$#REF!.$H$82"</definedName>
    <definedName name="CDF" localSheetId="15">#REF!</definedName>
    <definedName name="CDF">#REF!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DSFSDA" localSheetId="15">#REF!</definedName>
    <definedName name="CDSFSDA">#REF!</definedName>
    <definedName name="CDW">"$#REF!.$H$41"</definedName>
    <definedName name="CDWA">"$#REF!.$H$40"</definedName>
    <definedName name="CELSO">#N/A</definedName>
    <definedName name="CELSO_25">#N/A</definedName>
    <definedName name="Cerca">#REF!</definedName>
    <definedName name="cesar" localSheetId="15">#REF!</definedName>
    <definedName name="cesar">#REF!</definedName>
    <definedName name="Chapisco" localSheetId="15">#REF!</definedName>
    <definedName name="Chapisco">#REF!</definedName>
    <definedName name="Chave" localSheetId="1" hidden="1">#REF!</definedName>
    <definedName name="Chave" localSheetId="2" hidden="1">#REF!</definedName>
    <definedName name="Chave" localSheetId="3" hidden="1">#REF!</definedName>
    <definedName name="Chave" localSheetId="4" hidden="1">#REF!</definedName>
    <definedName name="Chave" localSheetId="5" hidden="1">#REF!</definedName>
    <definedName name="Chave" localSheetId="6" hidden="1">#REF!</definedName>
    <definedName name="Chave" localSheetId="24" hidden="1">#REF!</definedName>
    <definedName name="Chave" localSheetId="25" hidden="1">#REF!</definedName>
    <definedName name="Chave" localSheetId="27" hidden="1">#REF!</definedName>
    <definedName name="Chave" localSheetId="20" hidden="1">#REF!</definedName>
    <definedName name="Chave" localSheetId="15" hidden="1">#REF!</definedName>
    <definedName name="Chave" localSheetId="22" hidden="1">#REF!</definedName>
    <definedName name="Chave" hidden="1">#REF!</definedName>
    <definedName name="CHAVE02" hidden="1">#REF!</definedName>
    <definedName name="Chave1" localSheetId="1" hidden="1">#REF!</definedName>
    <definedName name="Chave1" localSheetId="2" hidden="1">#REF!</definedName>
    <definedName name="Chave1" localSheetId="3" hidden="1">#REF!</definedName>
    <definedName name="Chave1" localSheetId="4" hidden="1">#REF!</definedName>
    <definedName name="Chave1" localSheetId="5" hidden="1">#REF!</definedName>
    <definedName name="Chave1" localSheetId="6" hidden="1">#REF!</definedName>
    <definedName name="Chave1" localSheetId="24" hidden="1">#REF!</definedName>
    <definedName name="Chave1" localSheetId="25" hidden="1">#REF!</definedName>
    <definedName name="Chave1" localSheetId="27" hidden="1">#REF!</definedName>
    <definedName name="Chave1" localSheetId="20" hidden="1">#REF!</definedName>
    <definedName name="Chave1" localSheetId="15" hidden="1">#REF!</definedName>
    <definedName name="Chave1" localSheetId="22" hidden="1">#REF!</definedName>
    <definedName name="Chave1" hidden="1">#REF!</definedName>
    <definedName name="CHAVE85" hidden="1">MAX(LEN(#REF!))</definedName>
    <definedName name="ci">#REF!</definedName>
    <definedName name="CIM">#REF!</definedName>
    <definedName name="Cimento" localSheetId="15">#REF!</definedName>
    <definedName name="Cimento">#REF!</definedName>
    <definedName name="CIMENTOBARRA" localSheetId="15">#REF!</definedName>
    <definedName name="CIMENTOBARRA">#REF!</definedName>
    <definedName name="çl" localSheetId="15">#REF!</definedName>
    <definedName name="çl">#REF!</definedName>
    <definedName name="Clas" localSheetId="1" hidden="1">MAX(LEN(#REF!))</definedName>
    <definedName name="Clas" localSheetId="2" hidden="1">MAX(LEN(#REF!))</definedName>
    <definedName name="Clas" localSheetId="3" hidden="1">MAX(LEN(#REF!))</definedName>
    <definedName name="Clas" localSheetId="4" hidden="1">MAX(LEN(#REF!))</definedName>
    <definedName name="Clas" localSheetId="5" hidden="1">MAX(LEN(#REF!))</definedName>
    <definedName name="Clas" localSheetId="6" hidden="1">MAX(LEN(#REF!))</definedName>
    <definedName name="Clas" localSheetId="24" hidden="1">MAX(LEN(#REF!))</definedName>
    <definedName name="Clas" localSheetId="25" hidden="1">MAX(LEN(#REF!))</definedName>
    <definedName name="Clas" localSheetId="27" hidden="1">MAX(LEN(#REF!))</definedName>
    <definedName name="Clas" localSheetId="20" hidden="1">MAX(LEN(#REF!))</definedName>
    <definedName name="Clas" localSheetId="15" hidden="1">MAX(LEN(#REF!))</definedName>
    <definedName name="Clas" localSheetId="22" hidden="1">MAX(LEN(#REF!))</definedName>
    <definedName name="Clas" hidden="1">MAX(LEN(#REF!))</definedName>
    <definedName name="Clas_1" hidden="1">MAX(LEN(#REF!))</definedName>
    <definedName name="Cliente" hidden="1">""</definedName>
    <definedName name="Cls" hidden="1">#N/A</definedName>
    <definedName name="CM">"$#REF!.$O$31"</definedName>
    <definedName name="cm.30.a">#REF!</definedName>
    <definedName name="cm.30.t">#REF!</definedName>
    <definedName name="CM_30" localSheetId="15">#REF!</definedName>
    <definedName name="CM_30">#REF!</definedName>
    <definedName name="CM30W">"$#REF!.$I$14"</definedName>
    <definedName name="CM30WA">"$#REF!.$I$13"</definedName>
    <definedName name="CMREM_20">#REF!</definedName>
    <definedName name="CMTB_20">#REF!</definedName>
    <definedName name="CMTOTAL">"$#REF!.$I$12"</definedName>
    <definedName name="CMW">"$#REF!.$O$33"</definedName>
    <definedName name="CMWA">"$#REF!.$O$32"</definedName>
    <definedName name="COBERTURA">#N/A</definedName>
    <definedName name="Cobertura_canal" localSheetId="15">#REF!</definedName>
    <definedName name="Cobertura_canal">#REF!</definedName>
    <definedName name="coc">#REF!,#REF!,#REF!,#REF!</definedName>
    <definedName name="COD" localSheetId="15">#REF!</definedName>
    <definedName name="COD">#REF!</definedName>
    <definedName name="Cód.">#REF!</definedName>
    <definedName name="cod.1" localSheetId="15">#REF!</definedName>
    <definedName name="cod.1">#REF!</definedName>
    <definedName name="cod.2" localSheetId="15">#REF!</definedName>
    <definedName name="cod.2">#REF!</definedName>
    <definedName name="Cód.3" localSheetId="15">#REF!</definedName>
    <definedName name="Cód.3">#REF!</definedName>
    <definedName name="Cód.4">#REF!</definedName>
    <definedName name="Cód.Equip." localSheetId="15">#REF!</definedName>
    <definedName name="Cód.Equip.">#REF!</definedName>
    <definedName name="Cód.SER">#REF!</definedName>
    <definedName name="Cód.serv." localSheetId="15">#REF!</definedName>
    <definedName name="Cód.serv.">#REF!</definedName>
    <definedName name="COD_LOTE">#REF!</definedName>
    <definedName name="COD_ROD">#REF!</definedName>
    <definedName name="COD_SEG">#REF!</definedName>
    <definedName name="COD_SUBTRECHO">#REF!</definedName>
    <definedName name="COD_TRECHO">#REF!</definedName>
    <definedName name="Codigo" localSheetId="1" hidden="1">#REF!</definedName>
    <definedName name="Codigo" localSheetId="2" hidden="1">#REF!</definedName>
    <definedName name="Codigo" localSheetId="3" hidden="1">#REF!</definedName>
    <definedName name="Codigo" localSheetId="4" hidden="1">#REF!</definedName>
    <definedName name="Codigo" localSheetId="5" hidden="1">#REF!</definedName>
    <definedName name="Codigo" localSheetId="6" hidden="1">#REF!</definedName>
    <definedName name="Codigo" localSheetId="24" hidden="1">#REF!</definedName>
    <definedName name="Codigo" localSheetId="25" hidden="1">#REF!</definedName>
    <definedName name="Codigo" localSheetId="27" hidden="1">#REF!</definedName>
    <definedName name="Codigo" localSheetId="20" hidden="1">#REF!</definedName>
    <definedName name="Codigo" localSheetId="15" hidden="1">#REF!</definedName>
    <definedName name="Codigo" localSheetId="22" hidden="1">#REF!</definedName>
    <definedName name="Codigo" hidden="1">#REF!</definedName>
    <definedName name="Código" localSheetId="15">#REF!</definedName>
    <definedName name="Código">#REF!</definedName>
    <definedName name="CodItens">#REF!</definedName>
    <definedName name="CODOR1">#REF!</definedName>
    <definedName name="CODOR15">#REF!</definedName>
    <definedName name="CODOR17">#REF!</definedName>
    <definedName name="CODOR18">#REF!</definedName>
    <definedName name="CODOR19">#REF!</definedName>
    <definedName name="CODOR2">#REF!</definedName>
    <definedName name="CODOR3">#REF!</definedName>
    <definedName name="CODOR4">#REF!</definedName>
    <definedName name="CODOR5">#REF!</definedName>
    <definedName name="CODOR6">#REF!</definedName>
    <definedName name="CODOR7">#REF!</definedName>
    <definedName name="CODOR8">#REF!</definedName>
    <definedName name="CODOR9">#REF!</definedName>
    <definedName name="Colchão" localSheetId="15">#REF!</definedName>
    <definedName name="Colchão">#REF!</definedName>
    <definedName name="Coluna" localSheetId="1" hidden="1">#REF!</definedName>
    <definedName name="Coluna" localSheetId="2" hidden="1">#REF!</definedName>
    <definedName name="Coluna" localSheetId="3" hidden="1">#REF!</definedName>
    <definedName name="Coluna" localSheetId="4" hidden="1">#REF!</definedName>
    <definedName name="Coluna" localSheetId="5" hidden="1">#REF!</definedName>
    <definedName name="Coluna" localSheetId="6" hidden="1">#REF!</definedName>
    <definedName name="Coluna" localSheetId="24" hidden="1">#REF!</definedName>
    <definedName name="Coluna" localSheetId="25" hidden="1">#REF!</definedName>
    <definedName name="Coluna" localSheetId="27" hidden="1">#REF!</definedName>
    <definedName name="Coluna" localSheetId="20" hidden="1">#REF!</definedName>
    <definedName name="Coluna" localSheetId="15" hidden="1">#REF!</definedName>
    <definedName name="Coluna" localSheetId="22" hidden="1">#REF!</definedName>
    <definedName name="Coluna" hidden="1">#REF!</definedName>
    <definedName name="Comp" localSheetId="1" hidden="1">#REF!</definedName>
    <definedName name="Comp" localSheetId="2" hidden="1">#REF!</definedName>
    <definedName name="Comp" localSheetId="3" hidden="1">#REF!</definedName>
    <definedName name="Comp" localSheetId="4" hidden="1">#REF!</definedName>
    <definedName name="Comp" localSheetId="5" hidden="1">#REF!</definedName>
    <definedName name="Comp" localSheetId="6" hidden="1">#REF!</definedName>
    <definedName name="Comp" localSheetId="24" hidden="1">#REF!</definedName>
    <definedName name="Comp" localSheetId="25" hidden="1">#REF!</definedName>
    <definedName name="Comp" localSheetId="27" hidden="1">#REF!</definedName>
    <definedName name="Comp" localSheetId="20" hidden="1">#REF!</definedName>
    <definedName name="Comp" localSheetId="15" hidden="1">#REF!</definedName>
    <definedName name="Comp" localSheetId="22" hidden="1">#REF!</definedName>
    <definedName name="Comp" hidden="1">#REF!</definedName>
    <definedName name="COMP.CBUQ2" localSheetId="1" hidden="1">SUM(IF(#REF! =#REF!,(#REF!)*(#REF!="EQ")))</definedName>
    <definedName name="COMP.CBUQ2" localSheetId="4" hidden="1">SUM(IF(#REF! =#REF!,(#REF!)*(#REF!="EQ")))</definedName>
    <definedName name="COMP.CBUQ2" localSheetId="15" hidden="1">SUM(IF(#REF! =#REF!,(#REF!)*(#REF!="EQ")))</definedName>
    <definedName name="COMP.CBUQ2" hidden="1">SUM(IF(#REF! =#REF!,(#REF!)*(#REF!="EQ")))</definedName>
    <definedName name="Comp_Área_Vol._25" localSheetId="15">#REF!</definedName>
    <definedName name="Comp_Área_Vol._25">#REF!</definedName>
    <definedName name="complementares" localSheetId="15">#REF!</definedName>
    <definedName name="complementares">#REF!</definedName>
    <definedName name="COMPLETO">#REF!</definedName>
    <definedName name="COMPOSICAO">#REF!</definedName>
    <definedName name="composição" localSheetId="15">#REF!</definedName>
    <definedName name="composição">#REF!</definedName>
    <definedName name="CONCRETO">#REF!</definedName>
    <definedName name="CONDUTOR">#REF!</definedName>
    <definedName name="CONDUTORES">#REF!</definedName>
    <definedName name="CONS">#REF!</definedName>
    <definedName name="Conser" localSheetId="15">#REF!</definedName>
    <definedName name="Conser">#REF!</definedName>
    <definedName name="conserva" localSheetId="15">#REF!</definedName>
    <definedName name="conserva">#REF!</definedName>
    <definedName name="CONSUMO">#REF!</definedName>
    <definedName name="consumo.2" localSheetId="15">#REF!</definedName>
    <definedName name="consumo.2">#REF!</definedName>
    <definedName name="Consumodemateriais">#N/A</definedName>
    <definedName name="Consumodemateriais___0" localSheetId="18">#REF!</definedName>
    <definedName name="Consumodemateriais___0">#REF!</definedName>
    <definedName name="Consumodemateriais_1">"plan1"</definedName>
    <definedName name="Consumodemateriais_3">"plan1"</definedName>
    <definedName name="Consumodemateriais_4">NA()</definedName>
    <definedName name="cont" localSheetId="15">#REF!</definedName>
    <definedName name="cont">#REF!</definedName>
    <definedName name="CONT_CANTEIRO" localSheetId="15">#REF!</definedName>
    <definedName name="CONT_CANTEIRO">#REF!</definedName>
    <definedName name="CONTR">#REF!</definedName>
    <definedName name="CONTR_13">#REF!</definedName>
    <definedName name="CONTR_39">#REF!</definedName>
    <definedName name="CONTR_6">#REF!</definedName>
    <definedName name="contrapartida" localSheetId="15">#REF!</definedName>
    <definedName name="contrapartida">#REF!</definedName>
    <definedName name="Contratada">#REF!</definedName>
    <definedName name="CONTRATO">#REF!</definedName>
    <definedName name="CONTRATO_20">#REF!</definedName>
    <definedName name="CONTRATO_21">#REF!</definedName>
    <definedName name="Contrato_Numero">#REF!</definedName>
    <definedName name="controle" localSheetId="18" hidden="1">{"'Plan1 (2)'!$A$5:$F$63"}</definedName>
    <definedName name="controle" hidden="1">{"'Plan1 (2)'!$A$5:$F$63"}</definedName>
    <definedName name="CONTROLE_VS">#REF!</definedName>
    <definedName name="ControleCOmb">NA()</definedName>
    <definedName name="Convenio">#REF!</definedName>
    <definedName name="Corpus">#REF!+60</definedName>
    <definedName name="CORRMBUFMAN">#REF!</definedName>
    <definedName name="CORRMBUQMAN">#REF!</definedName>
    <definedName name="CORRMBUQREC">#REF!</definedName>
    <definedName name="cp.100" localSheetId="15">#REF!</definedName>
    <definedName name="cp.100">#REF!</definedName>
    <definedName name="cp.95" localSheetId="15">#REF!</definedName>
    <definedName name="cp.95">#REF!</definedName>
    <definedName name="CpuAux" localSheetId="1" hidden="1">#REF!</definedName>
    <definedName name="CpuAux" localSheetId="2" hidden="1">#REF!</definedName>
    <definedName name="CpuAux" localSheetId="3" hidden="1">#REF!</definedName>
    <definedName name="CpuAux" localSheetId="4" hidden="1">#REF!</definedName>
    <definedName name="CpuAux" localSheetId="5" hidden="1">#REF!</definedName>
    <definedName name="CpuAux" localSheetId="6" hidden="1">#REF!</definedName>
    <definedName name="CpuAux" localSheetId="24" hidden="1">#REF!</definedName>
    <definedName name="CpuAux" localSheetId="25" hidden="1">#REF!</definedName>
    <definedName name="CpuAux" localSheetId="27" hidden="1">#REF!</definedName>
    <definedName name="CpuAux" localSheetId="20" hidden="1">#REF!</definedName>
    <definedName name="CpuAux" localSheetId="15" hidden="1">#REF!</definedName>
    <definedName name="CpuAux" localSheetId="22" hidden="1">#REF!</definedName>
    <definedName name="CpuAux" hidden="1">#REF!</definedName>
    <definedName name="CPUBET" localSheetId="15">#REF!</definedName>
    <definedName name="CPUBET">#REF!</definedName>
    <definedName name="CPUOAC" localSheetId="15">#REF!</definedName>
    <definedName name="CPUOAC">#REF!</definedName>
    <definedName name="CPUOAE" localSheetId="15">#REF!</definedName>
    <definedName name="CPUOAE">#REF!</definedName>
    <definedName name="CPUPAV" localSheetId="15">#REF!</definedName>
    <definedName name="CPUPAV">#REF!</definedName>
    <definedName name="CPUs" localSheetId="1" hidden="1">#REF!</definedName>
    <definedName name="CPUs" localSheetId="2" hidden="1">#REF!</definedName>
    <definedName name="CPUs" localSheetId="3" hidden="1">#REF!</definedName>
    <definedName name="CPUs" localSheetId="4" hidden="1">#REF!</definedName>
    <definedName name="CPUs" localSheetId="5" hidden="1">#REF!</definedName>
    <definedName name="CPUs" localSheetId="6" hidden="1">#REF!</definedName>
    <definedName name="CPUs" localSheetId="24" hidden="1">#REF!</definedName>
    <definedName name="CPUs" localSheetId="25" hidden="1">#REF!</definedName>
    <definedName name="CPUs" localSheetId="27" hidden="1">#REF!</definedName>
    <definedName name="CPUs" localSheetId="20" hidden="1">#REF!</definedName>
    <definedName name="CPUs" localSheetId="15" hidden="1">#REF!</definedName>
    <definedName name="CPUs" localSheetId="22" hidden="1">#REF!</definedName>
    <definedName name="CPUs" hidden="1">#REF!</definedName>
    <definedName name="CPUSERCOMPL" localSheetId="15">#REF!</definedName>
    <definedName name="CPUSERCOMPL">#REF!</definedName>
    <definedName name="CPUSIN" localSheetId="15">#REF!</definedName>
    <definedName name="CPUSIN">#REF!</definedName>
    <definedName name="CPUTER" localSheetId="15">#REF!</definedName>
    <definedName name="CPUTER">#REF!</definedName>
    <definedName name="CPUVEIC" localSheetId="15">#REF!</definedName>
    <definedName name="CPUVEIC">#REF!</definedName>
    <definedName name="CRIT" localSheetId="1" hidden="1">#REF!</definedName>
    <definedName name="CRIT" localSheetId="2" hidden="1">#REF!</definedName>
    <definedName name="CRIT" localSheetId="3" hidden="1">#REF!</definedName>
    <definedName name="CRIT" localSheetId="4" hidden="1">#REF!</definedName>
    <definedName name="CRIT" localSheetId="5" hidden="1">#REF!</definedName>
    <definedName name="CRIT" localSheetId="6" hidden="1">#REF!</definedName>
    <definedName name="CRIT" localSheetId="24" hidden="1">#REF!</definedName>
    <definedName name="CRIT" localSheetId="25" hidden="1">#REF!</definedName>
    <definedName name="CRIT" localSheetId="27" hidden="1">#REF!</definedName>
    <definedName name="CRIT" localSheetId="20" hidden="1">#REF!</definedName>
    <definedName name="CRIT" localSheetId="15" hidden="1">#REF!</definedName>
    <definedName name="CRIT" localSheetId="22" hidden="1">#REF!</definedName>
    <definedName name="CRIT" hidden="1">#REF!</definedName>
    <definedName name="_xlnm.Criteria" localSheetId="15">#REF!</definedName>
    <definedName name="_xlnm.Criteria">#REF!</definedName>
    <definedName name="CRO" localSheetId="18" hidden="1">{#N/A,#N/A,FALSE,"MO (2)"}</definedName>
    <definedName name="CRO" hidden="1">{#N/A,#N/A,FALSE,"MO (2)"}</definedName>
    <definedName name="Cron" localSheetId="1" hidden="1">{#N/A,#N/A,FALSE,"MO (2)"}</definedName>
    <definedName name="Cron" localSheetId="4" hidden="1">{#N/A,#N/A,FALSE,"MO (2)"}</definedName>
    <definedName name="Cron" localSheetId="24" hidden="1">{#N/A,#N/A,FALSE,"MO (2)"}</definedName>
    <definedName name="Cron" localSheetId="25" hidden="1">{#N/A,#N/A,FALSE,"MO (2)"}</definedName>
    <definedName name="Cron" localSheetId="27" hidden="1">{#N/A,#N/A,FALSE,"MO (2)"}</definedName>
    <definedName name="Cron" localSheetId="20" hidden="1">{#N/A,#N/A,FALSE,"MO (2)"}</definedName>
    <definedName name="Cron" localSheetId="15" hidden="1">{#N/A,#N/A,FALSE,"MO (2)"}</definedName>
    <definedName name="Cron" localSheetId="12" hidden="1">{#N/A,#N/A,FALSE,"MO (2)"}</definedName>
    <definedName name="Cron" localSheetId="18" hidden="1">{#N/A,#N/A,FALSE,"MO (2)"}</definedName>
    <definedName name="Cron" localSheetId="23" hidden="1">{#N/A,#N/A,FALSE,"MO (2)"}</definedName>
    <definedName name="Cron" localSheetId="16" hidden="1">{#N/A,#N/A,FALSE,"MO (2)"}</definedName>
    <definedName name="Cron" hidden="1">{#N/A,#N/A,FALSE,"MO (2)"}</definedName>
    <definedName name="Cron_1" localSheetId="1" hidden="1">{#N/A,#N/A,FALSE,"MO (2)"}</definedName>
    <definedName name="Cron_1" localSheetId="4" hidden="1">{#N/A,#N/A,FALSE,"MO (2)"}</definedName>
    <definedName name="Cron_1" localSheetId="24" hidden="1">{#N/A,#N/A,FALSE,"MO (2)"}</definedName>
    <definedName name="Cron_1" localSheetId="25" hidden="1">{#N/A,#N/A,FALSE,"MO (2)"}</definedName>
    <definedName name="Cron_1" localSheetId="27" hidden="1">{#N/A,#N/A,FALSE,"MO (2)"}</definedName>
    <definedName name="Cron_1" localSheetId="20" hidden="1">{#N/A,#N/A,FALSE,"MO (2)"}</definedName>
    <definedName name="Cron_1" localSheetId="15" hidden="1">{#N/A,#N/A,FALSE,"MO (2)"}</definedName>
    <definedName name="Cron_1" localSheetId="12" hidden="1">{#N/A,#N/A,FALSE,"MO (2)"}</definedName>
    <definedName name="Cron_1" localSheetId="18" hidden="1">{#N/A,#N/A,FALSE,"MO (2)"}</definedName>
    <definedName name="Cron_1" localSheetId="23" hidden="1">{#N/A,#N/A,FALSE,"MO (2)"}</definedName>
    <definedName name="Cron_1" localSheetId="16" hidden="1">{#N/A,#N/A,FALSE,"MO (2)"}</definedName>
    <definedName name="Cron_1" hidden="1">{#N/A,#N/A,FALSE,"MO (2)"}</definedName>
    <definedName name="crona" localSheetId="15">#REF!</definedName>
    <definedName name="crona">#REF!</definedName>
    <definedName name="CRONO" localSheetId="15">#REF!</definedName>
    <definedName name="CRONO">#REF!</definedName>
    <definedName name="CRONO_25" localSheetId="15">#REF!</definedName>
    <definedName name="CRONO_25">#REF!</definedName>
    <definedName name="CRONOFÍSICO">#REF!</definedName>
    <definedName name="cronograma" localSheetId="1" hidden="1">{#N/A,#N/A,TRUE,"Plan1"}</definedName>
    <definedName name="cronograma" localSheetId="4" hidden="1">{#N/A,#N/A,TRUE,"Plan1"}</definedName>
    <definedName name="cronograma" localSheetId="24" hidden="1">{#N/A,#N/A,TRUE,"Plan1"}</definedName>
    <definedName name="cronograma" localSheetId="25" hidden="1">{#N/A,#N/A,TRUE,"Plan1"}</definedName>
    <definedName name="cronograma" localSheetId="27" hidden="1">{#N/A,#N/A,TRUE,"Plan1"}</definedName>
    <definedName name="cronograma" localSheetId="20" hidden="1">{#N/A,#N/A,TRUE,"Plan1"}</definedName>
    <definedName name="cronograma" localSheetId="15" hidden="1">{#N/A,#N/A,TRUE,"Plan1"}</definedName>
    <definedName name="cronograma" localSheetId="18" hidden="1">{#N/A,#N/A,TRUE,"Plan1"}</definedName>
    <definedName name="cronograma" localSheetId="23" hidden="1">{#N/A,#N/A,TRUE,"Plan1"}</definedName>
    <definedName name="cronograma" hidden="1">{#N/A,#N/A,TRUE,"Plan1"}</definedName>
    <definedName name="cronograma_1" localSheetId="18" hidden="1">{#N/A,#N/A,TRUE,"Plan1"}</definedName>
    <definedName name="cronograma_1" hidden="1">{#N/A,#N/A,TRUE,"Plan1"}</definedName>
    <definedName name="CROQUI" localSheetId="18" hidden="1">{#N/A,#N/A,TRUE,"Serviços"}</definedName>
    <definedName name="CROQUI" hidden="1">{#N/A,#N/A,TRUE,"Serviços"}</definedName>
    <definedName name="CROQUIAAAA" localSheetId="18" hidden="1">{#N/A,#N/A,TRUE,"Serviços"}</definedName>
    <definedName name="CROQUIAAAA" hidden="1">{#N/A,#N/A,TRUE,"Serviços"}</definedName>
    <definedName name="Croquiiii">#N/A</definedName>
    <definedName name="Croquiiii_38">#N/A</definedName>
    <definedName name="CSA" localSheetId="15">#REF!</definedName>
    <definedName name="CSA">#REF!</definedName>
    <definedName name="CST" localSheetId="15">#REF!</definedName>
    <definedName name="CST">#REF!</definedName>
    <definedName name="cu" localSheetId="1" hidden="1">{#N/A,#N/A,TRUE,"Serviços"}</definedName>
    <definedName name="cu" localSheetId="4" hidden="1">{#N/A,#N/A,TRUE,"Serviços"}</definedName>
    <definedName name="cu" localSheetId="24" hidden="1">{#N/A,#N/A,TRUE,"Serviços"}</definedName>
    <definedName name="cu" localSheetId="25" hidden="1">{#N/A,#N/A,TRUE,"Serviços"}</definedName>
    <definedName name="cu" localSheetId="27" hidden="1">{#N/A,#N/A,TRUE,"Serviços"}</definedName>
    <definedName name="cu" localSheetId="20" hidden="1">{#N/A,#N/A,TRUE,"Serviços"}</definedName>
    <definedName name="cu" localSheetId="15" hidden="1">{#N/A,#N/A,TRUE,"Serviços"}</definedName>
    <definedName name="cu" localSheetId="18" hidden="1">{#N/A,#N/A,TRUE,"Serviços"}</definedName>
    <definedName name="cu" hidden="1">{#N/A,#N/A,TRUE,"Serviços"}</definedName>
    <definedName name="CUBAÇÃO" localSheetId="15">#REF!</definedName>
    <definedName name="CUBAÇÃO">#REF!</definedName>
    <definedName name="CUN" localSheetId="15">#REF!</definedName>
    <definedName name="CUN">#REF!</definedName>
    <definedName name="CunEq" localSheetId="1" hidden="1">SUM(IF(#REF! =#REF!,(#REF!)*(#REF!="EQ")))</definedName>
    <definedName name="CunEq" localSheetId="2" hidden="1">SUM(IF(#REF! =#REF!,(#REF!)*(#REF!="EQ")))</definedName>
    <definedName name="CunEq" localSheetId="3" hidden="1">SUM(IF(#REF! =#REF!,(#REF!)*(#REF!="EQ")))</definedName>
    <definedName name="CunEq" localSheetId="4" hidden="1">SUM(IF(#REF! =#REF!,(#REF!)*(#REF!="EQ")))</definedName>
    <definedName name="CunEq" localSheetId="5" hidden="1">SUM(IF(#REF! =#REF!,(#REF!)*(#REF!="EQ")))</definedName>
    <definedName name="CunEq" localSheetId="6" hidden="1">SUM(IF(#REF! =#REF!,(#REF!)*(#REF!="EQ")))</definedName>
    <definedName name="CunEq" localSheetId="24" hidden="1">SUM(IF(#REF! =#REF!,(#REF!)*(#REF!="EQ")))</definedName>
    <definedName name="CunEq" localSheetId="25" hidden="1">SUM(IF(#REF! =#REF!,(#REF!)*(#REF!="EQ")))</definedName>
    <definedName name="CunEq" localSheetId="27" hidden="1">SUM(IF(#REF! =#REF!,(#REF!)*(#REF!="EQ")))</definedName>
    <definedName name="CunEq" localSheetId="20" hidden="1">SUM(IF(#REF! =#REF!,(#REF!)*(#REF!="EQ")))</definedName>
    <definedName name="CunEq" localSheetId="15" hidden="1">SUM(IF(#REF! =#REF!,(#REF!)*(#REF!="EQ")))</definedName>
    <definedName name="CunEq" localSheetId="22" hidden="1">SUM(IF(#REF! =#REF!,(#REF!)*(#REF!="EQ")))</definedName>
    <definedName name="CunEq" hidden="1">SUM(IF(#REF! =#REF!,(#REF!)*(#REF!="EQ")))</definedName>
    <definedName name="CunEq_1" hidden="1">SUM(IF(#REF! =#REF!,(#REF!)*(#REF!="EQ")))</definedName>
    <definedName name="CunMo" localSheetId="1" hidden="1">SUM(IF(#REF! =#REF!,(#REF!)*(#REF!="MO")))</definedName>
    <definedName name="CunMo" localSheetId="2" hidden="1">SUM(IF(#REF! =#REF!,(#REF!)*(#REF!="MO")))</definedName>
    <definedName name="CunMo" localSheetId="3" hidden="1">SUM(IF(#REF! =#REF!,(#REF!)*(#REF!="MO")))</definedName>
    <definedName name="CunMo" localSheetId="4" hidden="1">SUM(IF(#REF! =#REF!,(#REF!)*(#REF!="MO")))</definedName>
    <definedName name="CunMo" localSheetId="5" hidden="1">SUM(IF(#REF! =#REF!,(#REF!)*(#REF!="MO")))</definedName>
    <definedName name="CunMo" localSheetId="6" hidden="1">SUM(IF(#REF! =#REF!,(#REF!)*(#REF!="MO")))</definedName>
    <definedName name="CunMo" localSheetId="24" hidden="1">SUM(IF(#REF! =#REF!,(#REF!)*(#REF!="MO")))</definedName>
    <definedName name="CunMo" localSheetId="25" hidden="1">SUM(IF(#REF! =#REF!,(#REF!)*(#REF!="MO")))</definedName>
    <definedName name="CunMo" localSheetId="27" hidden="1">SUM(IF(#REF! =#REF!,(#REF!)*(#REF!="MO")))</definedName>
    <definedName name="CunMo" localSheetId="20" hidden="1">SUM(IF(#REF! =#REF!,(#REF!)*(#REF!="MO")))</definedName>
    <definedName name="CunMo" localSheetId="15" hidden="1">SUM(IF(#REF! =#REF!,(#REF!)*(#REF!="MO")))</definedName>
    <definedName name="CunMo" localSheetId="22" hidden="1">SUM(IF(#REF! =#REF!,(#REF!)*(#REF!="MO")))</definedName>
    <definedName name="CunMo" hidden="1">SUM(IF(#REF! =#REF!,(#REF!)*(#REF!="MO")))</definedName>
    <definedName name="CunMo_1" hidden="1">SUM(IF(#REF! =#REF!,(#REF!)*(#REF!="MO")))</definedName>
    <definedName name="CunMp" localSheetId="1" hidden="1">SUM(IF(#REF! =#REF!,(#REF!)*(#REF!="MP")))</definedName>
    <definedName name="CunMp" localSheetId="2" hidden="1">SUM(IF(#REF! =#REF!,(#REF!)*(#REF!="MP")))</definedName>
    <definedName name="CunMp" localSheetId="3" hidden="1">SUM(IF(#REF! =#REF!,(#REF!)*(#REF!="MP")))</definedName>
    <definedName name="CunMp" localSheetId="4" hidden="1">SUM(IF(#REF! =#REF!,(#REF!)*(#REF!="MP")))</definedName>
    <definedName name="CunMp" localSheetId="5" hidden="1">SUM(IF(#REF! =#REF!,(#REF!)*(#REF!="MP")))</definedName>
    <definedName name="CunMp" localSheetId="6" hidden="1">SUM(IF(#REF! =#REF!,(#REF!)*(#REF!="MP")))</definedName>
    <definedName name="CunMp" localSheetId="24" hidden="1">SUM(IF(#REF! =#REF!,(#REF!)*(#REF!="MP")))</definedName>
    <definedName name="CunMp" localSheetId="25" hidden="1">SUM(IF(#REF! =#REF!,(#REF!)*(#REF!="MP")))</definedName>
    <definedName name="CunMp" localSheetId="27" hidden="1">SUM(IF(#REF! =#REF!,(#REF!)*(#REF!="MP")))</definedName>
    <definedName name="CunMp" localSheetId="20" hidden="1">SUM(IF(#REF! =#REF!,(#REF!)*(#REF!="MP")))</definedName>
    <definedName name="CunMp" localSheetId="15" hidden="1">SUM(IF(#REF! =#REF!,(#REF!)*(#REF!="MP")))</definedName>
    <definedName name="CunMp" localSheetId="22" hidden="1">SUM(IF(#REF! =#REF!,(#REF!)*(#REF!="MP")))</definedName>
    <definedName name="CunMp" hidden="1">SUM(IF(#REF! =#REF!,(#REF!)*(#REF!="MP")))</definedName>
    <definedName name="CunMp_1" hidden="1">SUM(IF(#REF! =#REF!,(#REF!)*(#REF!="MP")))</definedName>
    <definedName name="CURTO">#REF!</definedName>
    <definedName name="CUSTO">#REF!</definedName>
    <definedName name="Custo_parcial">#REF!</definedName>
    <definedName name="cvc" localSheetId="15">#REF!</definedName>
    <definedName name="cvc">#REF!</definedName>
    <definedName name="cx.01" localSheetId="15">#REF!</definedName>
    <definedName name="cx.01">#REF!</definedName>
    <definedName name="cx_coletora" localSheetId="15">#REF!</definedName>
    <definedName name="cx_coletora">#REF!</definedName>
    <definedName name="d" localSheetId="15">#REF!</definedName>
    <definedName name="d">#REF!</definedName>
    <definedName name="d.1000" localSheetId="15">#REF!</definedName>
    <definedName name="d.1000">#REF!</definedName>
    <definedName name="d.1200" localSheetId="15">#REF!</definedName>
    <definedName name="d.1200">#REF!</definedName>
    <definedName name="d.200" localSheetId="15">#REF!</definedName>
    <definedName name="d.200">#REF!</definedName>
    <definedName name="d.400" localSheetId="15">#REF!</definedName>
    <definedName name="d.400">#REF!</definedName>
    <definedName name="d.50" localSheetId="15">#REF!</definedName>
    <definedName name="d.50">#REF!</definedName>
    <definedName name="d.50a">#REF!</definedName>
    <definedName name="d.600" localSheetId="15">#REF!</definedName>
    <definedName name="d.600">#REF!</definedName>
    <definedName name="d.600a">#REF!</definedName>
    <definedName name="d.800" localSheetId="15">#REF!</definedName>
    <definedName name="d.800">#REF!</definedName>
    <definedName name="d_25" localSheetId="15">#REF!</definedName>
    <definedName name="d_25">#REF!</definedName>
    <definedName name="DA">#REF!</definedName>
    <definedName name="DADADA" localSheetId="18" hidden="1">{#N/A,#N/A,FALSE,"MO (2)"}</definedName>
    <definedName name="DADADA" hidden="1">{#N/A,#N/A,FALSE,"MO (2)"}</definedName>
    <definedName name="dadinho" localSheetId="15">#REF!</definedName>
    <definedName name="dadinho">#REF!</definedName>
    <definedName name="dadinho_29" localSheetId="15">#REF!</definedName>
    <definedName name="dadinho_29">#REF!</definedName>
    <definedName name="dadinho_31" localSheetId="15">#REF!</definedName>
    <definedName name="dadinho_31">#REF!</definedName>
    <definedName name="DADO">#REF!</definedName>
    <definedName name="DADOS" localSheetId="15">#REF!</definedName>
    <definedName name="DADOS">#REF!</definedName>
    <definedName name="DADOS_29" localSheetId="15">#REF!</definedName>
    <definedName name="DADOS_29">#REF!</definedName>
    <definedName name="DADOS_31" localSheetId="15">#REF!</definedName>
    <definedName name="DADOS_31">#REF!</definedName>
    <definedName name="Dados_Primário">#REF!</definedName>
    <definedName name="DAER1" localSheetId="1" hidden="1">{#N/A,#N/A,TRUE,"Serviços"}</definedName>
    <definedName name="DAER1" localSheetId="4" hidden="1">{#N/A,#N/A,TRUE,"Serviços"}</definedName>
    <definedName name="DAER1" localSheetId="24" hidden="1">{#N/A,#N/A,TRUE,"Serviços"}</definedName>
    <definedName name="DAER1" localSheetId="25" hidden="1">{#N/A,#N/A,TRUE,"Serviços"}</definedName>
    <definedName name="DAER1" localSheetId="27" hidden="1">{#N/A,#N/A,TRUE,"Serviços"}</definedName>
    <definedName name="DAER1" localSheetId="20" hidden="1">{#N/A,#N/A,TRUE,"Serviços"}</definedName>
    <definedName name="DAER1" localSheetId="15" hidden="1">{#N/A,#N/A,TRUE,"Serviços"}</definedName>
    <definedName name="DAER1" localSheetId="18" hidden="1">{#N/A,#N/A,TRUE,"Serviços"}</definedName>
    <definedName name="DAER1" hidden="1">{#N/A,#N/A,TRUE,"Serviços"}</definedName>
    <definedName name="DAER11" localSheetId="18" hidden="1">{#N/A,#N/A,TRUE,"Serviços"}</definedName>
    <definedName name="DAER11" hidden="1">{#N/A,#N/A,TRUE,"Serviços"}</definedName>
    <definedName name="Daniel" localSheetId="18" hidden="1">{#N/A,#N/A,FALSE,"MO (2)"}</definedName>
    <definedName name="Daniel" hidden="1">{#N/A,#N/A,FALSE,"MO (2)"}</definedName>
    <definedName name="DAS" localSheetId="1" hidden="1">{#N/A,#N/A,FALSE,"MO (2)"}</definedName>
    <definedName name="DAS" localSheetId="4" hidden="1">{#N/A,#N/A,FALSE,"MO (2)"}</definedName>
    <definedName name="DAS" localSheetId="24" hidden="1">{#N/A,#N/A,FALSE,"MO (2)"}</definedName>
    <definedName name="DAS" localSheetId="25" hidden="1">{#N/A,#N/A,FALSE,"MO (2)"}</definedName>
    <definedName name="DAS" localSheetId="27" hidden="1">{#N/A,#N/A,FALSE,"MO (2)"}</definedName>
    <definedName name="DAS" localSheetId="20" hidden="1">{#N/A,#N/A,FALSE,"MO (2)"}</definedName>
    <definedName name="DAS" localSheetId="15" hidden="1">{#N/A,#N/A,FALSE,"MO (2)"}</definedName>
    <definedName name="DAS" localSheetId="12" hidden="1">{#N/A,#N/A,FALSE,"MO (2)"}</definedName>
    <definedName name="DAS" localSheetId="18" hidden="1">{#N/A,#N/A,FALSE,"MO (2)"}</definedName>
    <definedName name="DAS" localSheetId="23" hidden="1">{#N/A,#N/A,FALSE,"MO (2)"}</definedName>
    <definedName name="DAS" localSheetId="16" hidden="1">{#N/A,#N/A,FALSE,"MO (2)"}</definedName>
    <definedName name="DAS" hidden="1">{#N/A,#N/A,FALSE,"MO (2)"}</definedName>
    <definedName name="DAS_1" localSheetId="1" hidden="1">{#N/A,#N/A,FALSE,"MO (2)"}</definedName>
    <definedName name="DAS_1" localSheetId="4" hidden="1">{#N/A,#N/A,FALSE,"MO (2)"}</definedName>
    <definedName name="DAS_1" localSheetId="24" hidden="1">{#N/A,#N/A,FALSE,"MO (2)"}</definedName>
    <definedName name="DAS_1" localSheetId="25" hidden="1">{#N/A,#N/A,FALSE,"MO (2)"}</definedName>
    <definedName name="DAS_1" localSheetId="27" hidden="1">{#N/A,#N/A,FALSE,"MO (2)"}</definedName>
    <definedName name="DAS_1" localSheetId="20" hidden="1">{#N/A,#N/A,FALSE,"MO (2)"}</definedName>
    <definedName name="DAS_1" localSheetId="15" hidden="1">{#N/A,#N/A,FALSE,"MO (2)"}</definedName>
    <definedName name="DAS_1" localSheetId="12" hidden="1">{#N/A,#N/A,FALSE,"MO (2)"}</definedName>
    <definedName name="DAS_1" localSheetId="18" hidden="1">{#N/A,#N/A,FALSE,"MO (2)"}</definedName>
    <definedName name="DAS_1" localSheetId="23" hidden="1">{#N/A,#N/A,FALSE,"MO (2)"}</definedName>
    <definedName name="DAS_1" localSheetId="16" hidden="1">{#N/A,#N/A,FALSE,"MO (2)"}</definedName>
    <definedName name="DAS_1" hidden="1">{#N/A,#N/A,FALSE,"MO (2)"}</definedName>
    <definedName name="dasd" localSheetId="15">#REF!</definedName>
    <definedName name="dasd">#REF!</definedName>
    <definedName name="DATA" localSheetId="15">#REF!</definedName>
    <definedName name="DATA">#REF!</definedName>
    <definedName name="data_base">#REF!</definedName>
    <definedName name="Data_de_Inicio">#REF!</definedName>
    <definedName name="Data_Final" localSheetId="15">#REF!</definedName>
    <definedName name="Data_Final">#REF!</definedName>
    <definedName name="Data_Final_25" localSheetId="15">#REF!</definedName>
    <definedName name="Data_Final_25">#REF!</definedName>
    <definedName name="Data_Início" localSheetId="15">#REF!</definedName>
    <definedName name="Data_Início">#REF!</definedName>
    <definedName name="Data_Início_25" localSheetId="15">#REF!</definedName>
    <definedName name="Data_Início_25">#REF!</definedName>
    <definedName name="data_med">#REF!</definedName>
    <definedName name="data_pato">#REF!</definedName>
    <definedName name="Data_Termino_Previsto">#REF!</definedName>
    <definedName name="data1" localSheetId="15">#REF!</definedName>
    <definedName name="data1">#REF!</definedName>
    <definedName name="DATA2" localSheetId="15">#REF!</definedName>
    <definedName name="DATA2">#REF!</definedName>
    <definedName name="DATA3" localSheetId="15">#REF!</definedName>
    <definedName name="DATA3">#REF!</definedName>
    <definedName name="DATAB">#REF!</definedName>
    <definedName name="database_1">{#NAME?}</definedName>
    <definedName name="DataMedicao">#REF!</definedName>
    <definedName name="DCA">"$#REF!.$E$31"</definedName>
    <definedName name="DCAW">"$#REF!.$E$33"</definedName>
    <definedName name="dd">#REF!</definedName>
    <definedName name="DDDD" localSheetId="15">#REF!</definedName>
    <definedName name="DDDD">#REF!</definedName>
    <definedName name="DDDDE" localSheetId="1" hidden="1">{#N/A,#N/A,FALSE,"MO (2)"}</definedName>
    <definedName name="DDDDE" localSheetId="4" hidden="1">{#N/A,#N/A,FALSE,"MO (2)"}</definedName>
    <definedName name="DDDDE" localSheetId="24" hidden="1">{#N/A,#N/A,FALSE,"MO (2)"}</definedName>
    <definedName name="DDDDE" localSheetId="25" hidden="1">{#N/A,#N/A,FALSE,"MO (2)"}</definedName>
    <definedName name="DDDDE" localSheetId="27" hidden="1">{#N/A,#N/A,FALSE,"MO (2)"}</definedName>
    <definedName name="DDDDE" localSheetId="20" hidden="1">{#N/A,#N/A,FALSE,"MO (2)"}</definedName>
    <definedName name="DDDDE" localSheetId="15" hidden="1">{#N/A,#N/A,FALSE,"MO (2)"}</definedName>
    <definedName name="DDDDE" localSheetId="12" hidden="1">{#N/A,#N/A,FALSE,"MO (2)"}</definedName>
    <definedName name="DDDDE" localSheetId="18" hidden="1">{#N/A,#N/A,FALSE,"MO (2)"}</definedName>
    <definedName name="DDDDE" localSheetId="23" hidden="1">{#N/A,#N/A,FALSE,"MO (2)"}</definedName>
    <definedName name="DDDDE" localSheetId="16" hidden="1">{#N/A,#N/A,FALSE,"MO (2)"}</definedName>
    <definedName name="DDDDE" hidden="1">{#N/A,#N/A,FALSE,"MO (2)"}</definedName>
    <definedName name="DDDDE_1" localSheetId="1" hidden="1">{#N/A,#N/A,FALSE,"MO (2)"}</definedName>
    <definedName name="DDDDE_1" localSheetId="4" hidden="1">{#N/A,#N/A,FALSE,"MO (2)"}</definedName>
    <definedName name="DDDDE_1" localSheetId="24" hidden="1">{#N/A,#N/A,FALSE,"MO (2)"}</definedName>
    <definedName name="DDDDE_1" localSheetId="25" hidden="1">{#N/A,#N/A,FALSE,"MO (2)"}</definedName>
    <definedName name="DDDDE_1" localSheetId="27" hidden="1">{#N/A,#N/A,FALSE,"MO (2)"}</definedName>
    <definedName name="DDDDE_1" localSheetId="20" hidden="1">{#N/A,#N/A,FALSE,"MO (2)"}</definedName>
    <definedName name="DDDDE_1" localSheetId="15" hidden="1">{#N/A,#N/A,FALSE,"MO (2)"}</definedName>
    <definedName name="DDDDE_1" localSheetId="12" hidden="1">{#N/A,#N/A,FALSE,"MO (2)"}</definedName>
    <definedName name="DDDDE_1" localSheetId="18" hidden="1">{#N/A,#N/A,FALSE,"MO (2)"}</definedName>
    <definedName name="DDDDE_1" localSheetId="23" hidden="1">{#N/A,#N/A,FALSE,"MO (2)"}</definedName>
    <definedName name="DDDDE_1" localSheetId="16" hidden="1">{#N/A,#N/A,FALSE,"MO (2)"}</definedName>
    <definedName name="DDDDE_1" hidden="1">{#N/A,#N/A,FALSE,"MO (2)"}</definedName>
    <definedName name="ddere" localSheetId="18" hidden="1">{#N/A,#N/A,FALSE,"MO (2)"}</definedName>
    <definedName name="ddere" hidden="1">{#N/A,#N/A,FALSE,"MO (2)"}</definedName>
    <definedName name="ddlc" localSheetId="15">#REF!</definedName>
    <definedName name="ddlc">#REF!</definedName>
    <definedName name="deb" hidden="1">#REF!</definedName>
    <definedName name="defensas" localSheetId="15">#REF!</definedName>
    <definedName name="defensas">#REF!</definedName>
    <definedName name="defghj" localSheetId="18" hidden="1">{#N/A,#N/A,FALSE,"MO (2)"}</definedName>
    <definedName name="defghj" hidden="1">{#N/A,#N/A,FALSE,"MO (2)"}</definedName>
    <definedName name="deinfra072005_1">0</definedName>
    <definedName name="deinfra072005_10">0</definedName>
    <definedName name="deinfra072005_11">0</definedName>
    <definedName name="deinfra072005_12">0</definedName>
    <definedName name="deinfra072005_13">0</definedName>
    <definedName name="deinfra072005_14">0</definedName>
    <definedName name="deinfra072005_15">0</definedName>
    <definedName name="deinfra072005_16">0</definedName>
    <definedName name="deinfra072005_17">0</definedName>
    <definedName name="deinfra072005_18">0</definedName>
    <definedName name="deinfra072005_19">0</definedName>
    <definedName name="deinfra072005_2">0</definedName>
    <definedName name="deinfra072005_20">0</definedName>
    <definedName name="deinfra072005_21">0</definedName>
    <definedName name="deinfra072005_22">0</definedName>
    <definedName name="deinfra072005_23">0</definedName>
    <definedName name="deinfra072005_24">0</definedName>
    <definedName name="deinfra072005_25">0</definedName>
    <definedName name="deinfra072005_26">0</definedName>
    <definedName name="deinfra072005_27">0</definedName>
    <definedName name="deinfra072005_3">0</definedName>
    <definedName name="deinfra072005_4">0</definedName>
    <definedName name="deinfra072005_5">0</definedName>
    <definedName name="deinfra072005_6">0</definedName>
    <definedName name="deinfra072005_7">0</definedName>
    <definedName name="deinfra072005_8">0</definedName>
    <definedName name="deinfra072005_9">0</definedName>
    <definedName name="deinfra072005pmf052006_1">0</definedName>
    <definedName name="deinfra072005pmf052006_10">0</definedName>
    <definedName name="deinfra072005pmf052006_11">0</definedName>
    <definedName name="deinfra072005pmf052006_12">0</definedName>
    <definedName name="deinfra072005pmf052006_13">0</definedName>
    <definedName name="deinfra072005pmf052006_14">0</definedName>
    <definedName name="deinfra072005pmf052006_15">0</definedName>
    <definedName name="deinfra072005pmf052006_16">0</definedName>
    <definedName name="deinfra072005pmf052006_17">0</definedName>
    <definedName name="deinfra072005pmf052006_18">0</definedName>
    <definedName name="deinfra072005pmf052006_19">0</definedName>
    <definedName name="deinfra072005pmf052006_2">0</definedName>
    <definedName name="deinfra072005pmf052006_20">0</definedName>
    <definedName name="deinfra072005pmf052006_21">0</definedName>
    <definedName name="deinfra072005pmf052006_22">0</definedName>
    <definedName name="deinfra072005pmf052006_23">0</definedName>
    <definedName name="deinfra072005pmf052006_24">0</definedName>
    <definedName name="deinfra072005pmf052006_25">0</definedName>
    <definedName name="deinfra072005pmf052006_26">0</definedName>
    <definedName name="deinfra072005pmf052006_27">0</definedName>
    <definedName name="deinfra072005pmf052006_3">0</definedName>
    <definedName name="deinfra072005pmf052006_4">0</definedName>
    <definedName name="deinfra072005pmf052006_5">0</definedName>
    <definedName name="deinfra072005pmf052006_6">0</definedName>
    <definedName name="deinfra072005pmf052006_7">0</definedName>
    <definedName name="deinfra072005pmf052006_8">0</definedName>
    <definedName name="deinfra072005pmf052006_9">0</definedName>
    <definedName name="Demol" localSheetId="18">#REF!</definedName>
    <definedName name="Demol">#REF!</definedName>
    <definedName name="Dens_CBUQ">#REF!</definedName>
    <definedName name="densidade_20">#REF!</definedName>
    <definedName name="densidade_21">#REF!</definedName>
    <definedName name="densidade_cap" localSheetId="15">#REF!</definedName>
    <definedName name="densidade_cap">#REF!</definedName>
    <definedName name="Densidades" localSheetId="15">#REF!</definedName>
    <definedName name="Densidades">#REF!</definedName>
    <definedName name="DEQUIP" localSheetId="15">#REF!</definedName>
    <definedName name="DEQUIP">#REF!</definedName>
    <definedName name="DEQUIP_25" localSheetId="15">#REF!</definedName>
    <definedName name="DEQUIP_25">#REF!</definedName>
    <definedName name="DER">#REF!</definedName>
    <definedName name="dergerh" localSheetId="18" hidden="1">{#N/A,#N/A,FALSE,"MO (2)"}</definedName>
    <definedName name="dergerh" hidden="1">{#N/A,#N/A,FALSE,"MO (2)"}</definedName>
    <definedName name="DESAP" localSheetId="15">#REF!</definedName>
    <definedName name="DESAP">#REF!</definedName>
    <definedName name="DESAPROPRIAÇÃO">#REF!</definedName>
    <definedName name="DescAux" hidden="1">#N/A</definedName>
    <definedName name="descida1" localSheetId="15">#REF!</definedName>
    <definedName name="descida1">#REF!</definedName>
    <definedName name="descida2" localSheetId="15">#REF!</definedName>
    <definedName name="descida2">#REF!</definedName>
    <definedName name="desconto" localSheetId="15">#REF!</definedName>
    <definedName name="desconto">#REF!</definedName>
    <definedName name="desconto2" localSheetId="15">#REF!</definedName>
    <definedName name="desconto2">#REF!</definedName>
    <definedName name="descricao" localSheetId="15">#REF!</definedName>
    <definedName name="descricao">#REF!</definedName>
    <definedName name="DESM">#REF!</definedName>
    <definedName name="DESONERACAO">#REF!</definedName>
    <definedName name="DESP.INDIRETAS">#N/A</definedName>
    <definedName name="Detalhe" localSheetId="18" hidden="1">{"'Resumo'!$A$4:$N$60"}</definedName>
    <definedName name="Detalhe" hidden="1">{"'Resumo'!$A$4:$N$60"}</definedName>
    <definedName name="dfdfdfd" localSheetId="18" hidden="1">{#N/A,#N/A,FALSE,"MO (2)"}</definedName>
    <definedName name="dfdfdfd" hidden="1">{#N/A,#N/A,FALSE,"MO (2)"}</definedName>
    <definedName name="DFDFDGFGSG">#REF!</definedName>
    <definedName name="DFGDFG" localSheetId="15">#REF!</definedName>
    <definedName name="DFGDFG">#REF!</definedName>
    <definedName name="dfgs" localSheetId="18" hidden="1">{#N/A,#N/A,TRUE,"Serviços"}</definedName>
    <definedName name="dfgs" hidden="1">{#N/A,#N/A,TRUE,"Serviços"}</definedName>
    <definedName name="dfgss" localSheetId="18" hidden="1">{#N/A,#N/A,TRUE,"Serviços"}</definedName>
    <definedName name="dfgss" hidden="1">{#N/A,#N/A,TRUE,"Serviços"}</definedName>
    <definedName name="DGA" localSheetId="15">#REF!</definedName>
    <definedName name="DGA">#REF!</definedName>
    <definedName name="DGA_10" localSheetId="15">#REF!</definedName>
    <definedName name="DGA_10">#REF!</definedName>
    <definedName name="DGA_25" localSheetId="15">#REF!</definedName>
    <definedName name="DGA_25">#REF!</definedName>
    <definedName name="DGA_27" localSheetId="15">#REF!</definedName>
    <definedName name="DGA_27">#REF!</definedName>
    <definedName name="DGA_29" localSheetId="15">#REF!</definedName>
    <definedName name="DGA_29">#REF!</definedName>
    <definedName name="DGA_9" localSheetId="15">#REF!</definedName>
    <definedName name="DGA_9">#REF!</definedName>
    <definedName name="DGF" localSheetId="1" hidden="1">{#N/A,#N/A,FALSE,"MO (2)"}</definedName>
    <definedName name="DGF" localSheetId="4" hidden="1">{#N/A,#N/A,FALSE,"MO (2)"}</definedName>
    <definedName name="DGF" localSheetId="24" hidden="1">{#N/A,#N/A,FALSE,"MO (2)"}</definedName>
    <definedName name="DGF" localSheetId="25" hidden="1">{#N/A,#N/A,FALSE,"MO (2)"}</definedName>
    <definedName name="DGF" localSheetId="27" hidden="1">{#N/A,#N/A,FALSE,"MO (2)"}</definedName>
    <definedName name="DGF" localSheetId="20" hidden="1">{#N/A,#N/A,FALSE,"MO (2)"}</definedName>
    <definedName name="DGF" localSheetId="15" hidden="1">{#N/A,#N/A,FALSE,"MO (2)"}</definedName>
    <definedName name="DGF" localSheetId="18" hidden="1">{#N/A,#N/A,FALSE,"MO (2)"}</definedName>
    <definedName name="DGF" hidden="1">{#N/A,#N/A,FALSE,"MO (2)"}</definedName>
    <definedName name="DGF_1" localSheetId="18" hidden="1">{#N/A,#N/A,FALSE,"MO (2)"}</definedName>
    <definedName name="DGF_1" hidden="1">{#N/A,#N/A,FALSE,"MO (2)"}</definedName>
    <definedName name="DIA">"$#REF!.$H$4"</definedName>
    <definedName name="Dias_Decorridos">#REF!</definedName>
    <definedName name="DIE">#REF!</definedName>
    <definedName name="DIESEL" localSheetId="15">#REF!</definedName>
    <definedName name="DIESEL">#REF!</definedName>
    <definedName name="diesel100">#REF!</definedName>
    <definedName name="DIESEL2">#REF!</definedName>
    <definedName name="DIGITAL">#N/A</definedName>
    <definedName name="DIGITAL_25">#N/A</definedName>
    <definedName name="DIMPAV">#REF!</definedName>
    <definedName name="DispTelGASAG" localSheetId="18" hidden="1">{"'teste'!$B$2:$R$49"}</definedName>
    <definedName name="DispTelGASAG" hidden="1">{"'teste'!$B$2:$R$49"}</definedName>
    <definedName name="DISTA">#REF!</definedName>
    <definedName name="DISTCC">#REF!</definedName>
    <definedName name="DISTP">#REF!</definedName>
    <definedName name="DISTS">#REF!</definedName>
    <definedName name="DJ" localSheetId="15">#REF!</definedName>
    <definedName name="DJ">#REF!</definedName>
    <definedName name="DJ_25" localSheetId="15">#REF!</definedName>
    <definedName name="DJ_25">#REF!</definedName>
    <definedName name="DMT">#REF!,#REF!</definedName>
    <definedName name="DMT.BET.CBA" localSheetId="15">#REF!</definedName>
    <definedName name="DMT.BET.CBA">#REF!</definedName>
    <definedName name="DMT.BETUMINCBA" localSheetId="15">#REF!</definedName>
    <definedName name="DMT.BETUMINCBA">#REF!</definedName>
    <definedName name="DMT.CIMENTO" localSheetId="15">#REF!</definedName>
    <definedName name="DMT.CIMENTO">#REF!</definedName>
    <definedName name="DMT_0_50" localSheetId="15">#REF!</definedName>
    <definedName name="DMT_0_50">#REF!</definedName>
    <definedName name="dmt_1">0</definedName>
    <definedName name="dmt_10">0</definedName>
    <definedName name="dmt_1000" localSheetId="15">#REF!</definedName>
    <definedName name="dmt_1000">#REF!</definedName>
    <definedName name="dmt_11">0</definedName>
    <definedName name="dmt_12">0</definedName>
    <definedName name="dmt_1200" localSheetId="15">#REF!</definedName>
    <definedName name="dmt_1200">#REF!</definedName>
    <definedName name="dmt_13">0</definedName>
    <definedName name="dmt_14">0</definedName>
    <definedName name="dmt_1400" localSheetId="15">#REF!</definedName>
    <definedName name="dmt_1400">#REF!</definedName>
    <definedName name="dmt_15">0</definedName>
    <definedName name="dmt_16">0</definedName>
    <definedName name="dmt_17">0</definedName>
    <definedName name="dmt_18">0</definedName>
    <definedName name="dmt_19">0</definedName>
    <definedName name="dmt_2">0</definedName>
    <definedName name="dmt_20">0</definedName>
    <definedName name="dmt_200" localSheetId="15">#REF!</definedName>
    <definedName name="dmt_200">#REF!</definedName>
    <definedName name="DMT_200_400" localSheetId="15">#REF!</definedName>
    <definedName name="DMT_200_400">#REF!</definedName>
    <definedName name="dmt_21">0</definedName>
    <definedName name="dmt_22">0</definedName>
    <definedName name="dmt_23">0</definedName>
    <definedName name="dmt_24">0</definedName>
    <definedName name="dmt_25">0</definedName>
    <definedName name="dmt_26">0</definedName>
    <definedName name="dmt_27">0</definedName>
    <definedName name="dmt_28">0</definedName>
    <definedName name="dmt_3">0</definedName>
    <definedName name="dmt_4">0</definedName>
    <definedName name="dmt_400" localSheetId="15">#REF!</definedName>
    <definedName name="dmt_400">#REF!</definedName>
    <definedName name="DMT_400_600" localSheetId="15">#REF!</definedName>
    <definedName name="DMT_400_600">#REF!</definedName>
    <definedName name="dmt_5">0</definedName>
    <definedName name="dmt_50" localSheetId="15">#REF!</definedName>
    <definedName name="dmt_50">#REF!</definedName>
    <definedName name="DMT_50_200" localSheetId="15">#REF!</definedName>
    <definedName name="DMT_50_200">#REF!</definedName>
    <definedName name="dmt_6">0</definedName>
    <definedName name="dmt_600" localSheetId="15">#REF!</definedName>
    <definedName name="dmt_600">#REF!</definedName>
    <definedName name="dmt_7">0</definedName>
    <definedName name="dmt_8">0</definedName>
    <definedName name="dmt_800" localSheetId="15">#REF!</definedName>
    <definedName name="dmt_800">#REF!</definedName>
    <definedName name="dmt_9">0</definedName>
    <definedName name="DMT_BRITA_MICRORREVESTIMENTO__P">" "</definedName>
    <definedName name="DMT_BRITA_PMF__P">" "</definedName>
    <definedName name="DMT_C_PS" localSheetId="15">#REF!</definedName>
    <definedName name="DMT_C_PS">#REF!</definedName>
    <definedName name="DMT_Cim_P" localSheetId="15">#REF!</definedName>
    <definedName name="DMT_Cim_P">#REF!</definedName>
    <definedName name="DMT_Fl_P" localSheetId="15">#REF!</definedName>
    <definedName name="DMT_Fl_P">#REF!</definedName>
    <definedName name="DMT_Js_C" localSheetId="15">#REF!</definedName>
    <definedName name="DMT_Js_C">#REF!</definedName>
    <definedName name="DMT_Js_Cnp" localSheetId="15">#REF!</definedName>
    <definedName name="DMT_Js_Cnp">#REF!</definedName>
    <definedName name="DMT_PROD.BETUM._US.CBUQ" localSheetId="15">#REF!</definedName>
    <definedName name="DMT_PROD.BETUM._US.CBUQ">#REF!</definedName>
    <definedName name="DMTCAPECM">#REF!</definedName>
    <definedName name="DMTCIMENTO" localSheetId="15">#REF!</definedName>
    <definedName name="DMTCIMENTO">#REF!</definedName>
    <definedName name="DMTMICRO1.5">#REF!</definedName>
    <definedName name="dng" localSheetId="18" hidden="1">{#N/A,#N/A,FALSE,"GERAL";#N/A,#N/A,FALSE,"012-96";#N/A,#N/A,FALSE,"018-96";#N/A,#N/A,FALSE,"027-96";#N/A,#N/A,FALSE,"059-96";#N/A,#N/A,FALSE,"076-96";#N/A,#N/A,FALSE,"019-97";#N/A,#N/A,FALSE,"021-97";#N/A,#N/A,FALSE,"022-97";#N/A,#N/A,FALSE,"028-97"}</definedName>
    <definedName name="dng" hidden="1">{#N/A,#N/A,FALSE,"GERAL";#N/A,#N/A,FALSE,"012-96";#N/A,#N/A,FALSE,"018-96";#N/A,#N/A,FALSE,"027-96";#N/A,#N/A,FALSE,"059-96";#N/A,#N/A,FALSE,"076-96";#N/A,#N/A,FALSE,"019-97";#N/A,#N/A,FALSE,"021-97";#N/A,#N/A,FALSE,"022-97";#N/A,#N/A,FALSE,"028-97"}</definedName>
    <definedName name="DNIT1">#REF!</definedName>
    <definedName name="Dom_Carna">#REF!-49</definedName>
    <definedName name="Dope">#REF!</definedName>
    <definedName name="DOR">#REF!</definedName>
    <definedName name="DPD">#REF!</definedName>
    <definedName name="DPESSO" localSheetId="15">#REF!</definedName>
    <definedName name="DPESSO">#REF!</definedName>
    <definedName name="DPESSO_25" localSheetId="15">#REF!</definedName>
    <definedName name="DPESSO_25">#REF!</definedName>
    <definedName name="drafad" localSheetId="15">#REF!</definedName>
    <definedName name="drafad">#REF!</definedName>
    <definedName name="DRE" localSheetId="15">#REF!</definedName>
    <definedName name="DRE">#REF!</definedName>
    <definedName name="dren" localSheetId="15">#REF!</definedName>
    <definedName name="dren">#REF!</definedName>
    <definedName name="drena" localSheetId="15">#REF!</definedName>
    <definedName name="drena">#REF!</definedName>
    <definedName name="Drena2" localSheetId="15">#REF!</definedName>
    <definedName name="Drena2">#REF!</definedName>
    <definedName name="DRENAG">#REF!</definedName>
    <definedName name="drenagem" localSheetId="15">#REF!</definedName>
    <definedName name="drenagem">#REF!</definedName>
    <definedName name="DRF" localSheetId="15">#REF!</definedName>
    <definedName name="DRF">#REF!</definedName>
    <definedName name="DRI" localSheetId="15">#REF!</definedName>
    <definedName name="DRI">#REF!</definedName>
    <definedName name="dsad" localSheetId="15">#REF!</definedName>
    <definedName name="dsad">#REF!</definedName>
    <definedName name="Dsc">#N/A</definedName>
    <definedName name="Dsc_26">NA()</definedName>
    <definedName name="Dsc_27">NA()</definedName>
    <definedName name="dsr4g">#N/A</definedName>
    <definedName name="DT_ASS">#REF!</definedName>
    <definedName name="DT_med">#REF!</definedName>
    <definedName name="Dt_med_texto">#REF!</definedName>
    <definedName name="DTMED">"$#REF!.$C$8"</definedName>
    <definedName name="Dtrecho">#REF!</definedName>
    <definedName name="DUCOL" localSheetId="18" hidden="1">{"'Plan1 (2)'!$A$5:$F$63"}</definedName>
    <definedName name="DUCOL" hidden="1">{"'Plan1 (2)'!$A$5:$F$63"}</definedName>
    <definedName name="dush">#REF!</definedName>
    <definedName name="E">#N/A</definedName>
    <definedName name="EA">#REF!</definedName>
    <definedName name="EA_13">#REF!</definedName>
    <definedName name="EA_39">#REF!</definedName>
    <definedName name="EA_6">#REF!</definedName>
    <definedName name="ECJ" localSheetId="15">#REF!</definedName>
    <definedName name="ECJ">#REF!</definedName>
    <definedName name="ECJ_25" localSheetId="15">#REF!</definedName>
    <definedName name="ECJ_25">#REF!</definedName>
    <definedName name="edefegeh" localSheetId="1" hidden="1">{#N/A,#N/A,FALSE,"MO (2)"}</definedName>
    <definedName name="edefegeh" localSheetId="4" hidden="1">{#N/A,#N/A,FALSE,"MO (2)"}</definedName>
    <definedName name="edefegeh" localSheetId="24" hidden="1">{#N/A,#N/A,FALSE,"MO (2)"}</definedName>
    <definedName name="edefegeh" localSheetId="25" hidden="1">{#N/A,#N/A,FALSE,"MO (2)"}</definedName>
    <definedName name="edefegeh" localSheetId="27" hidden="1">{#N/A,#N/A,FALSE,"MO (2)"}</definedName>
    <definedName name="edefegeh" localSheetId="20" hidden="1">{#N/A,#N/A,FALSE,"MO (2)"}</definedName>
    <definedName name="edefegeh" localSheetId="15" hidden="1">{#N/A,#N/A,FALSE,"MO (2)"}</definedName>
    <definedName name="edefegeh" localSheetId="12" hidden="1">{#N/A,#N/A,FALSE,"MO (2)"}</definedName>
    <definedName name="edefegeh" localSheetId="18" hidden="1">{#N/A,#N/A,FALSE,"MO (2)"}</definedName>
    <definedName name="edefegeh" localSheetId="23" hidden="1">{#N/A,#N/A,FALSE,"MO (2)"}</definedName>
    <definedName name="edefegeh" localSheetId="16" hidden="1">{#N/A,#N/A,FALSE,"MO (2)"}</definedName>
    <definedName name="edefegeh" hidden="1">{#N/A,#N/A,FALSE,"MO (2)"}</definedName>
    <definedName name="edefegeh_1" localSheetId="1" hidden="1">{#N/A,#N/A,FALSE,"MO (2)"}</definedName>
    <definedName name="edefegeh_1" localSheetId="4" hidden="1">{#N/A,#N/A,FALSE,"MO (2)"}</definedName>
    <definedName name="edefegeh_1" localSheetId="24" hidden="1">{#N/A,#N/A,FALSE,"MO (2)"}</definedName>
    <definedName name="edefegeh_1" localSheetId="25" hidden="1">{#N/A,#N/A,FALSE,"MO (2)"}</definedName>
    <definedName name="edefegeh_1" localSheetId="27" hidden="1">{#N/A,#N/A,FALSE,"MO (2)"}</definedName>
    <definedName name="edefegeh_1" localSheetId="20" hidden="1">{#N/A,#N/A,FALSE,"MO (2)"}</definedName>
    <definedName name="edefegeh_1" localSheetId="15" hidden="1">{#N/A,#N/A,FALSE,"MO (2)"}</definedName>
    <definedName name="edefegeh_1" localSheetId="12" hidden="1">{#N/A,#N/A,FALSE,"MO (2)"}</definedName>
    <definedName name="edefegeh_1" localSheetId="18" hidden="1">{#N/A,#N/A,FALSE,"MO (2)"}</definedName>
    <definedName name="edefegeh_1" localSheetId="23" hidden="1">{#N/A,#N/A,FALSE,"MO (2)"}</definedName>
    <definedName name="edefegeh_1" localSheetId="16" hidden="1">{#N/A,#N/A,FALSE,"MO (2)"}</definedName>
    <definedName name="edefegeh_1" hidden="1">{#N/A,#N/A,FALSE,"MO (2)"}</definedName>
    <definedName name="EDIFICAÇÕES">#N/A</definedName>
    <definedName name="edit" localSheetId="15">#REF!</definedName>
    <definedName name="edit">#REF!</definedName>
    <definedName name="edita" localSheetId="15">#REF!</definedName>
    <definedName name="edita">#REF!</definedName>
    <definedName name="EDITA1" localSheetId="15">#REF!</definedName>
    <definedName name="EDITA1">#REF!</definedName>
    <definedName name="EDITA2" localSheetId="15">#REF!</definedName>
    <definedName name="EDITA2">#REF!</definedName>
    <definedName name="EDITAL" localSheetId="15">#REF!</definedName>
    <definedName name="EDITAL">#REF!</definedName>
    <definedName name="EDITAL2" localSheetId="15">#REF!</definedName>
    <definedName name="EDITAL2">#REF!</definedName>
    <definedName name="EDITALA" localSheetId="15">#REF!</definedName>
    <definedName name="EDITALA">#REF!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26" localSheetId="15">#REF!</definedName>
    <definedName name="ee_26">#REF!</definedName>
    <definedName name="ee_27" localSheetId="15">#REF!</definedName>
    <definedName name="ee_27">#REF!</definedName>
    <definedName name="ee_28" localSheetId="15">#REF!</definedName>
    <definedName name="ee_28">#REF!</definedName>
    <definedName name="ee_29" localSheetId="15">#REF!</definedName>
    <definedName name="ee_29">#REF!</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_5" localSheetId="15">#REF!</definedName>
    <definedName name="ee_5">#REF!</definedName>
    <definedName name="ee_6" localSheetId="15">#REF!</definedName>
    <definedName name="ee_6">#REF!</definedName>
    <definedName name="EE1_MAT" localSheetId="15">#REF!</definedName>
    <definedName name="EE1_MAT">#REF!</definedName>
    <definedName name="EE1_MATERIAIS">#REF!</definedName>
    <definedName name="EE1_SERV" localSheetId="15">#REF!</definedName>
    <definedName name="EE1_SERV">#REF!</definedName>
    <definedName name="EE1_SERVIÇOS">#REF!</definedName>
    <definedName name="EE2_MAT" localSheetId="15">#REF!</definedName>
    <definedName name="EE2_MAT">#REF!</definedName>
    <definedName name="EE2_MATERIAIS">#REF!</definedName>
    <definedName name="EE2_SERV" localSheetId="15">#REF!</definedName>
    <definedName name="EE2_SERV">#REF!</definedName>
    <definedName name="EE2_SERVIÇOS">#REF!</definedName>
    <definedName name="EE3_MAT" localSheetId="15">#REF!</definedName>
    <definedName name="EE3_MAT">#REF!</definedName>
    <definedName name="EE3_SERV" localSheetId="15">#REF!</definedName>
    <definedName name="EE3_SERV">#REF!</definedName>
    <definedName name="eeeee" localSheetId="18" hidden="1">{#N/A,#N/A,FALSE,"MO (2)"}</definedName>
    <definedName name="eeeee" hidden="1">{#N/A,#N/A,FALSE,"MO (2)"}</definedName>
    <definedName name="EJ" localSheetId="15">#REF!</definedName>
    <definedName name="EJ">#REF!</definedName>
    <definedName name="EJ_25" localSheetId="15">#REF!</definedName>
    <definedName name="EJ_25">#REF!</definedName>
    <definedName name="Elemento_vazado" localSheetId="15">#REF!</definedName>
    <definedName name="Elemento_vazado">#REF!</definedName>
    <definedName name="ELÉTRICA">#N/A</definedName>
    <definedName name="ELIAS" localSheetId="15">#REF!</definedName>
    <definedName name="ELIAS">#REF!</definedName>
    <definedName name="EM">"$#REF!.$E$30"</definedName>
    <definedName name="em_algarismo_e_por_extenso" localSheetId="15">#REF!</definedName>
    <definedName name="em_algarismo_e_por_extenso">#REF!</definedName>
    <definedName name="EMISS_1_MAT" localSheetId="15">#REF!</definedName>
    <definedName name="EMISS_1_MAT">#REF!</definedName>
    <definedName name="EMISS_1_SERV" localSheetId="15">#REF!</definedName>
    <definedName name="EMISS_1_SERV">#REF!</definedName>
    <definedName name="EMISS_2_MAT" localSheetId="15">#REF!</definedName>
    <definedName name="EMISS_2_MAT">#REF!</definedName>
    <definedName name="EMISS_2_SERV" localSheetId="15">#REF!</definedName>
    <definedName name="EMISS_2_SERV">#REF!</definedName>
    <definedName name="EMISS_3_MAT" localSheetId="15">#REF!</definedName>
    <definedName name="EMISS_3_MAT">#REF!</definedName>
    <definedName name="EMISS_3_SERV" localSheetId="15">#REF!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P">#REF!</definedName>
    <definedName name="EMP_13">#REF!</definedName>
    <definedName name="EMP_39">#REF!</definedName>
    <definedName name="EMP_6">#REF!</definedName>
    <definedName name="emp2_10">#REF!</definedName>
    <definedName name="emp2_6">#REF!</definedName>
    <definedName name="EmpAux" hidden="1">""</definedName>
    <definedName name="Empo" localSheetId="15">#REF!</definedName>
    <definedName name="Empo">#REF!</definedName>
    <definedName name="empo2" localSheetId="15">#REF!</definedName>
    <definedName name="empo2">#REF!</definedName>
    <definedName name="Empola2" localSheetId="15">#REF!</definedName>
    <definedName name="Empola2">#REF!</definedName>
    <definedName name="Empolamento" localSheetId="15">#REF!</definedName>
    <definedName name="Empolamento">#REF!</definedName>
    <definedName name="Empolo2" localSheetId="15">#REF!</definedName>
    <definedName name="Empolo2">#REF!</definedName>
    <definedName name="empolo3" localSheetId="15">#REF!</definedName>
    <definedName name="empolo3">#REF!</definedName>
    <definedName name="Empr" localSheetId="15">#REF!</definedName>
    <definedName name="Empr">#REF!</definedName>
    <definedName name="empresa">#REF!</definedName>
    <definedName name="EMPRESA_20">#REF!</definedName>
    <definedName name="EMPRESA_21">#REF!</definedName>
    <definedName name="emprestimo">#REF!</definedName>
    <definedName name="EMW">"$#REF!.$E$32"</definedName>
    <definedName name="EMWA">"$#REF!.$E$31"</definedName>
    <definedName name="ENC" localSheetId="15">#REF!</definedName>
    <definedName name="ENC">#REF!</definedName>
    <definedName name="ENCARGOS_H">#REF!</definedName>
    <definedName name="ENCARGOS_H_COM">#REF!</definedName>
    <definedName name="ENCARGOS_H_SEM">#REF!</definedName>
    <definedName name="ENCARGOS_M_COM">#REF!</definedName>
    <definedName name="ENCARGOS_M_SEM">#REF!</definedName>
    <definedName name="ENCP" localSheetId="15">#REF!</definedName>
    <definedName name="ENCP">#REF!</definedName>
    <definedName name="ENCPA" localSheetId="15">#REF!</definedName>
    <definedName name="ENCPA">#REF!</definedName>
    <definedName name="ENCT" localSheetId="15">#REF!</definedName>
    <definedName name="ENCT">#REF!</definedName>
    <definedName name="ENCTA" localSheetId="15">#REF!</definedName>
    <definedName name="ENCTA">#REF!</definedName>
    <definedName name="eng">#REF!</definedName>
    <definedName name="eng." localSheetId="1" hidden="1">{#N/A,#N/A,FALSE,"MO (2)"}</definedName>
    <definedName name="eng." localSheetId="4" hidden="1">{#N/A,#N/A,FALSE,"MO (2)"}</definedName>
    <definedName name="eng." localSheetId="24" hidden="1">{#N/A,#N/A,FALSE,"MO (2)"}</definedName>
    <definedName name="eng." localSheetId="25" hidden="1">{#N/A,#N/A,FALSE,"MO (2)"}</definedName>
    <definedName name="eng." localSheetId="27" hidden="1">{#N/A,#N/A,FALSE,"MO (2)"}</definedName>
    <definedName name="eng." localSheetId="20" hidden="1">{#N/A,#N/A,FALSE,"MO (2)"}</definedName>
    <definedName name="eng." localSheetId="15" hidden="1">{#N/A,#N/A,FALSE,"MO (2)"}</definedName>
    <definedName name="eng." localSheetId="12" hidden="1">{#N/A,#N/A,FALSE,"MO (2)"}</definedName>
    <definedName name="eng." localSheetId="18" hidden="1">{#N/A,#N/A,FALSE,"MO (2)"}</definedName>
    <definedName name="eng." localSheetId="23" hidden="1">{#N/A,#N/A,FALSE,"MO (2)"}</definedName>
    <definedName name="eng." localSheetId="16" hidden="1">{#N/A,#N/A,FALSE,"MO (2)"}</definedName>
    <definedName name="eng." hidden="1">{#N/A,#N/A,FALSE,"MO (2)"}</definedName>
    <definedName name="eng._1" localSheetId="1" hidden="1">{#N/A,#N/A,FALSE,"MO (2)"}</definedName>
    <definedName name="eng._1" localSheetId="4" hidden="1">{#N/A,#N/A,FALSE,"MO (2)"}</definedName>
    <definedName name="eng._1" localSheetId="24" hidden="1">{#N/A,#N/A,FALSE,"MO (2)"}</definedName>
    <definedName name="eng._1" localSheetId="25" hidden="1">{#N/A,#N/A,FALSE,"MO (2)"}</definedName>
    <definedName name="eng._1" localSheetId="27" hidden="1">{#N/A,#N/A,FALSE,"MO (2)"}</definedName>
    <definedName name="eng._1" localSheetId="20" hidden="1">{#N/A,#N/A,FALSE,"MO (2)"}</definedName>
    <definedName name="eng._1" localSheetId="15" hidden="1">{#N/A,#N/A,FALSE,"MO (2)"}</definedName>
    <definedName name="eng._1" localSheetId="12" hidden="1">{#N/A,#N/A,FALSE,"MO (2)"}</definedName>
    <definedName name="eng._1" localSheetId="18" hidden="1">{#N/A,#N/A,FALSE,"MO (2)"}</definedName>
    <definedName name="eng._1" localSheetId="23" hidden="1">{#N/A,#N/A,FALSE,"MO (2)"}</definedName>
    <definedName name="eng._1" localSheetId="16" hidden="1">{#N/A,#N/A,FALSE,"MO (2)"}</definedName>
    <definedName name="eng._1" hidden="1">{#N/A,#N/A,FALSE,"MO (2)"}</definedName>
    <definedName name="eng_10">#REF!</definedName>
    <definedName name="eng_6">#REF!</definedName>
    <definedName name="ENGENHARIA" localSheetId="1" hidden="1">{#N/A,#N/A,FALSE,"MO (2)"}</definedName>
    <definedName name="ENGENHARIA" localSheetId="4" hidden="1">{#N/A,#N/A,FALSE,"MO (2)"}</definedName>
    <definedName name="ENGENHARIA" localSheetId="24" hidden="1">{#N/A,#N/A,FALSE,"MO (2)"}</definedName>
    <definedName name="ENGENHARIA" localSheetId="25" hidden="1">{#N/A,#N/A,FALSE,"MO (2)"}</definedName>
    <definedName name="ENGENHARIA" localSheetId="27" hidden="1">{#N/A,#N/A,FALSE,"MO (2)"}</definedName>
    <definedName name="ENGENHARIA" localSheetId="20" hidden="1">{#N/A,#N/A,FALSE,"MO (2)"}</definedName>
    <definedName name="ENGENHARIA" localSheetId="15" hidden="1">{#N/A,#N/A,FALSE,"MO (2)"}</definedName>
    <definedName name="ENGENHARIA" localSheetId="12" hidden="1">{#N/A,#N/A,FALSE,"MO (2)"}</definedName>
    <definedName name="ENGENHARIA" localSheetId="18" hidden="1">{#N/A,#N/A,FALSE,"MO (2)"}</definedName>
    <definedName name="ENGENHARIA" localSheetId="23" hidden="1">{#N/A,#N/A,FALSE,"MO (2)"}</definedName>
    <definedName name="ENGENHARIA" localSheetId="16" hidden="1">{#N/A,#N/A,FALSE,"MO (2)"}</definedName>
    <definedName name="ENGENHARIA" hidden="1">{#N/A,#N/A,FALSE,"MO (2)"}</definedName>
    <definedName name="ENGENHARIA_1" localSheetId="1" hidden="1">{#N/A,#N/A,FALSE,"MO (2)"}</definedName>
    <definedName name="ENGENHARIA_1" localSheetId="4" hidden="1">{#N/A,#N/A,FALSE,"MO (2)"}</definedName>
    <definedName name="ENGENHARIA_1" localSheetId="24" hidden="1">{#N/A,#N/A,FALSE,"MO (2)"}</definedName>
    <definedName name="ENGENHARIA_1" localSheetId="25" hidden="1">{#N/A,#N/A,FALSE,"MO (2)"}</definedName>
    <definedName name="ENGENHARIA_1" localSheetId="27" hidden="1">{#N/A,#N/A,FALSE,"MO (2)"}</definedName>
    <definedName name="ENGENHARIA_1" localSheetId="20" hidden="1">{#N/A,#N/A,FALSE,"MO (2)"}</definedName>
    <definedName name="ENGENHARIA_1" localSheetId="15" hidden="1">{#N/A,#N/A,FALSE,"MO (2)"}</definedName>
    <definedName name="ENGENHARIA_1" localSheetId="12" hidden="1">{#N/A,#N/A,FALSE,"MO (2)"}</definedName>
    <definedName name="ENGENHARIA_1" localSheetId="18" hidden="1">{#N/A,#N/A,FALSE,"MO (2)"}</definedName>
    <definedName name="ENGENHARIA_1" localSheetId="23" hidden="1">{#N/A,#N/A,FALSE,"MO (2)"}</definedName>
    <definedName name="ENGENHARIA_1" localSheetId="16" hidden="1">{#N/A,#N/A,FALSE,"MO (2)"}</definedName>
    <definedName name="ENGENHARIA_1" hidden="1">{#N/A,#N/A,FALSE,"MO (2)"}</definedName>
    <definedName name="ENLEIV" localSheetId="15">#REF!</definedName>
    <definedName name="ENLEIV">#REF!</definedName>
    <definedName name="Enrocamento" localSheetId="18" hidden="1">{#N/A,#N/A,TRUE,"Plan1"}</definedName>
    <definedName name="Enrocamento" hidden="1">{#N/A,#N/A,TRUE,"Plan1"}</definedName>
    <definedName name="Enrocamentos" localSheetId="18" hidden="1">{#N/A,#N/A,TRUE,"Plan1"}</definedName>
    <definedName name="Enrocamentos" hidden="1">{#N/A,#N/A,TRUE,"Plan1"}</definedName>
    <definedName name="entrada1" localSheetId="15">#REF!</definedName>
    <definedName name="entrada1">#REF!</definedName>
    <definedName name="entrada2" localSheetId="15">#REF!</definedName>
    <definedName name="entrada2">#REF!</definedName>
    <definedName name="ep">#REF!</definedName>
    <definedName name="EQ" localSheetId="1" hidden="1">#REF!</definedName>
    <definedName name="EQ" localSheetId="2" hidden="1">#REF!</definedName>
    <definedName name="EQ" localSheetId="3" hidden="1">#REF!</definedName>
    <definedName name="EQ" localSheetId="4" hidden="1">#REF!</definedName>
    <definedName name="EQ" localSheetId="5" hidden="1">#REF!</definedName>
    <definedName name="EQ" localSheetId="6" hidden="1">#REF!</definedName>
    <definedName name="EQ" localSheetId="24" hidden="1">#REF!</definedName>
    <definedName name="EQ" localSheetId="25" hidden="1">#REF!</definedName>
    <definedName name="EQ" localSheetId="27" hidden="1">#REF!</definedName>
    <definedName name="EQ" localSheetId="20" hidden="1">#REF!</definedName>
    <definedName name="EQ" localSheetId="15" hidden="1">#REF!</definedName>
    <definedName name="EQ" localSheetId="22" hidden="1">#REF!</definedName>
    <definedName name="EQ" hidden="1">#REF!</definedName>
    <definedName name="Equip" localSheetId="15">#REF!</definedName>
    <definedName name="Equip">#REF!</definedName>
    <definedName name="Equipamentos">#REF!</definedName>
    <definedName name="ereerer" localSheetId="18" hidden="1">{#N/A,#N/A,FALSE,"MO (2)"}</definedName>
    <definedName name="ereerer" hidden="1">{#N/A,#N/A,FALSE,"MO (2)"}</definedName>
    <definedName name="erffref" localSheetId="18" hidden="1">{#N/A,#N/A,TRUE,"Plan1"}</definedName>
    <definedName name="erffref" hidden="1">{#N/A,#N/A,TRUE,"Plan1"}</definedName>
    <definedName name="ERT" localSheetId="15">#REF!</definedName>
    <definedName name="ERT">#REF!</definedName>
    <definedName name="ES" localSheetId="15">#REF!</definedName>
    <definedName name="ES">#REF!</definedName>
    <definedName name="ESC" localSheetId="15">#REF!</definedName>
    <definedName name="ESC">#REF!</definedName>
    <definedName name="ESC_EMISS3_S" localSheetId="15">#REF!</definedName>
    <definedName name="ESC_EMISS3_S">#REF!</definedName>
    <definedName name="Escavação" localSheetId="15">#REF!</definedName>
    <definedName name="Escavação">#REF!</definedName>
    <definedName name="escavmec" localSheetId="15">#REF!</definedName>
    <definedName name="escavmec">#REF!</definedName>
    <definedName name="ESCORAMENTO" localSheetId="15">#REF!</definedName>
    <definedName name="ESCORAMENTO">#REF!</definedName>
    <definedName name="ESGOT_EMISS3_S" localSheetId="15">#REF!</definedName>
    <definedName name="ESGOT_EMISS3_S">#REF!</definedName>
    <definedName name="ESGOTAMENTO" localSheetId="15">#REF!</definedName>
    <definedName name="ESGOTAMENTO">#REF!</definedName>
    <definedName name="Esquadrias" localSheetId="15">#REF!</definedName>
    <definedName name="Esquadrias">#REF!</definedName>
    <definedName name="EST" localSheetId="15">#REF!</definedName>
    <definedName name="EST">#REF!</definedName>
    <definedName name="Estabilidade" localSheetId="15">#REF!</definedName>
    <definedName name="Estabilidade">#REF!</definedName>
    <definedName name="EstacaFinal" localSheetId="15">#REF!</definedName>
    <definedName name="EstacaFinal">#REF!</definedName>
    <definedName name="EstacaInicial" localSheetId="15">#REF!</definedName>
    <definedName name="EstacaInicial">#REF!</definedName>
    <definedName name="et">#REF!</definedName>
    <definedName name="EU" localSheetId="1" hidden="1">{#N/A,#N/A,FALSE,"MO (2)"}</definedName>
    <definedName name="EU" localSheetId="4" hidden="1">{#N/A,#N/A,FALSE,"MO (2)"}</definedName>
    <definedName name="EU" localSheetId="24" hidden="1">{#N/A,#N/A,FALSE,"MO (2)"}</definedName>
    <definedName name="EU" localSheetId="25" hidden="1">{#N/A,#N/A,FALSE,"MO (2)"}</definedName>
    <definedName name="EU" localSheetId="27" hidden="1">{#N/A,#N/A,FALSE,"MO (2)"}</definedName>
    <definedName name="EU" localSheetId="20" hidden="1">{#N/A,#N/A,FALSE,"MO (2)"}</definedName>
    <definedName name="EU" localSheetId="15" hidden="1">{#N/A,#N/A,FALSE,"MO (2)"}</definedName>
    <definedName name="EU" localSheetId="12" hidden="1">{#N/A,#N/A,FALSE,"MO (2)"}</definedName>
    <definedName name="EU" localSheetId="18" hidden="1">{#N/A,#N/A,FALSE,"MO (2)"}</definedName>
    <definedName name="EU" localSheetId="23" hidden="1">{#N/A,#N/A,FALSE,"MO (2)"}</definedName>
    <definedName name="EU" localSheetId="16" hidden="1">{#N/A,#N/A,FALSE,"MO (2)"}</definedName>
    <definedName name="EU" hidden="1">{#N/A,#N/A,FALSE,"MO (2)"}</definedName>
    <definedName name="EU_1" localSheetId="1" hidden="1">{#N/A,#N/A,FALSE,"MO (2)"}</definedName>
    <definedName name="EU_1" localSheetId="4" hidden="1">{#N/A,#N/A,FALSE,"MO (2)"}</definedName>
    <definedName name="EU_1" localSheetId="24" hidden="1">{#N/A,#N/A,FALSE,"MO (2)"}</definedName>
    <definedName name="EU_1" localSheetId="25" hidden="1">{#N/A,#N/A,FALSE,"MO (2)"}</definedName>
    <definedName name="EU_1" localSheetId="27" hidden="1">{#N/A,#N/A,FALSE,"MO (2)"}</definedName>
    <definedName name="EU_1" localSheetId="20" hidden="1">{#N/A,#N/A,FALSE,"MO (2)"}</definedName>
    <definedName name="EU_1" localSheetId="15" hidden="1">{#N/A,#N/A,FALSE,"MO (2)"}</definedName>
    <definedName name="EU_1" localSheetId="12" hidden="1">{#N/A,#N/A,FALSE,"MO (2)"}</definedName>
    <definedName name="EU_1" localSheetId="18" hidden="1">{#N/A,#N/A,FALSE,"MO (2)"}</definedName>
    <definedName name="EU_1" localSheetId="23" hidden="1">{#N/A,#N/A,FALSE,"MO (2)"}</definedName>
    <definedName name="EU_1" localSheetId="16" hidden="1">{#N/A,#N/A,FALSE,"MO (2)"}</definedName>
    <definedName name="EU_1" hidden="1">{#N/A,#N/A,FALSE,"MO (2)"}</definedName>
    <definedName name="ex">#REF!</definedName>
    <definedName name="EXA" localSheetId="15">#REF!</definedName>
    <definedName name="EXA">#REF!</definedName>
    <definedName name="EXA_10" localSheetId="15">#REF!</definedName>
    <definedName name="EXA_10">#REF!</definedName>
    <definedName name="EXA_25" localSheetId="15">#REF!</definedName>
    <definedName name="EXA_25">#REF!</definedName>
    <definedName name="EXA_27" localSheetId="15">#REF!</definedName>
    <definedName name="EXA_27">#REF!</definedName>
    <definedName name="EXA_29" localSheetId="15">#REF!</definedName>
    <definedName name="EXA_29">#REF!</definedName>
    <definedName name="EXA_9" localSheetId="15">#REF!</definedName>
    <definedName name="EXA_9">#REF!</definedName>
    <definedName name="Excel_BuiltIn__FilterDatabase_1" localSheetId="15">#REF!</definedName>
    <definedName name="Excel_BuiltIn__FilterDatabase_1">#REF!</definedName>
    <definedName name="Excel_BuiltIn__FilterDatabase_10" localSheetId="15">#REF!</definedName>
    <definedName name="Excel_BuiltIn__FilterDatabase_10">#REF!</definedName>
    <definedName name="Excel_BuiltIn__FilterDatabase_11" localSheetId="15">#REF!</definedName>
    <definedName name="Excel_BuiltIn__FilterDatabase_11">#REF!</definedName>
    <definedName name="Excel_BuiltIn__FilterDatabase_12" localSheetId="15">#REF!</definedName>
    <definedName name="Excel_BuiltIn__FilterDatabase_12">#REF!</definedName>
    <definedName name="Excel_BuiltIn__FilterDatabase_13" localSheetId="15">#REF!</definedName>
    <definedName name="Excel_BuiltIn__FilterDatabase_13">#REF!</definedName>
    <definedName name="Excel_BuiltIn__FilterDatabase_14" localSheetId="15">#REF!</definedName>
    <definedName name="Excel_BuiltIn__FilterDatabase_14">#REF!</definedName>
    <definedName name="Excel_BuiltIn__FilterDatabase_15" localSheetId="15">#REF!</definedName>
    <definedName name="Excel_BuiltIn__FilterDatabase_15">#REF!</definedName>
    <definedName name="Excel_BuiltIn__FilterDatabase_16" localSheetId="15">#REF!</definedName>
    <definedName name="Excel_BuiltIn__FilterDatabase_16">#REF!</definedName>
    <definedName name="Excel_BuiltIn__FilterDatabase_17" localSheetId="15">#REF!</definedName>
    <definedName name="Excel_BuiltIn__FilterDatabase_17">#REF!</definedName>
    <definedName name="Excel_BuiltIn__FilterDatabase_18" localSheetId="15">#REF!</definedName>
    <definedName name="Excel_BuiltIn__FilterDatabase_18">#REF!</definedName>
    <definedName name="Excel_BuiltIn__FilterDatabase_19" localSheetId="15">#REF!</definedName>
    <definedName name="Excel_BuiltIn__FilterDatabase_19">#REF!</definedName>
    <definedName name="Excel_BuiltIn__FilterDatabase_2" localSheetId="15">#REF!</definedName>
    <definedName name="Excel_BuiltIn__FilterDatabase_2">#REF!</definedName>
    <definedName name="Excel_BuiltIn__FilterDatabase_25" localSheetId="15">#REF!</definedName>
    <definedName name="Excel_BuiltIn__FilterDatabase_25">#REF!</definedName>
    <definedName name="Excel_BuiltIn__FilterDatabase_3" localSheetId="15">#REF!</definedName>
    <definedName name="Excel_BuiltIn__FilterDatabase_3">#REF!</definedName>
    <definedName name="Excel_BuiltIn__FilterDatabase_4" localSheetId="15">#REF!</definedName>
    <definedName name="Excel_BuiltIn__FilterDatabase_4">#REF!</definedName>
    <definedName name="Excel_BuiltIn__FilterDatabase_5" localSheetId="15">#REF!</definedName>
    <definedName name="Excel_BuiltIn__FilterDatabase_5">#REF!</definedName>
    <definedName name="Excel_BuiltIn__FilterDatabase_6" localSheetId="15">#REF!</definedName>
    <definedName name="Excel_BuiltIn__FilterDatabase_6">#REF!</definedName>
    <definedName name="Excel_BuiltIn__FilterDatabase_7" localSheetId="15">#REF!</definedName>
    <definedName name="Excel_BuiltIn__FilterDatabase_7">#REF!</definedName>
    <definedName name="Excel_BuiltIn__FilterDatabase_8" localSheetId="15">#REF!</definedName>
    <definedName name="Excel_BuiltIn__FilterDatabase_8">#REF!</definedName>
    <definedName name="Excel_BuiltIn__FilterDatabase_9" localSheetId="15">#REF!</definedName>
    <definedName name="Excel_BuiltIn__FilterDatabase_9">#REF!</definedName>
    <definedName name="Excel_BuiltIn_Criteria" localSheetId="15">#REF!</definedName>
    <definedName name="Excel_BuiltIn_Criteria">#REF!</definedName>
    <definedName name="Excel_BuiltIn_Database" localSheetId="15">#REF!</definedName>
    <definedName name="Excel_BuiltIn_Database">#REF!</definedName>
    <definedName name="Excel_BuiltIn_Database_0" localSheetId="15">#REF!</definedName>
    <definedName name="Excel_BuiltIn_Database_0">#REF!</definedName>
    <definedName name="Excel_BuiltIn_Database_25" localSheetId="15">#REF!</definedName>
    <definedName name="Excel_BuiltIn_Database_25">#REF!</definedName>
    <definedName name="Excel_BuiltIn_Print_Area_1" localSheetId="15">#REF!</definedName>
    <definedName name="Excel_BuiltIn_Print_Area_1">#REF!</definedName>
    <definedName name="Excel_BuiltIn_Print_Area_1_1" localSheetId="15">#REF!</definedName>
    <definedName name="Excel_BuiltIn_Print_Area_1_1">#REF!</definedName>
    <definedName name="Excel_BuiltIn_Print_Area_10" localSheetId="15">#REF!</definedName>
    <definedName name="Excel_BuiltIn_Print_Area_10">#REF!</definedName>
    <definedName name="Excel_BuiltIn_Print_Area_11" localSheetId="15">#REF!</definedName>
    <definedName name="Excel_BuiltIn_Print_Area_11">#REF!</definedName>
    <definedName name="Excel_BuiltIn_Print_Area_12" localSheetId="15">#REF!</definedName>
    <definedName name="Excel_BuiltIn_Print_Area_12">#REF!</definedName>
    <definedName name="Excel_BuiltIn_Print_Area_13" localSheetId="15">#REF!</definedName>
    <definedName name="Excel_BuiltIn_Print_Area_13">#REF!</definedName>
    <definedName name="Excel_BuiltIn_Print_Area_14" localSheetId="15">#REF!</definedName>
    <definedName name="Excel_BuiltIn_Print_Area_14">#REF!</definedName>
    <definedName name="Excel_BuiltIn_Print_Area_15" localSheetId="15">#REF!</definedName>
    <definedName name="Excel_BuiltIn_Print_Area_15">#REF!</definedName>
    <definedName name="Excel_BuiltIn_Print_Area_16" localSheetId="15">#REF!</definedName>
    <definedName name="Excel_BuiltIn_Print_Area_16">#REF!</definedName>
    <definedName name="Excel_BuiltIn_Print_Area_17" localSheetId="15">#REF!</definedName>
    <definedName name="Excel_BuiltIn_Print_Area_17">#REF!</definedName>
    <definedName name="Excel_BuiltIn_Print_Area_2" localSheetId="15">#REF!</definedName>
    <definedName name="Excel_BuiltIn_Print_Area_2">#REF!</definedName>
    <definedName name="Excel_BuiltIn_Print_Area_2_1">"$Quad_Quant_.$#REF!$#REF!:$#REF!$#REF!"</definedName>
    <definedName name="Excel_BuiltIn_Print_Area_26_1" localSheetId="15">#REF!</definedName>
    <definedName name="Excel_BuiltIn_Print_Area_26_1">#REF!</definedName>
    <definedName name="Excel_BuiltIn_Print_Area_3">"$#REF!.$A$5:$P$91"</definedName>
    <definedName name="Excel_BuiltIn_Print_Area_3_1" localSheetId="15">#REF!</definedName>
    <definedName name="Excel_BuiltIn_Print_Area_3_1">#REF!</definedName>
    <definedName name="Excel_BuiltIn_Print_Area_3_1_4">#REF!</definedName>
    <definedName name="Excel_BuiltIn_Print_Area_4">"$#REF!.$A$4:$O$17"</definedName>
    <definedName name="Excel_BuiltIn_Print_Area_4_1" localSheetId="15">#REF!</definedName>
    <definedName name="Excel_BuiltIn_Print_Area_4_1">#REF!</definedName>
    <definedName name="Excel_BuiltIn_Print_Area_4_1_1" localSheetId="15">#REF!</definedName>
    <definedName name="Excel_BuiltIn_Print_Area_4_1_1">#REF!</definedName>
    <definedName name="Excel_BuiltIn_Print_Area_5" localSheetId="15">#REF!</definedName>
    <definedName name="Excel_BuiltIn_Print_Area_5">#REF!</definedName>
    <definedName name="Excel_BuiltIn_Print_Area_6" localSheetId="15">#REF!</definedName>
    <definedName name="Excel_BuiltIn_Print_Area_6">#REF!</definedName>
    <definedName name="Excel_BuiltIn_Print_Area_6_1" localSheetId="15">#REF!</definedName>
    <definedName name="Excel_BuiltIn_Print_Area_6_1">#REF!</definedName>
    <definedName name="Excel_BuiltIn_Print_Area_6_1_1" localSheetId="15">#REF!</definedName>
    <definedName name="Excel_BuiltIn_Print_Area_6_1_1">#REF!</definedName>
    <definedName name="Excel_BuiltIn_Print_Area_6_1_1_1" localSheetId="15">#REF!</definedName>
    <definedName name="Excel_BuiltIn_Print_Area_6_1_1_1">#REF!</definedName>
    <definedName name="Excel_BuiltIn_Print_Area_7" localSheetId="15">#REF!</definedName>
    <definedName name="Excel_BuiltIn_Print_Area_7">#REF!</definedName>
    <definedName name="Excel_BuiltIn_Print_Area_7_1" localSheetId="15">#REF!</definedName>
    <definedName name="Excel_BuiltIn_Print_Area_7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14" localSheetId="15">#REF!</definedName>
    <definedName name="Excel_BuiltIn_Print_Area_7_14">#REF!</definedName>
    <definedName name="Excel_BuiltIn_Print_Area_7_15" localSheetId="15">#REF!</definedName>
    <definedName name="Excel_BuiltIn_Print_Area_7_15">#REF!</definedName>
    <definedName name="Excel_BuiltIn_Print_Area_7_19" localSheetId="15">#REF!</definedName>
    <definedName name="Excel_BuiltIn_Print_Area_7_19">#REF!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5" localSheetId="15">#REF!</definedName>
    <definedName name="Excel_BuiltIn_Print_Area_7_25">#REF!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27" localSheetId="15">#REF!</definedName>
    <definedName name="Excel_BuiltIn_Print_Area_7_27">#REF!</definedName>
    <definedName name="Excel_BuiltIn_Print_Area_7_28" localSheetId="15">#REF!</definedName>
    <definedName name="Excel_BuiltIn_Print_Area_7_28">#REF!</definedName>
    <definedName name="Excel_BuiltIn_Print_Area_7_29" localSheetId="15">#REF!</definedName>
    <definedName name="Excel_BuiltIn_Print_Area_7_29">#REF!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1" localSheetId="15">#REF!</definedName>
    <definedName name="Excel_BuiltIn_Print_Area_7_31">#REF!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 localSheetId="15">#REF!</definedName>
    <definedName name="Excel_BuiltIn_Print_Area_7_5">#REF!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15">#REF!</definedName>
    <definedName name="Excel_BuiltIn_Print_Area_8">#REF!</definedName>
    <definedName name="Excel_BuiltIn_Print_Area_8_1" localSheetId="15">#REF!</definedName>
    <definedName name="Excel_BuiltIn_Print_Area_8_1">#REF!</definedName>
    <definedName name="Excel_BuiltIn_Print_Area_8_1_10" localSheetId="15">#REF!</definedName>
    <definedName name="Excel_BuiltIn_Print_Area_8_1_10">#REF!</definedName>
    <definedName name="Excel_BuiltIn_Print_Area_9" localSheetId="15">#REF!</definedName>
    <definedName name="Excel_BuiltIn_Print_Area_9">#REF!</definedName>
    <definedName name="Excel_BuiltIn_Print_Titles_1" localSheetId="15">#REF!</definedName>
    <definedName name="Excel_BuiltIn_Print_Titles_1">#REF!</definedName>
    <definedName name="Excel_BuiltIn_Print_Titles_1_1" localSheetId="15">#REF!</definedName>
    <definedName name="Excel_BuiltIn_Print_Titles_1_1">#REF!</definedName>
    <definedName name="Excel_BuiltIn_Print_Titles_10" localSheetId="15">#REF!</definedName>
    <definedName name="Excel_BuiltIn_Print_Titles_10">#REF!</definedName>
    <definedName name="Excel_BuiltIn_Print_Titles_11" localSheetId="15">#REF!</definedName>
    <definedName name="Excel_BuiltIn_Print_Titles_11">#REF!</definedName>
    <definedName name="Excel_BuiltIn_Print_Titles_12" localSheetId="15">#REF!</definedName>
    <definedName name="Excel_BuiltIn_Print_Titles_12">#REF!</definedName>
    <definedName name="Excel_BuiltIn_Print_Titles_12_1" localSheetId="15">#REF!</definedName>
    <definedName name="Excel_BuiltIn_Print_Titles_12_1">#REF!</definedName>
    <definedName name="Excel_BuiltIn_Print_Titles_13" localSheetId="15">#REF!</definedName>
    <definedName name="Excel_BuiltIn_Print_Titles_13">#REF!</definedName>
    <definedName name="Excel_BuiltIn_Print_Titles_13_1" localSheetId="15">#REF!</definedName>
    <definedName name="Excel_BuiltIn_Print_Titles_13_1">#REF!</definedName>
    <definedName name="Excel_BuiltIn_Print_Titles_14" localSheetId="15">#REF!</definedName>
    <definedName name="Excel_BuiltIn_Print_Titles_14">#REF!</definedName>
    <definedName name="Excel_BuiltIn_Print_Titles_15" localSheetId="15">#REF!</definedName>
    <definedName name="Excel_BuiltIn_Print_Titles_15">#REF!</definedName>
    <definedName name="Excel_BuiltIn_Print_Titles_16" localSheetId="15">#REF!</definedName>
    <definedName name="Excel_BuiltIn_Print_Titles_16">#REF!</definedName>
    <definedName name="Excel_BuiltIn_Print_Titles_17" localSheetId="15">#REF!</definedName>
    <definedName name="Excel_BuiltIn_Print_Titles_17">#REF!</definedName>
    <definedName name="Excel_BuiltIn_Print_Titles_2" localSheetId="15">#REF!</definedName>
    <definedName name="Excel_BuiltIn_Print_Titles_2">#REF!</definedName>
    <definedName name="Excel_BuiltIn_Print_Titles_22" localSheetId="15">(#REF!,#REF!)</definedName>
    <definedName name="Excel_BuiltIn_Print_Titles_22">(#REF!,#REF!)</definedName>
    <definedName name="Excel_BuiltIn_Print_Titles_3">"$#REF!.$A$5:$IV$10"</definedName>
    <definedName name="Excel_BuiltIn_Print_Titles_3_1" localSheetId="15">#REF!</definedName>
    <definedName name="Excel_BuiltIn_Print_Titles_3_1">#REF!</definedName>
    <definedName name="Excel_BuiltIn_Print_Titles_30" localSheetId="15">(#REF!,#REF!)</definedName>
    <definedName name="Excel_BuiltIn_Print_Titles_30">(#REF!,#REF!)</definedName>
    <definedName name="Excel_BuiltIn_Print_Titles_31" localSheetId="15">(#REF!,#REF!)</definedName>
    <definedName name="Excel_BuiltIn_Print_Titles_31">(#REF!,#REF!)</definedName>
    <definedName name="Excel_BuiltIn_Print_Titles_32" localSheetId="15">(#REF!,#REF!)</definedName>
    <definedName name="Excel_BuiltIn_Print_Titles_32">(#REF!,#REF!)</definedName>
    <definedName name="Excel_BuiltIn_Print_Titles_33" localSheetId="15">(#REF!,#REF!)</definedName>
    <definedName name="Excel_BuiltIn_Print_Titles_33">(#REF!,#REF!)</definedName>
    <definedName name="Excel_BuiltIn_Print_Titles_34" localSheetId="15">(#REF!,#REF!)</definedName>
    <definedName name="Excel_BuiltIn_Print_Titles_34">(#REF!,#REF!)</definedName>
    <definedName name="Excel_BuiltIn_Print_Titles_35" localSheetId="15">(#REF!,#REF!)</definedName>
    <definedName name="Excel_BuiltIn_Print_Titles_35">(#REF!,#REF!)</definedName>
    <definedName name="Excel_BuiltIn_Print_Titles_36" localSheetId="15">(#REF!,#REF!)</definedName>
    <definedName name="Excel_BuiltIn_Print_Titles_36">(#REF!,#REF!)</definedName>
    <definedName name="Excel_BuiltIn_Print_Titles_37" localSheetId="15">(#REF!,#REF!)</definedName>
    <definedName name="Excel_BuiltIn_Print_Titles_37">(#REF!,#REF!)</definedName>
    <definedName name="Excel_BuiltIn_Print_Titles_4">"$#REF!.$A$4:$IU$13"</definedName>
    <definedName name="Excel_BuiltIn_Print_Titles_5" localSheetId="15">#REF!</definedName>
    <definedName name="Excel_BuiltIn_Print_Titles_5">#REF!</definedName>
    <definedName name="Excel_BuiltIn_Print_Titles_5_1">(#REF!,#REF!)</definedName>
    <definedName name="Excel_BuiltIn_Print_Titles_6" localSheetId="15">#REF!</definedName>
    <definedName name="Excel_BuiltIn_Print_Titles_6">#REF!</definedName>
    <definedName name="Excel_BuiltIn_Print_Titles_6_1" localSheetId="15">#REF!</definedName>
    <definedName name="Excel_BuiltIn_Print_Titles_6_1">#REF!</definedName>
    <definedName name="Excel_BuiltIn_Print_Titles_6_1_1" localSheetId="15">#REF!</definedName>
    <definedName name="Excel_BuiltIn_Print_Titles_6_1_1">#REF!</definedName>
    <definedName name="Excel_BuiltIn_Print_Titles_6_1_1_1_1" localSheetId="15">#REF!</definedName>
    <definedName name="Excel_BuiltIn_Print_Titles_6_1_1_1_1">#REF!</definedName>
    <definedName name="Excel_BuiltIn_Print_Titles_64" localSheetId="15">#REF!</definedName>
    <definedName name="Excel_BuiltIn_Print_Titles_64">#REF!</definedName>
    <definedName name="Excel_BuiltIn_Print_Titles_7" localSheetId="15">#REF!</definedName>
    <definedName name="Excel_BuiltIn_Print_Titles_7">#REF!</definedName>
    <definedName name="Excel_BuiltIn_Print_Titles_7_1" localSheetId="15">#REF!</definedName>
    <definedName name="Excel_BuiltIn_Print_Titles_7_1">#REF!</definedName>
    <definedName name="Excel_BuiltIn_Print_Titles_8" localSheetId="15">#REF!</definedName>
    <definedName name="Excel_BuiltIn_Print_Titles_8">#REF!</definedName>
    <definedName name="Excel_BuiltIn_Print_Titles_8_1" localSheetId="15">#REF!</definedName>
    <definedName name="Excel_BuiltIn_Print_Titles_8_1">#REF!</definedName>
    <definedName name="Excel_BuiltIn_Print_Titles_9" localSheetId="15">#REF!</definedName>
    <definedName name="Excel_BuiltIn_Print_Titles_9">#REF!</definedName>
    <definedName name="EXER" localSheetId="15">#REF!</definedName>
    <definedName name="EXER">#REF!</definedName>
    <definedName name="EXPU" localSheetId="15">#REF!</definedName>
    <definedName name="EXPU">#REF!</definedName>
    <definedName name="EXT" localSheetId="15">#REF!</definedName>
    <definedName name="EXT">#REF!</definedName>
    <definedName name="EXT.TOTAL" localSheetId="15">#REF!</definedName>
    <definedName name="EXT.TOTAL">#REF!</definedName>
    <definedName name="EXT_10">#REF!</definedName>
    <definedName name="EXT_10_13">#REF!</definedName>
    <definedName name="EXT_10_39">#REF!</definedName>
    <definedName name="EXT_10_6">#REF!</definedName>
    <definedName name="EXT_11">#REF!</definedName>
    <definedName name="EXT_11_13">#REF!</definedName>
    <definedName name="EXT_11_39">#REF!</definedName>
    <definedName name="EXT_11_6">#REF!</definedName>
    <definedName name="EXT_12">#REF!</definedName>
    <definedName name="EXT_12_13">#REF!</definedName>
    <definedName name="EXT_12_39">#REF!</definedName>
    <definedName name="EXT_12_6">#REF!</definedName>
    <definedName name="EXT_13">#REF!</definedName>
    <definedName name="EXT_13_13">#REF!</definedName>
    <definedName name="EXT_13_39">#REF!</definedName>
    <definedName name="EXT_13_6">#REF!</definedName>
    <definedName name="EXT_14">#REF!</definedName>
    <definedName name="EXT_14_13">#REF!</definedName>
    <definedName name="EXT_14_39">#REF!</definedName>
    <definedName name="EXT_14_6">#REF!</definedName>
    <definedName name="EXT_15">#REF!</definedName>
    <definedName name="EXT_15_13">#REF!</definedName>
    <definedName name="EXT_15_39">#REF!</definedName>
    <definedName name="EXT_15_6">#REF!</definedName>
    <definedName name="EXT_16">#REF!</definedName>
    <definedName name="EXT_16_13">#REF!</definedName>
    <definedName name="EXT_16_39">#REF!</definedName>
    <definedName name="EXT_16_6">#REF!</definedName>
    <definedName name="EXT_17">#REF!</definedName>
    <definedName name="EXT_17_13">#REF!</definedName>
    <definedName name="EXT_17_39">#REF!</definedName>
    <definedName name="EXT_17_6">#REF!</definedName>
    <definedName name="EXT_18">#REF!</definedName>
    <definedName name="EXT_18_13">#REF!</definedName>
    <definedName name="EXT_18_39">#REF!</definedName>
    <definedName name="EXT_18_6">#REF!</definedName>
    <definedName name="EXT_19">#REF!</definedName>
    <definedName name="EXT_19_13">#REF!</definedName>
    <definedName name="EXT_19_39">#REF!</definedName>
    <definedName name="EXT_19_6">#REF!</definedName>
    <definedName name="EXT_2">#REF!</definedName>
    <definedName name="EXT_2_13">#REF!</definedName>
    <definedName name="EXT_2_39">#REF!</definedName>
    <definedName name="EXT_2_6">#REF!</definedName>
    <definedName name="EXT_20">#REF!</definedName>
    <definedName name="EXT_20_13">#REF!</definedName>
    <definedName name="EXT_20_39">#REF!</definedName>
    <definedName name="EXT_20_6">#REF!</definedName>
    <definedName name="EXT_21">#REF!</definedName>
    <definedName name="EXT_21_13">#REF!</definedName>
    <definedName name="EXT_21_39">#REF!</definedName>
    <definedName name="EXT_21_6">#REF!</definedName>
    <definedName name="EXT_22">#REF!</definedName>
    <definedName name="EXT_22_13">#REF!</definedName>
    <definedName name="EXT_22_39">#REF!</definedName>
    <definedName name="EXT_22_6">#REF!</definedName>
    <definedName name="EXT_23">#REF!</definedName>
    <definedName name="EXT_23_13">#REF!</definedName>
    <definedName name="EXT_23_39">#REF!</definedName>
    <definedName name="EXT_23_6">#REF!</definedName>
    <definedName name="EXT_24">#REF!</definedName>
    <definedName name="EXT_24_13">#REF!</definedName>
    <definedName name="EXT_24_39">#REF!</definedName>
    <definedName name="EXT_24_6">#REF!</definedName>
    <definedName name="EXT_25">#REF!</definedName>
    <definedName name="EXT_25_13">#REF!</definedName>
    <definedName name="EXT_25_39">#REF!</definedName>
    <definedName name="EXT_25_6">#REF!</definedName>
    <definedName name="EXT_26">#REF!</definedName>
    <definedName name="EXT_26_13">#REF!</definedName>
    <definedName name="EXT_26_39">#REF!</definedName>
    <definedName name="EXT_26_6">#REF!</definedName>
    <definedName name="EXT_27">#REF!</definedName>
    <definedName name="EXT_27_13">#REF!</definedName>
    <definedName name="EXT_27_39">#REF!</definedName>
    <definedName name="EXT_27_6">#REF!</definedName>
    <definedName name="EXT_28">#REF!</definedName>
    <definedName name="EXT_28_13">#REF!</definedName>
    <definedName name="EXT_28_39">#REF!</definedName>
    <definedName name="EXT_28_6">#REF!</definedName>
    <definedName name="EXT_29">#REF!</definedName>
    <definedName name="EXT_29_13">#REF!</definedName>
    <definedName name="EXT_29_39">#REF!</definedName>
    <definedName name="EXT_29_6">#REF!</definedName>
    <definedName name="EXT_30">#REF!</definedName>
    <definedName name="EXT_30_13">#REF!</definedName>
    <definedName name="EXT_30_39">#REF!</definedName>
    <definedName name="EXT_30_6">#REF!</definedName>
    <definedName name="EXT_31">#REF!</definedName>
    <definedName name="EXT_32">#REF!</definedName>
    <definedName name="EXT_32_13">#REF!</definedName>
    <definedName name="EXT_32_39">#REF!</definedName>
    <definedName name="EXT_32_6">#REF!</definedName>
    <definedName name="EXT_33">#REF!</definedName>
    <definedName name="EXT_33_13">#REF!</definedName>
    <definedName name="EXT_33_39">#REF!</definedName>
    <definedName name="EXT_33_6">#REF!</definedName>
    <definedName name="EXT_34">#REF!</definedName>
    <definedName name="EXT_34_13">#REF!</definedName>
    <definedName name="EXT_34_39">#REF!</definedName>
    <definedName name="EXT_34_6">#REF!</definedName>
    <definedName name="EXT_40">#REF!</definedName>
    <definedName name="EXT_40_13">#REF!</definedName>
    <definedName name="EXT_40_39">#REF!</definedName>
    <definedName name="EXT_40_6">#REF!</definedName>
    <definedName name="EXT_41">#REF!</definedName>
    <definedName name="EXT_41_13">#REF!</definedName>
    <definedName name="EXT_41_39">#REF!</definedName>
    <definedName name="EXT_41_6">#REF!</definedName>
    <definedName name="EXT_43">#REF!</definedName>
    <definedName name="EXT_43_13">#REF!</definedName>
    <definedName name="EXT_43_39">#REF!</definedName>
    <definedName name="EXT_43_6">#REF!</definedName>
    <definedName name="EXT_44">#REF!</definedName>
    <definedName name="EXT_44_13">#REF!</definedName>
    <definedName name="EXT_44_39">#REF!</definedName>
    <definedName name="EXT_44_6">#REF!</definedName>
    <definedName name="EXT_45">#REF!</definedName>
    <definedName name="EXT_45_13">#REF!</definedName>
    <definedName name="EXT_45_39">#REF!</definedName>
    <definedName name="EXT_45_6">#REF!</definedName>
    <definedName name="EXT_46">#REF!</definedName>
    <definedName name="EXT_46_13">#REF!</definedName>
    <definedName name="EXT_46_39">#REF!</definedName>
    <definedName name="EXT_46_6">#REF!</definedName>
    <definedName name="EXT_47">#REF!</definedName>
    <definedName name="EXT_47_13">#REF!</definedName>
    <definedName name="EXT_47_39">#REF!</definedName>
    <definedName name="EXT_47_6">#REF!</definedName>
    <definedName name="EXT_48">#REF!</definedName>
    <definedName name="EXT_48_13">#REF!</definedName>
    <definedName name="EXT_48_39">#REF!</definedName>
    <definedName name="EXT_48_6">#REF!</definedName>
    <definedName name="EXT_49">#REF!</definedName>
    <definedName name="EXT_49_13">#REF!</definedName>
    <definedName name="EXT_49_39">#REF!</definedName>
    <definedName name="EXT_49_6">#REF!</definedName>
    <definedName name="EXT_50">#REF!</definedName>
    <definedName name="EXT_50_13">#REF!</definedName>
    <definedName name="EXT_50_39">#REF!</definedName>
    <definedName name="EXT_50_6">#REF!</definedName>
    <definedName name="EXT_51">#REF!</definedName>
    <definedName name="EXT_51_13">#REF!</definedName>
    <definedName name="EXT_51_39">#REF!</definedName>
    <definedName name="EXT_51_6">#REF!</definedName>
    <definedName name="EXT_52">#REF!</definedName>
    <definedName name="EXT_52_13">#REF!</definedName>
    <definedName name="EXT_52_39">#REF!</definedName>
    <definedName name="EXT_52_6">#REF!</definedName>
    <definedName name="EXT_6">#REF!</definedName>
    <definedName name="EXT_6_13">#REF!</definedName>
    <definedName name="EXT_6_39">#REF!</definedName>
    <definedName name="EXT_6_6">#REF!</definedName>
    <definedName name="EXT_7">#REF!</definedName>
    <definedName name="EXT_7_13">#REF!</definedName>
    <definedName name="EXT_7_39">#REF!</definedName>
    <definedName name="EXT_7_6">#REF!</definedName>
    <definedName name="EXT_8">#REF!</definedName>
    <definedName name="EXT_8_13">#REF!</definedName>
    <definedName name="EXT_8_39">#REF!</definedName>
    <definedName name="EXT_8_6">#REF!</definedName>
    <definedName name="EXT_9">#REF!</definedName>
    <definedName name="EXT_9_13">#REF!</definedName>
    <definedName name="EXT_9_39">#REF!</definedName>
    <definedName name="EXT_9_6">#REF!</definedName>
    <definedName name="EXT_SEG">#REF!</definedName>
    <definedName name="EXTA" localSheetId="15">#REF!</definedName>
    <definedName name="EXTA">#REF!</definedName>
    <definedName name="exte">#REF!</definedName>
    <definedName name="extensao" localSheetId="15">#REF!</definedName>
    <definedName name="extensao">#REF!</definedName>
    <definedName name="EXTENSÃO">#REF!</definedName>
    <definedName name="EXTENSÃO1" localSheetId="15">#REF!</definedName>
    <definedName name="EXTENSÃO1">#REF!</definedName>
    <definedName name="Extenso">#N/A</definedName>
    <definedName name="Extenso_1">#N/A</definedName>
    <definedName name="Extenso_10">#N/A</definedName>
    <definedName name="Extenso_12">#N/A</definedName>
    <definedName name="Extenso_13">#N/A</definedName>
    <definedName name="Extenso_14">#N/A</definedName>
    <definedName name="Extenso_19">#N/A</definedName>
    <definedName name="Extenso_2">#N/A</definedName>
    <definedName name="Extenso_20" localSheetId="18">#REF!</definedName>
    <definedName name="Extenso_20">#REF!</definedName>
    <definedName name="Extenso_21">#N/A</definedName>
    <definedName name="Extenso_22">#N/A</definedName>
    <definedName name="Extenso_23">#N/A</definedName>
    <definedName name="Extenso_24">#N/A</definedName>
    <definedName name="Extenso_25">#N/A</definedName>
    <definedName name="Extenso_26">#N/A</definedName>
    <definedName name="Extenso_27">#N/A</definedName>
    <definedName name="Extenso_28">#N/A</definedName>
    <definedName name="Extenso_29">#N/A</definedName>
    <definedName name="Extenso_3">#N/A</definedName>
    <definedName name="Extenso_30">#N/A</definedName>
    <definedName name="Extenso_31">#N/A</definedName>
    <definedName name="Extenso_32">#N/A</definedName>
    <definedName name="Extenso_33">#N/A</definedName>
    <definedName name="Extenso_34">#N/A</definedName>
    <definedName name="Extenso_35">#N/A</definedName>
    <definedName name="Extenso_36">#N/A</definedName>
    <definedName name="Extenso_37">#N/A</definedName>
    <definedName name="Extenso_38">#N/A</definedName>
    <definedName name="Extenso_39">#N/A</definedName>
    <definedName name="Extenso_4">#N/A</definedName>
    <definedName name="Extenso_40">#N/A</definedName>
    <definedName name="Extenso_41">#N/A</definedName>
    <definedName name="Extenso_42">#N/A</definedName>
    <definedName name="Extenso_43">#N/A</definedName>
    <definedName name="Extenso_44">#N/A</definedName>
    <definedName name="Extenso_45">#N/A</definedName>
    <definedName name="Extenso_46">#N/A</definedName>
    <definedName name="Extenso_47">#N/A</definedName>
    <definedName name="Extenso_48">#N/A</definedName>
    <definedName name="Extenso_5">#N/A</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#N/A</definedName>
    <definedName name="Extenso_60">#N/A</definedName>
    <definedName name="Extenso_61">#N/A</definedName>
    <definedName name="Extenso_62">#N/A</definedName>
    <definedName name="Extenso_63">#N/A</definedName>
    <definedName name="Extenso_64">#N/A</definedName>
    <definedName name="Extenso_65">#N/A</definedName>
    <definedName name="Extenso_66">#N/A</definedName>
    <definedName name="Extenso_67">#N/A</definedName>
    <definedName name="Extenso_68">#N/A</definedName>
    <definedName name="Extenso_69">#N/A</definedName>
    <definedName name="Extenso_7">#N/A</definedName>
    <definedName name="Extenso_70">#N/A</definedName>
    <definedName name="Extenso_71">#N/A</definedName>
    <definedName name="Extenso_72">#N/A</definedName>
    <definedName name="Extenso_8">#N/A</definedName>
    <definedName name="Extenso_9">#N/A</definedName>
    <definedName name="ExtFaixa" localSheetId="15">#REF!</definedName>
    <definedName name="ExtFaixa">#REF!</definedName>
    <definedName name="ExtFaixa2" localSheetId="15">#REF!</definedName>
    <definedName name="ExtFaixa2">#REF!</definedName>
    <definedName name="F.801">#REF!</definedName>
    <definedName name="F.802">#REF!</definedName>
    <definedName name="F.803">#REF!</definedName>
    <definedName name="F.804">#REF!</definedName>
    <definedName name="F.805">#REF!</definedName>
    <definedName name="F.807">#REF!</definedName>
    <definedName name="F.808">#REF!</definedName>
    <definedName name="F.809">#REF!</definedName>
    <definedName name="F.810">#REF!</definedName>
    <definedName name="F.811">#REF!</definedName>
    <definedName name="F.812">#REF!</definedName>
    <definedName name="F.813">#REF!</definedName>
    <definedName name="F.814">#REF!</definedName>
    <definedName name="F.943">#REF!</definedName>
    <definedName name="F_01_120" localSheetId="15">#REF!</definedName>
    <definedName name="F_01_120">#REF!</definedName>
    <definedName name="F_01_150" localSheetId="15">#REF!</definedName>
    <definedName name="F_01_150">#REF!</definedName>
    <definedName name="F_01_180" localSheetId="15">#REF!</definedName>
    <definedName name="F_01_180">#REF!</definedName>
    <definedName name="F_01_210" localSheetId="15">#REF!</definedName>
    <definedName name="F_01_210">#REF!</definedName>
    <definedName name="F_01_240" localSheetId="15">#REF!</definedName>
    <definedName name="F_01_240">#REF!</definedName>
    <definedName name="F_01_270" localSheetId="15">#REF!</definedName>
    <definedName name="F_01_270">#REF!</definedName>
    <definedName name="F_01_30" localSheetId="15">#REF!</definedName>
    <definedName name="F_01_30">#REF!</definedName>
    <definedName name="F_01_300" localSheetId="15">#REF!</definedName>
    <definedName name="F_01_300">#REF!</definedName>
    <definedName name="F_01_330" localSheetId="15">#REF!</definedName>
    <definedName name="F_01_330">#REF!</definedName>
    <definedName name="F_01_360" localSheetId="15">#REF!</definedName>
    <definedName name="F_01_360">#REF!</definedName>
    <definedName name="F_01_390" localSheetId="15">#REF!</definedName>
    <definedName name="F_01_390">#REF!</definedName>
    <definedName name="F_01_420" localSheetId="15">#REF!</definedName>
    <definedName name="F_01_420">#REF!</definedName>
    <definedName name="F_01_450" localSheetId="15">#REF!</definedName>
    <definedName name="F_01_450">#REF!</definedName>
    <definedName name="F_01_480" localSheetId="15">#REF!</definedName>
    <definedName name="F_01_480">#REF!</definedName>
    <definedName name="F_01_510" localSheetId="15">#REF!</definedName>
    <definedName name="F_01_510">#REF!</definedName>
    <definedName name="F_01_540" localSheetId="15">#REF!</definedName>
    <definedName name="F_01_540">#REF!</definedName>
    <definedName name="F_01_570" localSheetId="15">#REF!</definedName>
    <definedName name="F_01_570">#REF!</definedName>
    <definedName name="F_01_60" localSheetId="15">#REF!</definedName>
    <definedName name="F_01_60">#REF!</definedName>
    <definedName name="F_01_600" localSheetId="15">#REF!</definedName>
    <definedName name="F_01_600">#REF!</definedName>
    <definedName name="F_01_630" localSheetId="15">#REF!</definedName>
    <definedName name="F_01_630">#REF!</definedName>
    <definedName name="F_01_660" localSheetId="15">#REF!</definedName>
    <definedName name="F_01_660">#REF!</definedName>
    <definedName name="F_01_690" localSheetId="15">#REF!</definedName>
    <definedName name="F_01_690">#REF!</definedName>
    <definedName name="F_01_720" localSheetId="15">#REF!</definedName>
    <definedName name="F_01_720">#REF!</definedName>
    <definedName name="F_01_90" localSheetId="15">#REF!</definedName>
    <definedName name="F_01_90">#REF!</definedName>
    <definedName name="F_02_120" localSheetId="15">#REF!</definedName>
    <definedName name="F_02_120">#REF!</definedName>
    <definedName name="F_02_150" localSheetId="15">#REF!</definedName>
    <definedName name="F_02_150">#REF!</definedName>
    <definedName name="F_02_180" localSheetId="15">#REF!</definedName>
    <definedName name="F_02_180">#REF!</definedName>
    <definedName name="F_02_210" localSheetId="15">#REF!</definedName>
    <definedName name="F_02_210">#REF!</definedName>
    <definedName name="F_02_240" localSheetId="15">#REF!</definedName>
    <definedName name="F_02_240">#REF!</definedName>
    <definedName name="F_02_270" localSheetId="15">#REF!</definedName>
    <definedName name="F_02_270">#REF!</definedName>
    <definedName name="F_02_30" localSheetId="15">#REF!</definedName>
    <definedName name="F_02_30">#REF!</definedName>
    <definedName name="F_02_300" localSheetId="15">#REF!</definedName>
    <definedName name="F_02_300">#REF!</definedName>
    <definedName name="F_02_330" localSheetId="15">#REF!</definedName>
    <definedName name="F_02_330">#REF!</definedName>
    <definedName name="F_02_360" localSheetId="15">#REF!</definedName>
    <definedName name="F_02_360">#REF!</definedName>
    <definedName name="F_02_390" localSheetId="15">#REF!</definedName>
    <definedName name="F_02_390">#REF!</definedName>
    <definedName name="F_02_420" localSheetId="15">#REF!</definedName>
    <definedName name="F_02_420">#REF!</definedName>
    <definedName name="F_02_450" localSheetId="15">#REF!</definedName>
    <definedName name="F_02_450">#REF!</definedName>
    <definedName name="F_02_480" localSheetId="15">#REF!</definedName>
    <definedName name="F_02_480">#REF!</definedName>
    <definedName name="F_02_510" localSheetId="15">#REF!</definedName>
    <definedName name="F_02_510">#REF!</definedName>
    <definedName name="F_02_540" localSheetId="15">#REF!</definedName>
    <definedName name="F_02_540">#REF!</definedName>
    <definedName name="F_02_570" localSheetId="15">#REF!</definedName>
    <definedName name="F_02_570">#REF!</definedName>
    <definedName name="F_02_60" localSheetId="15">#REF!</definedName>
    <definedName name="F_02_60">#REF!</definedName>
    <definedName name="F_02_600" localSheetId="15">#REF!</definedName>
    <definedName name="F_02_600">#REF!</definedName>
    <definedName name="F_02_630" localSheetId="15">#REF!</definedName>
    <definedName name="F_02_630">#REF!</definedName>
    <definedName name="F_02_660" localSheetId="15">#REF!</definedName>
    <definedName name="F_02_660">#REF!</definedName>
    <definedName name="F_02_690" localSheetId="15">#REF!</definedName>
    <definedName name="F_02_690">#REF!</definedName>
    <definedName name="F_02_720" localSheetId="15">#REF!</definedName>
    <definedName name="F_02_720">#REF!</definedName>
    <definedName name="F_02_90" localSheetId="15">#REF!</definedName>
    <definedName name="F_02_90">#REF!</definedName>
    <definedName name="F_03_120" localSheetId="15">#REF!</definedName>
    <definedName name="F_03_120">#REF!</definedName>
    <definedName name="F_03_150" localSheetId="15">#REF!</definedName>
    <definedName name="F_03_150">#REF!</definedName>
    <definedName name="F_03_180" localSheetId="15">#REF!</definedName>
    <definedName name="F_03_180">#REF!</definedName>
    <definedName name="F_03_210" localSheetId="15">#REF!</definedName>
    <definedName name="F_03_210">#REF!</definedName>
    <definedName name="F_03_240" localSheetId="15">#REF!</definedName>
    <definedName name="F_03_240">#REF!</definedName>
    <definedName name="F_03_270" localSheetId="15">#REF!</definedName>
    <definedName name="F_03_270">#REF!</definedName>
    <definedName name="F_03_30" localSheetId="15">#REF!</definedName>
    <definedName name="F_03_30">#REF!</definedName>
    <definedName name="F_03_300" localSheetId="15">#REF!</definedName>
    <definedName name="F_03_300">#REF!</definedName>
    <definedName name="F_03_330" localSheetId="15">#REF!</definedName>
    <definedName name="F_03_330">#REF!</definedName>
    <definedName name="F_03_360" localSheetId="15">#REF!</definedName>
    <definedName name="F_03_360">#REF!</definedName>
    <definedName name="F_03_390" localSheetId="15">#REF!</definedName>
    <definedName name="F_03_390">#REF!</definedName>
    <definedName name="F_03_420" localSheetId="15">#REF!</definedName>
    <definedName name="F_03_420">#REF!</definedName>
    <definedName name="F_03_450" localSheetId="15">#REF!</definedName>
    <definedName name="F_03_450">#REF!</definedName>
    <definedName name="F_03_480" localSheetId="15">#REF!</definedName>
    <definedName name="F_03_480">#REF!</definedName>
    <definedName name="F_03_510" localSheetId="15">#REF!</definedName>
    <definedName name="F_03_510">#REF!</definedName>
    <definedName name="F_03_540" localSheetId="15">#REF!</definedName>
    <definedName name="F_03_540">#REF!</definedName>
    <definedName name="F_03_570" localSheetId="15">#REF!</definedName>
    <definedName name="F_03_570">#REF!</definedName>
    <definedName name="F_03_60" localSheetId="15">#REF!</definedName>
    <definedName name="F_03_60">#REF!</definedName>
    <definedName name="F_03_600" localSheetId="15">#REF!</definedName>
    <definedName name="F_03_600">#REF!</definedName>
    <definedName name="F_03_630" localSheetId="15">#REF!</definedName>
    <definedName name="F_03_630">#REF!</definedName>
    <definedName name="F_03_660" localSheetId="15">#REF!</definedName>
    <definedName name="F_03_660">#REF!</definedName>
    <definedName name="F_03_690" localSheetId="15">#REF!</definedName>
    <definedName name="F_03_690">#REF!</definedName>
    <definedName name="F_03_720" localSheetId="15">#REF!</definedName>
    <definedName name="F_03_720">#REF!</definedName>
    <definedName name="F_03_90" localSheetId="15">#REF!</definedName>
    <definedName name="F_03_90">#REF!</definedName>
    <definedName name="F_04_120" localSheetId="15">#REF!</definedName>
    <definedName name="F_04_120">#REF!</definedName>
    <definedName name="F_04_150" localSheetId="15">#REF!</definedName>
    <definedName name="F_04_150">#REF!</definedName>
    <definedName name="F_04_180" localSheetId="15">#REF!</definedName>
    <definedName name="F_04_180">#REF!</definedName>
    <definedName name="F_04_210" localSheetId="15">#REF!</definedName>
    <definedName name="F_04_210">#REF!</definedName>
    <definedName name="F_04_240" localSheetId="15">#REF!</definedName>
    <definedName name="F_04_240">#REF!</definedName>
    <definedName name="F_04_270" localSheetId="15">#REF!</definedName>
    <definedName name="F_04_270">#REF!</definedName>
    <definedName name="F_04_30" localSheetId="15">#REF!</definedName>
    <definedName name="F_04_30">#REF!</definedName>
    <definedName name="F_04_300" localSheetId="15">#REF!</definedName>
    <definedName name="F_04_300">#REF!</definedName>
    <definedName name="F_04_330" localSheetId="15">#REF!</definedName>
    <definedName name="F_04_330">#REF!</definedName>
    <definedName name="F_04_360" localSheetId="15">#REF!</definedName>
    <definedName name="F_04_360">#REF!</definedName>
    <definedName name="F_04_390" localSheetId="15">#REF!</definedName>
    <definedName name="F_04_390">#REF!</definedName>
    <definedName name="F_04_420" localSheetId="15">#REF!</definedName>
    <definedName name="F_04_420">#REF!</definedName>
    <definedName name="F_04_450" localSheetId="15">#REF!</definedName>
    <definedName name="F_04_450">#REF!</definedName>
    <definedName name="F_04_480" localSheetId="15">#REF!</definedName>
    <definedName name="F_04_480">#REF!</definedName>
    <definedName name="F_04_510" localSheetId="15">#REF!</definedName>
    <definedName name="F_04_510">#REF!</definedName>
    <definedName name="F_04_540" localSheetId="15">#REF!</definedName>
    <definedName name="F_04_540">#REF!</definedName>
    <definedName name="F_04_570" localSheetId="15">#REF!</definedName>
    <definedName name="F_04_570">#REF!</definedName>
    <definedName name="F_04_60" localSheetId="15">#REF!</definedName>
    <definedName name="F_04_60">#REF!</definedName>
    <definedName name="F_04_600" localSheetId="15">#REF!</definedName>
    <definedName name="F_04_600">#REF!</definedName>
    <definedName name="F_04_630" localSheetId="15">#REF!</definedName>
    <definedName name="F_04_630">#REF!</definedName>
    <definedName name="F_04_660" localSheetId="15">#REF!</definedName>
    <definedName name="F_04_660">#REF!</definedName>
    <definedName name="F_04_690" localSheetId="15">#REF!</definedName>
    <definedName name="F_04_690">#REF!</definedName>
    <definedName name="F_04_720" localSheetId="15">#REF!</definedName>
    <definedName name="F_04_720">#REF!</definedName>
    <definedName name="F_04_90" localSheetId="15">#REF!</definedName>
    <definedName name="F_04_90">#REF!</definedName>
    <definedName name="F_05_120" localSheetId="15">#REF!</definedName>
    <definedName name="F_05_120">#REF!</definedName>
    <definedName name="F_05_150" localSheetId="15">#REF!</definedName>
    <definedName name="F_05_150">#REF!</definedName>
    <definedName name="F_05_180" localSheetId="15">#REF!</definedName>
    <definedName name="F_05_180">#REF!</definedName>
    <definedName name="F_05_210" localSheetId="15">#REF!</definedName>
    <definedName name="F_05_210">#REF!</definedName>
    <definedName name="F_05_240" localSheetId="15">#REF!</definedName>
    <definedName name="F_05_240">#REF!</definedName>
    <definedName name="F_05_270" localSheetId="15">#REF!</definedName>
    <definedName name="F_05_270">#REF!</definedName>
    <definedName name="F_05_30" localSheetId="15">#REF!</definedName>
    <definedName name="F_05_30">#REF!</definedName>
    <definedName name="F_05_300" localSheetId="15">#REF!</definedName>
    <definedName name="F_05_300">#REF!</definedName>
    <definedName name="F_05_330" localSheetId="15">#REF!</definedName>
    <definedName name="F_05_330">#REF!</definedName>
    <definedName name="F_05_360" localSheetId="15">#REF!</definedName>
    <definedName name="F_05_360">#REF!</definedName>
    <definedName name="F_05_390" localSheetId="15">#REF!</definedName>
    <definedName name="F_05_390">#REF!</definedName>
    <definedName name="F_05_420" localSheetId="15">#REF!</definedName>
    <definedName name="F_05_420">#REF!</definedName>
    <definedName name="F_05_450" localSheetId="15">#REF!</definedName>
    <definedName name="F_05_450">#REF!</definedName>
    <definedName name="F_05_480" localSheetId="15">#REF!</definedName>
    <definedName name="F_05_480">#REF!</definedName>
    <definedName name="F_05_510" localSheetId="15">#REF!</definedName>
    <definedName name="F_05_510">#REF!</definedName>
    <definedName name="F_05_540" localSheetId="15">#REF!</definedName>
    <definedName name="F_05_540">#REF!</definedName>
    <definedName name="F_05_570" localSheetId="15">#REF!</definedName>
    <definedName name="F_05_570">#REF!</definedName>
    <definedName name="F_05_60" localSheetId="15">#REF!</definedName>
    <definedName name="F_05_60">#REF!</definedName>
    <definedName name="F_05_600" localSheetId="15">#REF!</definedName>
    <definedName name="F_05_600">#REF!</definedName>
    <definedName name="F_05_630" localSheetId="15">#REF!</definedName>
    <definedName name="F_05_630">#REF!</definedName>
    <definedName name="F_05_660" localSheetId="15">#REF!</definedName>
    <definedName name="F_05_660">#REF!</definedName>
    <definedName name="F_05_690" localSheetId="15">#REF!</definedName>
    <definedName name="F_05_690">#REF!</definedName>
    <definedName name="F_05_720" localSheetId="15">#REF!</definedName>
    <definedName name="F_05_720">#REF!</definedName>
    <definedName name="F_05_90" localSheetId="15">#REF!</definedName>
    <definedName name="F_05_90">#REF!</definedName>
    <definedName name="F_06_120" localSheetId="15">#REF!</definedName>
    <definedName name="F_06_120">#REF!</definedName>
    <definedName name="F_06_150" localSheetId="15">#REF!</definedName>
    <definedName name="F_06_150">#REF!</definedName>
    <definedName name="F_06_180" localSheetId="15">#REF!</definedName>
    <definedName name="F_06_180">#REF!</definedName>
    <definedName name="F_06_210" localSheetId="15">#REF!</definedName>
    <definedName name="F_06_210">#REF!</definedName>
    <definedName name="F_06_240" localSheetId="15">#REF!</definedName>
    <definedName name="F_06_240">#REF!</definedName>
    <definedName name="F_06_270" localSheetId="15">#REF!</definedName>
    <definedName name="F_06_270">#REF!</definedName>
    <definedName name="F_06_30" localSheetId="15">#REF!</definedName>
    <definedName name="F_06_30">#REF!</definedName>
    <definedName name="F_06_300" localSheetId="15">#REF!</definedName>
    <definedName name="F_06_300">#REF!</definedName>
    <definedName name="F_06_330" localSheetId="15">#REF!</definedName>
    <definedName name="F_06_330">#REF!</definedName>
    <definedName name="F_06_360" localSheetId="15">#REF!</definedName>
    <definedName name="F_06_360">#REF!</definedName>
    <definedName name="F_06_390" localSheetId="15">#REF!</definedName>
    <definedName name="F_06_390">#REF!</definedName>
    <definedName name="F_06_420" localSheetId="15">#REF!</definedName>
    <definedName name="F_06_420">#REF!</definedName>
    <definedName name="F_06_450" localSheetId="15">#REF!</definedName>
    <definedName name="F_06_450">#REF!</definedName>
    <definedName name="F_06_480" localSheetId="15">#REF!</definedName>
    <definedName name="F_06_480">#REF!</definedName>
    <definedName name="F_06_510" localSheetId="15">#REF!</definedName>
    <definedName name="F_06_510">#REF!</definedName>
    <definedName name="F_06_540" localSheetId="15">#REF!</definedName>
    <definedName name="F_06_540">#REF!</definedName>
    <definedName name="F_06_570" localSheetId="15">#REF!</definedName>
    <definedName name="F_06_570">#REF!</definedName>
    <definedName name="F_06_60" localSheetId="15">#REF!</definedName>
    <definedName name="F_06_60">#REF!</definedName>
    <definedName name="F_06_600" localSheetId="15">#REF!</definedName>
    <definedName name="F_06_600">#REF!</definedName>
    <definedName name="F_06_630" localSheetId="15">#REF!</definedName>
    <definedName name="F_06_630">#REF!</definedName>
    <definedName name="F_06_660" localSheetId="15">#REF!</definedName>
    <definedName name="F_06_660">#REF!</definedName>
    <definedName name="F_06_690" localSheetId="15">#REF!</definedName>
    <definedName name="F_06_690">#REF!</definedName>
    <definedName name="F_06_720" localSheetId="15">#REF!</definedName>
    <definedName name="F_06_720">#REF!</definedName>
    <definedName name="F_06_90" localSheetId="15">#REF!</definedName>
    <definedName name="F_06_90">#REF!</definedName>
    <definedName name="F_07_120" localSheetId="15">#REF!</definedName>
    <definedName name="F_07_120">#REF!</definedName>
    <definedName name="F_07_150" localSheetId="15">#REF!</definedName>
    <definedName name="F_07_150">#REF!</definedName>
    <definedName name="F_07_180" localSheetId="15">#REF!</definedName>
    <definedName name="F_07_180">#REF!</definedName>
    <definedName name="F_07_210" localSheetId="15">#REF!</definedName>
    <definedName name="F_07_210">#REF!</definedName>
    <definedName name="F_07_240" localSheetId="15">#REF!</definedName>
    <definedName name="F_07_240">#REF!</definedName>
    <definedName name="F_07_270" localSheetId="15">#REF!</definedName>
    <definedName name="F_07_270">#REF!</definedName>
    <definedName name="F_07_30" localSheetId="15">#REF!</definedName>
    <definedName name="F_07_30">#REF!</definedName>
    <definedName name="F_07_300" localSheetId="15">#REF!</definedName>
    <definedName name="F_07_300">#REF!</definedName>
    <definedName name="F_07_330" localSheetId="15">#REF!</definedName>
    <definedName name="F_07_330">#REF!</definedName>
    <definedName name="F_07_360" localSheetId="15">#REF!</definedName>
    <definedName name="F_07_360">#REF!</definedName>
    <definedName name="F_07_390" localSheetId="15">#REF!</definedName>
    <definedName name="F_07_390">#REF!</definedName>
    <definedName name="F_07_420" localSheetId="15">#REF!</definedName>
    <definedName name="F_07_420">#REF!</definedName>
    <definedName name="F_07_450" localSheetId="15">#REF!</definedName>
    <definedName name="F_07_450">#REF!</definedName>
    <definedName name="F_07_480" localSheetId="15">#REF!</definedName>
    <definedName name="F_07_480">#REF!</definedName>
    <definedName name="F_07_510" localSheetId="15">#REF!</definedName>
    <definedName name="F_07_510">#REF!</definedName>
    <definedName name="F_07_540" localSheetId="15">#REF!</definedName>
    <definedName name="F_07_540">#REF!</definedName>
    <definedName name="F_07_570" localSheetId="15">#REF!</definedName>
    <definedName name="F_07_570">#REF!</definedName>
    <definedName name="F_07_60" localSheetId="15">#REF!</definedName>
    <definedName name="F_07_60">#REF!</definedName>
    <definedName name="F_07_600" localSheetId="15">#REF!</definedName>
    <definedName name="F_07_600">#REF!</definedName>
    <definedName name="F_07_630" localSheetId="15">#REF!</definedName>
    <definedName name="F_07_630">#REF!</definedName>
    <definedName name="F_07_660" localSheetId="15">#REF!</definedName>
    <definedName name="F_07_660">#REF!</definedName>
    <definedName name="F_07_690" localSheetId="15">#REF!</definedName>
    <definedName name="F_07_690">#REF!</definedName>
    <definedName name="F_07_720" localSheetId="15">#REF!</definedName>
    <definedName name="F_07_720">#REF!</definedName>
    <definedName name="F_07_90" localSheetId="15">#REF!</definedName>
    <definedName name="F_07_90">#REF!</definedName>
    <definedName name="F_08_120" localSheetId="15">#REF!</definedName>
    <definedName name="F_08_120">#REF!</definedName>
    <definedName name="F_08_150" localSheetId="15">#REF!</definedName>
    <definedName name="F_08_150">#REF!</definedName>
    <definedName name="F_08_180" localSheetId="15">#REF!</definedName>
    <definedName name="F_08_180">#REF!</definedName>
    <definedName name="F_08_210" localSheetId="15">#REF!</definedName>
    <definedName name="F_08_210">#REF!</definedName>
    <definedName name="F_08_240" localSheetId="15">#REF!</definedName>
    <definedName name="F_08_240">#REF!</definedName>
    <definedName name="F_08_270" localSheetId="15">#REF!</definedName>
    <definedName name="F_08_270">#REF!</definedName>
    <definedName name="F_08_30" localSheetId="15">#REF!</definedName>
    <definedName name="F_08_30">#REF!</definedName>
    <definedName name="F_08_300" localSheetId="15">#REF!</definedName>
    <definedName name="F_08_300">#REF!</definedName>
    <definedName name="F_08_330" localSheetId="15">#REF!</definedName>
    <definedName name="F_08_330">#REF!</definedName>
    <definedName name="F_08_360" localSheetId="15">#REF!</definedName>
    <definedName name="F_08_360">#REF!</definedName>
    <definedName name="F_08_390" localSheetId="15">#REF!</definedName>
    <definedName name="F_08_390">#REF!</definedName>
    <definedName name="F_08_420" localSheetId="15">#REF!</definedName>
    <definedName name="F_08_420">#REF!</definedName>
    <definedName name="F_08_450" localSheetId="15">#REF!</definedName>
    <definedName name="F_08_450">#REF!</definedName>
    <definedName name="F_08_480" localSheetId="15">#REF!</definedName>
    <definedName name="F_08_480">#REF!</definedName>
    <definedName name="F_08_510" localSheetId="15">#REF!</definedName>
    <definedName name="F_08_510">#REF!</definedName>
    <definedName name="F_08_540" localSheetId="15">#REF!</definedName>
    <definedName name="F_08_540">#REF!</definedName>
    <definedName name="F_08_570" localSheetId="15">#REF!</definedName>
    <definedName name="F_08_570">#REF!</definedName>
    <definedName name="F_08_60" localSheetId="15">#REF!</definedName>
    <definedName name="F_08_60">#REF!</definedName>
    <definedName name="F_08_600" localSheetId="15">#REF!</definedName>
    <definedName name="F_08_600">#REF!</definedName>
    <definedName name="F_08_630" localSheetId="15">#REF!</definedName>
    <definedName name="F_08_630">#REF!</definedName>
    <definedName name="F_08_660" localSheetId="15">#REF!</definedName>
    <definedName name="F_08_660">#REF!</definedName>
    <definedName name="F_08_690" localSheetId="15">#REF!</definedName>
    <definedName name="F_08_690">#REF!</definedName>
    <definedName name="F_08_720" localSheetId="15">#REF!</definedName>
    <definedName name="F_08_720">#REF!</definedName>
    <definedName name="F_08_90" localSheetId="15">#REF!</definedName>
    <definedName name="F_08_90">#REF!</definedName>
    <definedName name="F_09_120" localSheetId="15">#REF!</definedName>
    <definedName name="F_09_120">#REF!</definedName>
    <definedName name="F_09_150" localSheetId="15">#REF!</definedName>
    <definedName name="F_09_150">#REF!</definedName>
    <definedName name="F_09_180" localSheetId="15">#REF!</definedName>
    <definedName name="F_09_180">#REF!</definedName>
    <definedName name="F_09_210" localSheetId="15">#REF!</definedName>
    <definedName name="F_09_210">#REF!</definedName>
    <definedName name="F_09_240" localSheetId="15">#REF!</definedName>
    <definedName name="F_09_240">#REF!</definedName>
    <definedName name="F_09_270" localSheetId="15">#REF!</definedName>
    <definedName name="F_09_270">#REF!</definedName>
    <definedName name="F_09_30" localSheetId="15">#REF!</definedName>
    <definedName name="F_09_30">#REF!</definedName>
    <definedName name="F_09_300" localSheetId="15">#REF!</definedName>
    <definedName name="F_09_300">#REF!</definedName>
    <definedName name="F_09_330" localSheetId="15">#REF!</definedName>
    <definedName name="F_09_330">#REF!</definedName>
    <definedName name="F_09_360" localSheetId="15">#REF!</definedName>
    <definedName name="F_09_360">#REF!</definedName>
    <definedName name="F_09_390" localSheetId="15">#REF!</definedName>
    <definedName name="F_09_390">#REF!</definedName>
    <definedName name="F_09_420" localSheetId="15">#REF!</definedName>
    <definedName name="F_09_420">#REF!</definedName>
    <definedName name="F_09_450" localSheetId="15">#REF!</definedName>
    <definedName name="F_09_450">#REF!</definedName>
    <definedName name="F_09_480" localSheetId="15">#REF!</definedName>
    <definedName name="F_09_480">#REF!</definedName>
    <definedName name="F_09_510" localSheetId="15">#REF!</definedName>
    <definedName name="F_09_510">#REF!</definedName>
    <definedName name="F_09_540" localSheetId="15">#REF!</definedName>
    <definedName name="F_09_540">#REF!</definedName>
    <definedName name="F_09_570" localSheetId="15">#REF!</definedName>
    <definedName name="F_09_570">#REF!</definedName>
    <definedName name="F_09_60" localSheetId="15">#REF!</definedName>
    <definedName name="F_09_60">#REF!</definedName>
    <definedName name="F_09_600" localSheetId="15">#REF!</definedName>
    <definedName name="F_09_600">#REF!</definedName>
    <definedName name="F_09_630" localSheetId="15">#REF!</definedName>
    <definedName name="F_09_630">#REF!</definedName>
    <definedName name="F_09_660" localSheetId="15">#REF!</definedName>
    <definedName name="F_09_660">#REF!</definedName>
    <definedName name="F_09_690" localSheetId="15">#REF!</definedName>
    <definedName name="F_09_690">#REF!</definedName>
    <definedName name="F_09_720" localSheetId="15">#REF!</definedName>
    <definedName name="F_09_720">#REF!</definedName>
    <definedName name="F_09_90" localSheetId="15">#REF!</definedName>
    <definedName name="F_09_90">#REF!</definedName>
    <definedName name="F_10_120" localSheetId="15">#REF!</definedName>
    <definedName name="F_10_120">#REF!</definedName>
    <definedName name="F_10_150" localSheetId="15">#REF!</definedName>
    <definedName name="F_10_150">#REF!</definedName>
    <definedName name="F_10_180" localSheetId="15">#REF!</definedName>
    <definedName name="F_10_180">#REF!</definedName>
    <definedName name="F_10_210" localSheetId="15">#REF!</definedName>
    <definedName name="F_10_210">#REF!</definedName>
    <definedName name="F_10_240" localSheetId="15">#REF!</definedName>
    <definedName name="F_10_240">#REF!</definedName>
    <definedName name="F_10_270" localSheetId="15">#REF!</definedName>
    <definedName name="F_10_270">#REF!</definedName>
    <definedName name="F_10_30" localSheetId="15">#REF!</definedName>
    <definedName name="F_10_30">#REF!</definedName>
    <definedName name="F_10_300" localSheetId="15">#REF!</definedName>
    <definedName name="F_10_300">#REF!</definedName>
    <definedName name="F_10_330" localSheetId="15">#REF!</definedName>
    <definedName name="F_10_330">#REF!</definedName>
    <definedName name="F_10_360" localSheetId="15">#REF!</definedName>
    <definedName name="F_10_360">#REF!</definedName>
    <definedName name="F_10_390" localSheetId="15">#REF!</definedName>
    <definedName name="F_10_390">#REF!</definedName>
    <definedName name="F_10_420" localSheetId="15">#REF!</definedName>
    <definedName name="F_10_420">#REF!</definedName>
    <definedName name="F_10_450" localSheetId="15">#REF!</definedName>
    <definedName name="F_10_450">#REF!</definedName>
    <definedName name="F_10_480" localSheetId="15">#REF!</definedName>
    <definedName name="F_10_480">#REF!</definedName>
    <definedName name="F_10_510" localSheetId="15">#REF!</definedName>
    <definedName name="F_10_510">#REF!</definedName>
    <definedName name="F_10_540" localSheetId="15">#REF!</definedName>
    <definedName name="F_10_540">#REF!</definedName>
    <definedName name="F_10_570" localSheetId="15">#REF!</definedName>
    <definedName name="F_10_570">#REF!</definedName>
    <definedName name="F_10_60" localSheetId="15">#REF!</definedName>
    <definedName name="F_10_60">#REF!</definedName>
    <definedName name="F_10_600" localSheetId="15">#REF!</definedName>
    <definedName name="F_10_600">#REF!</definedName>
    <definedName name="F_10_630" localSheetId="15">#REF!</definedName>
    <definedName name="F_10_630">#REF!</definedName>
    <definedName name="F_10_660" localSheetId="15">#REF!</definedName>
    <definedName name="F_10_660">#REF!</definedName>
    <definedName name="F_10_690" localSheetId="15">#REF!</definedName>
    <definedName name="F_10_690">#REF!</definedName>
    <definedName name="F_10_720" localSheetId="15">#REF!</definedName>
    <definedName name="F_10_720">#REF!</definedName>
    <definedName name="F_10_90" localSheetId="15">#REF!</definedName>
    <definedName name="F_10_90">#REF!</definedName>
    <definedName name="F_11_120" localSheetId="15">#REF!</definedName>
    <definedName name="F_11_120">#REF!</definedName>
    <definedName name="F_11_150" localSheetId="15">#REF!</definedName>
    <definedName name="F_11_150">#REF!</definedName>
    <definedName name="F_11_180" localSheetId="15">#REF!</definedName>
    <definedName name="F_11_180">#REF!</definedName>
    <definedName name="F_11_210" localSheetId="15">#REF!</definedName>
    <definedName name="F_11_210">#REF!</definedName>
    <definedName name="F_11_240" localSheetId="15">#REF!</definedName>
    <definedName name="F_11_240">#REF!</definedName>
    <definedName name="F_11_270" localSheetId="15">#REF!</definedName>
    <definedName name="F_11_270">#REF!</definedName>
    <definedName name="F_11_30" localSheetId="15">#REF!</definedName>
    <definedName name="F_11_30">#REF!</definedName>
    <definedName name="F_11_300" localSheetId="15">#REF!</definedName>
    <definedName name="F_11_300">#REF!</definedName>
    <definedName name="F_11_330" localSheetId="15">#REF!</definedName>
    <definedName name="F_11_330">#REF!</definedName>
    <definedName name="F_11_360" localSheetId="15">#REF!</definedName>
    <definedName name="F_11_360">#REF!</definedName>
    <definedName name="F_11_390" localSheetId="15">#REF!</definedName>
    <definedName name="F_11_390">#REF!</definedName>
    <definedName name="F_11_420" localSheetId="15">#REF!</definedName>
    <definedName name="F_11_420">#REF!</definedName>
    <definedName name="F_11_450" localSheetId="15">#REF!</definedName>
    <definedName name="F_11_450">#REF!</definedName>
    <definedName name="F_11_480" localSheetId="15">#REF!</definedName>
    <definedName name="F_11_480">#REF!</definedName>
    <definedName name="F_11_510" localSheetId="15">#REF!</definedName>
    <definedName name="F_11_510">#REF!</definedName>
    <definedName name="F_11_540" localSheetId="15">#REF!</definedName>
    <definedName name="F_11_540">#REF!</definedName>
    <definedName name="F_11_570" localSheetId="15">#REF!</definedName>
    <definedName name="F_11_570">#REF!</definedName>
    <definedName name="F_11_60" localSheetId="15">#REF!</definedName>
    <definedName name="F_11_60">#REF!</definedName>
    <definedName name="F_11_600" localSheetId="15">#REF!</definedName>
    <definedName name="F_11_600">#REF!</definedName>
    <definedName name="F_11_630" localSheetId="15">#REF!</definedName>
    <definedName name="F_11_630">#REF!</definedName>
    <definedName name="F_11_660" localSheetId="15">#REF!</definedName>
    <definedName name="F_11_660">#REF!</definedName>
    <definedName name="F_11_690" localSheetId="15">#REF!</definedName>
    <definedName name="F_11_690">#REF!</definedName>
    <definedName name="F_11_720" localSheetId="15">#REF!</definedName>
    <definedName name="F_11_720">#REF!</definedName>
    <definedName name="F_11_90" localSheetId="15">#REF!</definedName>
    <definedName name="F_11_90">#REF!</definedName>
    <definedName name="F_12_120" localSheetId="15">#REF!</definedName>
    <definedName name="F_12_120">#REF!</definedName>
    <definedName name="F_12_150" localSheetId="15">#REF!</definedName>
    <definedName name="F_12_150">#REF!</definedName>
    <definedName name="F_12_180" localSheetId="15">#REF!</definedName>
    <definedName name="F_12_180">#REF!</definedName>
    <definedName name="F_12_210" localSheetId="15">#REF!</definedName>
    <definedName name="F_12_210">#REF!</definedName>
    <definedName name="F_12_240" localSheetId="15">#REF!</definedName>
    <definedName name="F_12_240">#REF!</definedName>
    <definedName name="F_12_270" localSheetId="15">#REF!</definedName>
    <definedName name="F_12_270">#REF!</definedName>
    <definedName name="F_12_30" localSheetId="15">#REF!</definedName>
    <definedName name="F_12_30">#REF!</definedName>
    <definedName name="F_12_300" localSheetId="15">#REF!</definedName>
    <definedName name="F_12_300">#REF!</definedName>
    <definedName name="F_12_330" localSheetId="15">#REF!</definedName>
    <definedName name="F_12_330">#REF!</definedName>
    <definedName name="F_12_360" localSheetId="15">#REF!</definedName>
    <definedName name="F_12_360">#REF!</definedName>
    <definedName name="F_12_390" localSheetId="15">#REF!</definedName>
    <definedName name="F_12_390">#REF!</definedName>
    <definedName name="F_12_420" localSheetId="15">#REF!</definedName>
    <definedName name="F_12_420">#REF!</definedName>
    <definedName name="F_12_450" localSheetId="15">#REF!</definedName>
    <definedName name="F_12_450">#REF!</definedName>
    <definedName name="F_12_480" localSheetId="15">#REF!</definedName>
    <definedName name="F_12_480">#REF!</definedName>
    <definedName name="F_12_510" localSheetId="15">#REF!</definedName>
    <definedName name="F_12_510">#REF!</definedName>
    <definedName name="F_12_540" localSheetId="15">#REF!</definedName>
    <definedName name="F_12_540">#REF!</definedName>
    <definedName name="F_12_570" localSheetId="15">#REF!</definedName>
    <definedName name="F_12_570">#REF!</definedName>
    <definedName name="F_12_60" localSheetId="15">#REF!</definedName>
    <definedName name="F_12_60">#REF!</definedName>
    <definedName name="F_12_600" localSheetId="15">#REF!</definedName>
    <definedName name="F_12_600">#REF!</definedName>
    <definedName name="F_12_630" localSheetId="15">#REF!</definedName>
    <definedName name="F_12_630">#REF!</definedName>
    <definedName name="F_12_660" localSheetId="15">#REF!</definedName>
    <definedName name="F_12_660">#REF!</definedName>
    <definedName name="F_12_690" localSheetId="15">#REF!</definedName>
    <definedName name="F_12_690">#REF!</definedName>
    <definedName name="F_12_720" localSheetId="15">#REF!</definedName>
    <definedName name="F_12_720">#REF!</definedName>
    <definedName name="F_12_90" localSheetId="15">#REF!</definedName>
    <definedName name="F_12_90">#REF!</definedName>
    <definedName name="F_13_120" localSheetId="15">#REF!</definedName>
    <definedName name="F_13_120">#REF!</definedName>
    <definedName name="F_13_150" localSheetId="15">#REF!</definedName>
    <definedName name="F_13_150">#REF!</definedName>
    <definedName name="F_13_180" localSheetId="15">#REF!</definedName>
    <definedName name="F_13_180">#REF!</definedName>
    <definedName name="F_13_210" localSheetId="15">#REF!</definedName>
    <definedName name="F_13_210">#REF!</definedName>
    <definedName name="F_13_240" localSheetId="15">#REF!</definedName>
    <definedName name="F_13_240">#REF!</definedName>
    <definedName name="F_13_270" localSheetId="15">#REF!</definedName>
    <definedName name="F_13_270">#REF!</definedName>
    <definedName name="F_13_30" localSheetId="15">#REF!</definedName>
    <definedName name="F_13_30">#REF!</definedName>
    <definedName name="F_13_300" localSheetId="15">#REF!</definedName>
    <definedName name="F_13_300">#REF!</definedName>
    <definedName name="F_13_330" localSheetId="15">#REF!</definedName>
    <definedName name="F_13_330">#REF!</definedName>
    <definedName name="F_13_360" localSheetId="15">#REF!</definedName>
    <definedName name="F_13_360">#REF!</definedName>
    <definedName name="F_13_390" localSheetId="15">#REF!</definedName>
    <definedName name="F_13_390">#REF!</definedName>
    <definedName name="F_13_420" localSheetId="15">#REF!</definedName>
    <definedName name="F_13_420">#REF!</definedName>
    <definedName name="F_13_450" localSheetId="15">#REF!</definedName>
    <definedName name="F_13_450">#REF!</definedName>
    <definedName name="F_13_480" localSheetId="15">#REF!</definedName>
    <definedName name="F_13_480">#REF!</definedName>
    <definedName name="F_13_510" localSheetId="15">#REF!</definedName>
    <definedName name="F_13_510">#REF!</definedName>
    <definedName name="F_13_540" localSheetId="15">#REF!</definedName>
    <definedName name="F_13_540">#REF!</definedName>
    <definedName name="F_13_570" localSheetId="15">#REF!</definedName>
    <definedName name="F_13_570">#REF!</definedName>
    <definedName name="F_13_60" localSheetId="15">#REF!</definedName>
    <definedName name="F_13_60">#REF!</definedName>
    <definedName name="F_13_600" localSheetId="15">#REF!</definedName>
    <definedName name="F_13_600">#REF!</definedName>
    <definedName name="F_13_630" localSheetId="15">#REF!</definedName>
    <definedName name="F_13_630">#REF!</definedName>
    <definedName name="F_13_660" localSheetId="15">#REF!</definedName>
    <definedName name="F_13_660">#REF!</definedName>
    <definedName name="F_13_690" localSheetId="15">#REF!</definedName>
    <definedName name="F_13_690">#REF!</definedName>
    <definedName name="F_13_720" localSheetId="15">#REF!</definedName>
    <definedName name="F_13_720">#REF!</definedName>
    <definedName name="F_13_90" localSheetId="15">#REF!</definedName>
    <definedName name="F_13_90">#REF!</definedName>
    <definedName name="F_14_120" localSheetId="15">#REF!</definedName>
    <definedName name="F_14_120">#REF!</definedName>
    <definedName name="F_14_150" localSheetId="15">#REF!</definedName>
    <definedName name="F_14_150">#REF!</definedName>
    <definedName name="F_14_180" localSheetId="15">#REF!</definedName>
    <definedName name="F_14_180">#REF!</definedName>
    <definedName name="F_14_210" localSheetId="15">#REF!</definedName>
    <definedName name="F_14_210">#REF!</definedName>
    <definedName name="F_14_240" localSheetId="15">#REF!</definedName>
    <definedName name="F_14_240">#REF!</definedName>
    <definedName name="F_14_270" localSheetId="15">#REF!</definedName>
    <definedName name="F_14_270">#REF!</definedName>
    <definedName name="F_14_30" localSheetId="15">#REF!</definedName>
    <definedName name="F_14_30">#REF!</definedName>
    <definedName name="F_14_300" localSheetId="15">#REF!</definedName>
    <definedName name="F_14_300">#REF!</definedName>
    <definedName name="F_14_330" localSheetId="15">#REF!</definedName>
    <definedName name="F_14_330">#REF!</definedName>
    <definedName name="F_14_360" localSheetId="15">#REF!</definedName>
    <definedName name="F_14_360">#REF!</definedName>
    <definedName name="F_14_390" localSheetId="15">#REF!</definedName>
    <definedName name="F_14_390">#REF!</definedName>
    <definedName name="F_14_420" localSheetId="15">#REF!</definedName>
    <definedName name="F_14_420">#REF!</definedName>
    <definedName name="F_14_450" localSheetId="15">#REF!</definedName>
    <definedName name="F_14_450">#REF!</definedName>
    <definedName name="F_14_480" localSheetId="15">#REF!</definedName>
    <definedName name="F_14_480">#REF!</definedName>
    <definedName name="F_14_510" localSheetId="15">#REF!</definedName>
    <definedName name="F_14_510">#REF!</definedName>
    <definedName name="F_14_540" localSheetId="15">#REF!</definedName>
    <definedName name="F_14_540">#REF!</definedName>
    <definedName name="F_14_570" localSheetId="15">#REF!</definedName>
    <definedName name="F_14_570">#REF!</definedName>
    <definedName name="F_14_60" localSheetId="15">#REF!</definedName>
    <definedName name="F_14_60">#REF!</definedName>
    <definedName name="F_14_600" localSheetId="15">#REF!</definedName>
    <definedName name="F_14_600">#REF!</definedName>
    <definedName name="F_14_630" localSheetId="15">#REF!</definedName>
    <definedName name="F_14_630">#REF!</definedName>
    <definedName name="F_14_660" localSheetId="15">#REF!</definedName>
    <definedName name="F_14_660">#REF!</definedName>
    <definedName name="F_14_690" localSheetId="15">#REF!</definedName>
    <definedName name="F_14_690">#REF!</definedName>
    <definedName name="F_14_720" localSheetId="15">#REF!</definedName>
    <definedName name="F_14_720">#REF!</definedName>
    <definedName name="F_14_90" localSheetId="15">#REF!</definedName>
    <definedName name="F_14_90">#REF!</definedName>
    <definedName name="F_15_120" localSheetId="15">#REF!</definedName>
    <definedName name="F_15_120">#REF!</definedName>
    <definedName name="F_15_150" localSheetId="15">#REF!</definedName>
    <definedName name="F_15_150">#REF!</definedName>
    <definedName name="F_15_180" localSheetId="15">#REF!</definedName>
    <definedName name="F_15_180">#REF!</definedName>
    <definedName name="F_15_210" localSheetId="15">#REF!</definedName>
    <definedName name="F_15_210">#REF!</definedName>
    <definedName name="F_15_240" localSheetId="15">#REF!</definedName>
    <definedName name="F_15_240">#REF!</definedName>
    <definedName name="F_15_270" localSheetId="15">#REF!</definedName>
    <definedName name="F_15_270">#REF!</definedName>
    <definedName name="F_15_30" localSheetId="15">#REF!</definedName>
    <definedName name="F_15_30">#REF!</definedName>
    <definedName name="F_15_300" localSheetId="15">#REF!</definedName>
    <definedName name="F_15_300">#REF!</definedName>
    <definedName name="F_15_330" localSheetId="15">#REF!</definedName>
    <definedName name="F_15_330">#REF!</definedName>
    <definedName name="F_15_360" localSheetId="15">#REF!</definedName>
    <definedName name="F_15_360">#REF!</definedName>
    <definedName name="F_15_390" localSheetId="15">#REF!</definedName>
    <definedName name="F_15_390">#REF!</definedName>
    <definedName name="F_15_420" localSheetId="15">#REF!</definedName>
    <definedName name="F_15_420">#REF!</definedName>
    <definedName name="F_15_450" localSheetId="15">#REF!</definedName>
    <definedName name="F_15_450">#REF!</definedName>
    <definedName name="F_15_480" localSheetId="15">#REF!</definedName>
    <definedName name="F_15_480">#REF!</definedName>
    <definedName name="F_15_510" localSheetId="15">#REF!</definedName>
    <definedName name="F_15_510">#REF!</definedName>
    <definedName name="F_15_540" localSheetId="15">#REF!</definedName>
    <definedName name="F_15_540">#REF!</definedName>
    <definedName name="F_15_570" localSheetId="15">#REF!</definedName>
    <definedName name="F_15_570">#REF!</definedName>
    <definedName name="F_15_60" localSheetId="15">#REF!</definedName>
    <definedName name="F_15_60">#REF!</definedName>
    <definedName name="F_15_600" localSheetId="15">#REF!</definedName>
    <definedName name="F_15_600">#REF!</definedName>
    <definedName name="F_15_630" localSheetId="15">#REF!</definedName>
    <definedName name="F_15_630">#REF!</definedName>
    <definedName name="F_15_660" localSheetId="15">#REF!</definedName>
    <definedName name="F_15_660">#REF!</definedName>
    <definedName name="F_15_690" localSheetId="15">#REF!</definedName>
    <definedName name="F_15_690">#REF!</definedName>
    <definedName name="F_15_720" localSheetId="15">#REF!</definedName>
    <definedName name="F_15_720">#REF!</definedName>
    <definedName name="F_15_90" localSheetId="15">#REF!</definedName>
    <definedName name="F_15_90">#REF!</definedName>
    <definedName name="FAB">"Figura 3"</definedName>
    <definedName name="faixa">#REF!</definedName>
    <definedName name="faixa2">#REF!</definedName>
    <definedName name="FAT">"$#REF!.$H$#REF!"</definedName>
    <definedName name="fator" localSheetId="15">#REF!</definedName>
    <definedName name="fator">#REF!</definedName>
    <definedName name="FATOR1" localSheetId="15">#REF!</definedName>
    <definedName name="FATOR1">#REF!</definedName>
    <definedName name="fator100" localSheetId="15">#REF!</definedName>
    <definedName name="fator100">#REF!</definedName>
    <definedName name="FATOR2" localSheetId="15">#REF!</definedName>
    <definedName name="FATOR2">#REF!</definedName>
    <definedName name="fator50" localSheetId="15">#REF!</definedName>
    <definedName name="fator50">#REF!</definedName>
    <definedName name="FatSabadoOut">#REF!</definedName>
    <definedName name="FatSextaOut">#REF!</definedName>
    <definedName name="FATURAS2002" localSheetId="1" hidden="1">{#N/A,#N/A,TRUE,"Serviços"}</definedName>
    <definedName name="FATURAS2002" localSheetId="4" hidden="1">{#N/A,#N/A,TRUE,"Serviços"}</definedName>
    <definedName name="FATURAS2002" localSheetId="24" hidden="1">{#N/A,#N/A,TRUE,"Serviços"}</definedName>
    <definedName name="FATURAS2002" localSheetId="25" hidden="1">{#N/A,#N/A,TRUE,"Serviços"}</definedName>
    <definedName name="FATURAS2002" localSheetId="27" hidden="1">{#N/A,#N/A,TRUE,"Serviços"}</definedName>
    <definedName name="FATURAS2002" localSheetId="20" hidden="1">{#N/A,#N/A,TRUE,"Serviços"}</definedName>
    <definedName name="FATURAS2002" localSheetId="15" hidden="1">{#N/A,#N/A,TRUE,"Serviços"}</definedName>
    <definedName name="FATURAS2002" localSheetId="18" hidden="1">{#N/A,#N/A,TRUE,"Serviços"}</definedName>
    <definedName name="FATURAS2002" hidden="1">{#N/A,#N/A,TRUE,"Serviços"}</definedName>
    <definedName name="FATURAS20022" localSheetId="18" hidden="1">{#N/A,#N/A,TRUE,"Serviços"}</definedName>
    <definedName name="FATURAS20022" hidden="1">{#N/A,#N/A,TRUE,"Serviços"}</definedName>
    <definedName name="fc1a" localSheetId="15">#REF!</definedName>
    <definedName name="fc1a">#REF!</definedName>
    <definedName name="fc1a_10" localSheetId="15">#REF!</definedName>
    <definedName name="fc1a_10">#REF!</definedName>
    <definedName name="fc1a_25" localSheetId="15">#REF!</definedName>
    <definedName name="fc1a_25">#REF!</definedName>
    <definedName name="fc1a_27" localSheetId="15">#REF!</definedName>
    <definedName name="fc1a_27">#REF!</definedName>
    <definedName name="fc1a_29" localSheetId="15">#REF!</definedName>
    <definedName name="fc1a_29">#REF!</definedName>
    <definedName name="fc1a_9" localSheetId="15">#REF!</definedName>
    <definedName name="fc1a_9">#REF!</definedName>
    <definedName name="FC2A" localSheetId="15">#REF!</definedName>
    <definedName name="FC2A">#REF!</definedName>
    <definedName name="FC2A_10" localSheetId="15">#REF!</definedName>
    <definedName name="FC2A_10">#REF!</definedName>
    <definedName name="FC2A_25" localSheetId="15">#REF!</definedName>
    <definedName name="FC2A_25">#REF!</definedName>
    <definedName name="FC2A_27" localSheetId="15">#REF!</definedName>
    <definedName name="FC2A_27">#REF!</definedName>
    <definedName name="FC2A_29" localSheetId="15">#REF!</definedName>
    <definedName name="FC2A_29">#REF!</definedName>
    <definedName name="FC2A_9" localSheetId="15">#REF!</definedName>
    <definedName name="FC2A_9">#REF!</definedName>
    <definedName name="FC3A" localSheetId="15">#REF!</definedName>
    <definedName name="FC3A">#REF!</definedName>
    <definedName name="FC3A_10" localSheetId="15">#REF!</definedName>
    <definedName name="FC3A_10">#REF!</definedName>
    <definedName name="FC3A_25" localSheetId="15">#REF!</definedName>
    <definedName name="FC3A_25">#REF!</definedName>
    <definedName name="FC3A_27" localSheetId="15">#REF!</definedName>
    <definedName name="FC3A_27">#REF!</definedName>
    <definedName name="FC3A_29" localSheetId="15">#REF!</definedName>
    <definedName name="FC3A_29">#REF!</definedName>
    <definedName name="FC3A_9" localSheetId="15">#REF!</definedName>
    <definedName name="FC3A_9">#REF!</definedName>
    <definedName name="FCT">"$#REF!.$N$#REF!"</definedName>
    <definedName name="fdfng" localSheetId="18" hidden="1">{#N/A,#N/A,FALSE,"GERAL";#N/A,#N/A,FALSE,"012-96";#N/A,#N/A,FALSE,"018-96";#N/A,#N/A,FALSE,"027-96";#N/A,#N/A,FALSE,"059-96";#N/A,#N/A,FALSE,"076-96";#N/A,#N/A,FALSE,"019-97";#N/A,#N/A,FALSE,"021-97";#N/A,#N/A,FALSE,"022-97";#N/A,#N/A,FALSE,"028-97"}</definedName>
    <definedName name="fdfng" hidden="1">{#N/A,#N/A,FALSE,"GERAL";#N/A,#N/A,FALSE,"012-96";#N/A,#N/A,FALSE,"018-96";#N/A,#N/A,FALSE,"027-96";#N/A,#N/A,FALSE,"059-96";#N/A,#N/A,FALSE,"076-96";#N/A,#N/A,FALSE,"019-97";#N/A,#N/A,FALSE,"021-97";#N/A,#N/A,FALSE,"022-97";#N/A,#N/A,FALSE,"028-97"}</definedName>
    <definedName name="fdsdas">#REF!</definedName>
    <definedName name="FE">#REF!</definedName>
    <definedName name="FE_10">#REF!</definedName>
    <definedName name="FE_5">#REF!</definedName>
    <definedName name="FE_6">#REF!</definedName>
    <definedName name="FE_9">#REF!</definedName>
    <definedName name="fer">#REF!</definedName>
    <definedName name="fernanda" localSheetId="18" hidden="1">{#N/A,#N/A,FALSE,"GERAL";#N/A,#N/A,FALSE,"012-96";#N/A,#N/A,FALSE,"018-96";#N/A,#N/A,FALSE,"027-96";#N/A,#N/A,FALSE,"059-96";#N/A,#N/A,FALSE,"076-96";#N/A,#N/A,FALSE,"019-97";#N/A,#N/A,FALSE,"021-97";#N/A,#N/A,FALSE,"022-97";#N/A,#N/A,FALSE,"028-97"}</definedName>
    <definedName name="fernanda" hidden="1">{#N/A,#N/A,FALSE,"GERAL";#N/A,#N/A,FALSE,"012-96";#N/A,#N/A,FALSE,"018-96";#N/A,#N/A,FALSE,"027-96";#N/A,#N/A,FALSE,"059-96";#N/A,#N/A,FALSE,"076-96";#N/A,#N/A,FALSE,"019-97";#N/A,#N/A,FALSE,"021-97";#N/A,#N/A,FALSE,"022-97";#N/A,#N/A,FALSE,"028-97"}</definedName>
    <definedName name="FERRAGENS">#N/A</definedName>
    <definedName name="Ferro_CA60" localSheetId="15">#REF!</definedName>
    <definedName name="Ferro_CA60">#REF!</definedName>
    <definedName name="FEV00" localSheetId="15">#REF!</definedName>
    <definedName name="FEV00">#REF!</definedName>
    <definedName name="ff">#REF!</definedName>
    <definedName name="ffffffffff">#REF!</definedName>
    <definedName name="ffg" localSheetId="1" hidden="1">{#N/A,#N/A,FALSE,"MO (2)"}</definedName>
    <definedName name="ffg" localSheetId="4" hidden="1">{#N/A,#N/A,FALSE,"MO (2)"}</definedName>
    <definedName name="ffg" localSheetId="24" hidden="1">{#N/A,#N/A,FALSE,"MO (2)"}</definedName>
    <definedName name="ffg" localSheetId="25" hidden="1">{#N/A,#N/A,FALSE,"MO (2)"}</definedName>
    <definedName name="ffg" localSheetId="27" hidden="1">{#N/A,#N/A,FALSE,"MO (2)"}</definedName>
    <definedName name="ffg" localSheetId="20" hidden="1">{#N/A,#N/A,FALSE,"MO (2)"}</definedName>
    <definedName name="ffg" localSheetId="15" hidden="1">{#N/A,#N/A,FALSE,"MO (2)"}</definedName>
    <definedName name="ffg" localSheetId="12" hidden="1">{#N/A,#N/A,FALSE,"MO (2)"}</definedName>
    <definedName name="ffg" localSheetId="18" hidden="1">{#N/A,#N/A,FALSE,"MO (2)"}</definedName>
    <definedName name="ffg" localSheetId="23" hidden="1">{#N/A,#N/A,FALSE,"MO (2)"}</definedName>
    <definedName name="ffg" localSheetId="16" hidden="1">{#N/A,#N/A,FALSE,"MO (2)"}</definedName>
    <definedName name="ffg" hidden="1">{#N/A,#N/A,FALSE,"MO (2)"}</definedName>
    <definedName name="ffg_1" localSheetId="1" hidden="1">{#N/A,#N/A,FALSE,"MO (2)"}</definedName>
    <definedName name="ffg_1" localSheetId="4" hidden="1">{#N/A,#N/A,FALSE,"MO (2)"}</definedName>
    <definedName name="ffg_1" localSheetId="24" hidden="1">{#N/A,#N/A,FALSE,"MO (2)"}</definedName>
    <definedName name="ffg_1" localSheetId="25" hidden="1">{#N/A,#N/A,FALSE,"MO (2)"}</definedName>
    <definedName name="ffg_1" localSheetId="27" hidden="1">{#N/A,#N/A,FALSE,"MO (2)"}</definedName>
    <definedName name="ffg_1" localSheetId="20" hidden="1">{#N/A,#N/A,FALSE,"MO (2)"}</definedName>
    <definedName name="ffg_1" localSheetId="15" hidden="1">{#N/A,#N/A,FALSE,"MO (2)"}</definedName>
    <definedName name="ffg_1" localSheetId="12" hidden="1">{#N/A,#N/A,FALSE,"MO (2)"}</definedName>
    <definedName name="ffg_1" localSheetId="18" hidden="1">{#N/A,#N/A,FALSE,"MO (2)"}</definedName>
    <definedName name="ffg_1" localSheetId="23" hidden="1">{#N/A,#N/A,FALSE,"MO (2)"}</definedName>
    <definedName name="ffg_1" localSheetId="16" hidden="1">{#N/A,#N/A,FALSE,"MO (2)"}</definedName>
    <definedName name="ffg_1" hidden="1">{#N/A,#N/A,FALSE,"MO (2)"}</definedName>
    <definedName name="fgff" localSheetId="1" hidden="1">{#N/A,#N/A,FALSE,"MO (2)"}</definedName>
    <definedName name="fgff" localSheetId="4" hidden="1">{#N/A,#N/A,FALSE,"MO (2)"}</definedName>
    <definedName name="fgff" localSheetId="24" hidden="1">{#N/A,#N/A,FALSE,"MO (2)"}</definedName>
    <definedName name="fgff" localSheetId="25" hidden="1">{#N/A,#N/A,FALSE,"MO (2)"}</definedName>
    <definedName name="fgff" localSheetId="27" hidden="1">{#N/A,#N/A,FALSE,"MO (2)"}</definedName>
    <definedName name="fgff" localSheetId="20" hidden="1">{#N/A,#N/A,FALSE,"MO (2)"}</definedName>
    <definedName name="fgff" localSheetId="15" hidden="1">{#N/A,#N/A,FALSE,"MO (2)"}</definedName>
    <definedName name="fgff" localSheetId="18" hidden="1">{#N/A,#N/A,FALSE,"MO (2)"}</definedName>
    <definedName name="fgff" localSheetId="23" hidden="1">{#N/A,#N/A,FALSE,"MO (2)"}</definedName>
    <definedName name="fgff" hidden="1">{#N/A,#N/A,FALSE,"MO (2)"}</definedName>
    <definedName name="fgff_1" localSheetId="18" hidden="1">{#N/A,#N/A,FALSE,"MO (2)"}</definedName>
    <definedName name="fgff_1" hidden="1">{#N/A,#N/A,FALSE,"MO (2)"}</definedName>
    <definedName name="fghji" localSheetId="1" hidden="1">{#N/A,#N/A,FALSE,"MO (2)"}</definedName>
    <definedName name="fghji" localSheetId="4" hidden="1">{#N/A,#N/A,FALSE,"MO (2)"}</definedName>
    <definedName name="fghji" localSheetId="24" hidden="1">{#N/A,#N/A,FALSE,"MO (2)"}</definedName>
    <definedName name="fghji" localSheetId="25" hidden="1">{#N/A,#N/A,FALSE,"MO (2)"}</definedName>
    <definedName name="fghji" localSheetId="27" hidden="1">{#N/A,#N/A,FALSE,"MO (2)"}</definedName>
    <definedName name="fghji" localSheetId="20" hidden="1">{#N/A,#N/A,FALSE,"MO (2)"}</definedName>
    <definedName name="fghji" localSheetId="15" hidden="1">{#N/A,#N/A,FALSE,"MO (2)"}</definedName>
    <definedName name="fghji" localSheetId="12" hidden="1">{#N/A,#N/A,FALSE,"MO (2)"}</definedName>
    <definedName name="fghji" localSheetId="18" hidden="1">{#N/A,#N/A,FALSE,"MO (2)"}</definedName>
    <definedName name="fghji" localSheetId="23" hidden="1">{#N/A,#N/A,FALSE,"MO (2)"}</definedName>
    <definedName name="fghji" localSheetId="16" hidden="1">{#N/A,#N/A,FALSE,"MO (2)"}</definedName>
    <definedName name="fghji" hidden="1">{#N/A,#N/A,FALSE,"MO (2)"}</definedName>
    <definedName name="fghji_1" localSheetId="1" hidden="1">{#N/A,#N/A,FALSE,"MO (2)"}</definedName>
    <definedName name="fghji_1" localSheetId="4" hidden="1">{#N/A,#N/A,FALSE,"MO (2)"}</definedName>
    <definedName name="fghji_1" localSheetId="24" hidden="1">{#N/A,#N/A,FALSE,"MO (2)"}</definedName>
    <definedName name="fghji_1" localSheetId="25" hidden="1">{#N/A,#N/A,FALSE,"MO (2)"}</definedName>
    <definedName name="fghji_1" localSheetId="27" hidden="1">{#N/A,#N/A,FALSE,"MO (2)"}</definedName>
    <definedName name="fghji_1" localSheetId="20" hidden="1">{#N/A,#N/A,FALSE,"MO (2)"}</definedName>
    <definedName name="fghji_1" localSheetId="15" hidden="1">{#N/A,#N/A,FALSE,"MO (2)"}</definedName>
    <definedName name="fghji_1" localSheetId="12" hidden="1">{#N/A,#N/A,FALSE,"MO (2)"}</definedName>
    <definedName name="fghji_1" localSheetId="18" hidden="1">{#N/A,#N/A,FALSE,"MO (2)"}</definedName>
    <definedName name="fghji_1" localSheetId="23" hidden="1">{#N/A,#N/A,FALSE,"MO (2)"}</definedName>
    <definedName name="fghji_1" localSheetId="16" hidden="1">{#N/A,#N/A,FALSE,"MO (2)"}</definedName>
    <definedName name="fghji_1" hidden="1">{#N/A,#N/A,FALSE,"MO (2)"}</definedName>
    <definedName name="figura1">"Figura 1"</definedName>
    <definedName name="FILLER.USINA">#REF!</definedName>
    <definedName name="Filtro" localSheetId="15">#REF!</definedName>
    <definedName name="Filtro">#REF!</definedName>
    <definedName name="fim" localSheetId="15">#REF!</definedName>
    <definedName name="fim">#REF!</definedName>
    <definedName name="FIM.TRECHO" localSheetId="15">#REF!</definedName>
    <definedName name="FIM.TRECHO">#REF!</definedName>
    <definedName name="FIM.TRECHO_P" localSheetId="15">#REF!</definedName>
    <definedName name="FIM.TRECHO_P">#REF!</definedName>
    <definedName name="fir" localSheetId="15">#REF!</definedName>
    <definedName name="fir">#REF!</definedName>
    <definedName name="FIRM">#REF!</definedName>
    <definedName name="FIRMA" localSheetId="15">#REF!</definedName>
    <definedName name="FIRMA">#REF!</definedName>
    <definedName name="FIRMA1" localSheetId="15">#REF!</definedName>
    <definedName name="FIRMA1">#REF!</definedName>
    <definedName name="FIRMA2" localSheetId="15">#REF!</definedName>
    <definedName name="FIRMA2">#REF!</definedName>
    <definedName name="FIRMA3" localSheetId="15">#REF!</definedName>
    <definedName name="FIRMA3">#REF!</definedName>
    <definedName name="FISCAL_21">#REF!</definedName>
    <definedName name="FISI">#REF!</definedName>
    <definedName name="fiv">#REF!</definedName>
    <definedName name="FLU" localSheetId="15">#REF!</definedName>
    <definedName name="FLU">#REF!</definedName>
    <definedName name="Fluência" localSheetId="15">#REF!</definedName>
    <definedName name="Fluência">#REF!</definedName>
    <definedName name="FM">"$#REF!.$E$31"</definedName>
    <definedName name="FMW">"$#REF!.$E$33"</definedName>
    <definedName name="FMWA">"$#REF!.$E$32"</definedName>
    <definedName name="FOG" localSheetId="15">#REF!</definedName>
    <definedName name="FOG">#REF!</definedName>
    <definedName name="FOLHA01" localSheetId="1" hidden="1">{#N/A,#N/A,TRUE,"Serviços"}</definedName>
    <definedName name="FOLHA01" localSheetId="4" hidden="1">{#N/A,#N/A,TRUE,"Serviços"}</definedName>
    <definedName name="FOLHA01" localSheetId="24" hidden="1">{#N/A,#N/A,TRUE,"Serviços"}</definedName>
    <definedName name="FOLHA01" localSheetId="25" hidden="1">{#N/A,#N/A,TRUE,"Serviços"}</definedName>
    <definedName name="FOLHA01" localSheetId="27" hidden="1">{#N/A,#N/A,TRUE,"Serviços"}</definedName>
    <definedName name="FOLHA01" localSheetId="20" hidden="1">{#N/A,#N/A,TRUE,"Serviços"}</definedName>
    <definedName name="FOLHA01" localSheetId="15" hidden="1">{#N/A,#N/A,TRUE,"Serviços"}</definedName>
    <definedName name="FOLHA01" localSheetId="18" hidden="1">{#N/A,#N/A,TRUE,"Serviços"}</definedName>
    <definedName name="FOLHA01" hidden="1">{#N/A,#N/A,TRUE,"Serviços"}</definedName>
    <definedName name="FOLHA011" localSheetId="18" hidden="1">{#N/A,#N/A,TRUE,"Serviços"}</definedName>
    <definedName name="FOLHA011" hidden="1">{#N/A,#N/A,TRUE,"Serviços"}</definedName>
    <definedName name="folha1" localSheetId="1" hidden="1">{#N/A,#N/A,TRUE,"Serviços"}</definedName>
    <definedName name="folha1" localSheetId="4" hidden="1">{#N/A,#N/A,TRUE,"Serviços"}</definedName>
    <definedName name="folha1" localSheetId="24" hidden="1">{#N/A,#N/A,TRUE,"Serviços"}</definedName>
    <definedName name="folha1" localSheetId="25" hidden="1">{#N/A,#N/A,TRUE,"Serviços"}</definedName>
    <definedName name="folha1" localSheetId="27" hidden="1">{#N/A,#N/A,TRUE,"Serviços"}</definedName>
    <definedName name="folha1" localSheetId="20" hidden="1">{#N/A,#N/A,TRUE,"Serviços"}</definedName>
    <definedName name="folha1" localSheetId="15" hidden="1">{#N/A,#N/A,TRUE,"Serviços"}</definedName>
    <definedName name="folha1" localSheetId="18" hidden="1">{#N/A,#N/A,TRUE,"Serviços"}</definedName>
    <definedName name="folha1" hidden="1">{#N/A,#N/A,TRUE,"Serviços"}</definedName>
    <definedName name="folha11" localSheetId="18" hidden="1">{#N/A,#N/A,TRUE,"Serviços"}</definedName>
    <definedName name="folha11" hidden="1">{#N/A,#N/A,TRUE,"Serviços"}</definedName>
    <definedName name="Folha2">#REF!</definedName>
    <definedName name="folha3">#REF!</definedName>
    <definedName name="folha4">#REF!</definedName>
    <definedName name="folha5">#REF!</definedName>
    <definedName name="FOOR" localSheetId="18" hidden="1">{#N/A,#N/A,FALSE,"Plan1"}</definedName>
    <definedName name="FOOR" hidden="1">{#N/A,#N/A,FALSE,"Plan1"}</definedName>
    <definedName name="FORMA">#REF!</definedName>
    <definedName name="FORMULÁRIO" localSheetId="18" hidden="1">{#N/A,#N/A,FALSE,"Plan1"}</definedName>
    <definedName name="FORMULÁRIO" hidden="1">{#N/A,#N/A,FALSE,"Plan1"}</definedName>
    <definedName name="formulas">#REF!,#REF!,#REF!,#REF!,#REF!,#REF!,#REF!,#REF!,#REF!,#REF!,#REF!,#REF!,#REF!,#REF!,#REF!,#REF!,#REF!,#REF!,#REF!,#REF!</definedName>
    <definedName name="FORN.CIM.USINA">#REF!</definedName>
    <definedName name="FORN_ACESS_EMISS" localSheetId="15">#REF!</definedName>
    <definedName name="FORN_ACESS_EMISS">#REF!</definedName>
    <definedName name="FORN_ACESS_EMISS2_M" localSheetId="15">#REF!</definedName>
    <definedName name="FORN_ACESS_EMISS2_M">#REF!</definedName>
    <definedName name="FORN_ACESS_EMISS3_M" localSheetId="15">#REF!</definedName>
    <definedName name="FORN_ACESS_EMISS3_M">#REF!</definedName>
    <definedName name="FORN_ACESS_REDE_COL" localSheetId="15">#REF!</definedName>
    <definedName name="FORN_ACESS_REDE_COL">#REF!</definedName>
    <definedName name="FORN_ACESSÓRIOS" localSheetId="15">#REF!</definedName>
    <definedName name="FORN_ACESSÓRIOS">#REF!</definedName>
    <definedName name="FORN_CON_EMISS3_M" localSheetId="15">#REF!</definedName>
    <definedName name="FORN_CON_EMISS3_M">#REF!</definedName>
    <definedName name="FORN_CONEX" localSheetId="15">#REF!</definedName>
    <definedName name="FORN_CONEX">#REF!</definedName>
    <definedName name="FORN_CONEX_EMISS" localSheetId="15">#REF!</definedName>
    <definedName name="FORN_CONEX_EMISS">#REF!</definedName>
    <definedName name="FORN_CONEX_PEÇAS" localSheetId="15">#REF!</definedName>
    <definedName name="FORN_CONEX_PEÇAS">#REF!</definedName>
    <definedName name="FORN_PEÇAS_EMISS2_M" localSheetId="15">#REF!</definedName>
    <definedName name="FORN_PEÇAS_EMISS2_M">#REF!</definedName>
    <definedName name="FORN_TUB_EMISS" localSheetId="15">#REF!</definedName>
    <definedName name="FORN_TUB_EMISS">#REF!</definedName>
    <definedName name="FORN_TUB_EMISS2_M" localSheetId="15">#REF!</definedName>
    <definedName name="FORN_TUB_EMISS2_M">#REF!</definedName>
    <definedName name="FORN_TUB_EMISS3_M" localSheetId="15">#REF!</definedName>
    <definedName name="FORN_TUB_EMISS3_M">#REF!</definedName>
    <definedName name="FORN_TUB_REDE_COL" localSheetId="15">#REF!</definedName>
    <definedName name="FORN_TUB_REDE_COL">#REF!</definedName>
    <definedName name="FORN_TUBU" localSheetId="15">#REF!</definedName>
    <definedName name="FORN_TUBU">#REF!</definedName>
    <definedName name="FORNEC_CAP20" localSheetId="15">#REF!</definedName>
    <definedName name="FORNEC_CAP20">#REF!</definedName>
    <definedName name="FORNEC_CM30" localSheetId="15">#REF!</definedName>
    <definedName name="FORNEC_CM30">#REF!</definedName>
    <definedName name="fornecer" localSheetId="15">#REF!</definedName>
    <definedName name="fornecer">#REF!</definedName>
    <definedName name="FORRO" localSheetId="18" hidden="1">{#N/A,#N/A,FALSE,"Plan1"}</definedName>
    <definedName name="FORRO" hidden="1">{#N/A,#N/A,FALSE,"Plan1"}</definedName>
    <definedName name="Fresagem01" localSheetId="18" hidden="1">{#N/A,#N/A,TRUE,"Serviços"}</definedName>
    <definedName name="Fresagem01" hidden="1">{#N/A,#N/A,TRUE,"Serviços"}</definedName>
    <definedName name="Fresagem011" localSheetId="18" hidden="1">{#N/A,#N/A,TRUE,"Serviços"}</definedName>
    <definedName name="Fresagem011" hidden="1">{#N/A,#N/A,TRUE,"Serviços"}</definedName>
    <definedName name="FRR" localSheetId="18" hidden="1">{#N/A,#N/A,FALSE,"Plan1"}</definedName>
    <definedName name="FRR" hidden="1">{#N/A,#N/A,FALSE,"Plan1"}</definedName>
    <definedName name="função" localSheetId="15">#REF!</definedName>
    <definedName name="função">#REF!</definedName>
    <definedName name="Fundação" localSheetId="15">#REF!</definedName>
    <definedName name="Fundação">#REF!</definedName>
    <definedName name="furador">#REF!</definedName>
    <definedName name="fwregwrgfd">#REF!</definedName>
    <definedName name="fx_horiz" localSheetId="15">#REF!</definedName>
    <definedName name="fx_horiz">#REF!</definedName>
    <definedName name="FxItensCkeckList">#REF!</definedName>
    <definedName name="FxNatureza">#REF!</definedName>
    <definedName name="FxServico">#REF!</definedName>
    <definedName name="g">#N/A</definedName>
    <definedName name="G_01" localSheetId="15">#REF!</definedName>
    <definedName name="G_01">#REF!</definedName>
    <definedName name="G_02" localSheetId="15">#REF!</definedName>
    <definedName name="G_02">#REF!</definedName>
    <definedName name="G_03" localSheetId="15">#REF!</definedName>
    <definedName name="G_03">#REF!</definedName>
    <definedName name="G_04" localSheetId="15">#REF!</definedName>
    <definedName name="G_04">#REF!</definedName>
    <definedName name="G_05" localSheetId="15">#REF!</definedName>
    <definedName name="G_05">#REF!</definedName>
    <definedName name="G_06" localSheetId="15">#REF!</definedName>
    <definedName name="G_06">#REF!</definedName>
    <definedName name="G_07" localSheetId="15">#REF!</definedName>
    <definedName name="G_07">#REF!</definedName>
    <definedName name="G_08" localSheetId="15">#REF!</definedName>
    <definedName name="G_08">#REF!</definedName>
    <definedName name="G_09" localSheetId="15">#REF!</definedName>
    <definedName name="G_09">#REF!</definedName>
    <definedName name="G_10" localSheetId="15">#REF!</definedName>
    <definedName name="G_10">#REF!</definedName>
    <definedName name="G_11" localSheetId="15">#REF!</definedName>
    <definedName name="G_11">#REF!</definedName>
    <definedName name="G_12" localSheetId="15">#REF!</definedName>
    <definedName name="G_12">#REF!</definedName>
    <definedName name="G_13" localSheetId="15">#REF!</definedName>
    <definedName name="G_13">#REF!</definedName>
    <definedName name="G_14" localSheetId="15">#REF!</definedName>
    <definedName name="G_14">#REF!</definedName>
    <definedName name="G_15" localSheetId="15">#REF!</definedName>
    <definedName name="G_15">#REF!</definedName>
    <definedName name="G_16" localSheetId="15">#REF!</definedName>
    <definedName name="G_16">#REF!</definedName>
    <definedName name="G_17" localSheetId="15">#REF!</definedName>
    <definedName name="G_17">#REF!</definedName>
    <definedName name="G_18" localSheetId="15">#REF!</definedName>
    <definedName name="G_18">#REF!</definedName>
    <definedName name="G_19" localSheetId="15">#REF!</definedName>
    <definedName name="G_19">#REF!</definedName>
    <definedName name="G_20" localSheetId="15">#REF!</definedName>
    <definedName name="G_20">#REF!</definedName>
    <definedName name="G_21" localSheetId="15">#REF!</definedName>
    <definedName name="G_21">#REF!</definedName>
    <definedName name="G_22" localSheetId="15">#REF!</definedName>
    <definedName name="G_22">#REF!</definedName>
    <definedName name="G_23" localSheetId="15">#REF!</definedName>
    <definedName name="G_23">#REF!</definedName>
    <definedName name="G_24" localSheetId="15">#REF!</definedName>
    <definedName name="G_24">#REF!</definedName>
    <definedName name="G_25" localSheetId="15">#REF!</definedName>
    <definedName name="G_25">#REF!</definedName>
    <definedName name="GAS">#REF!</definedName>
    <definedName name="gasol100">#REF!</definedName>
    <definedName name="GASOL2">#REF!</definedName>
    <definedName name="GASOLINA" localSheetId="15">#REF!</definedName>
    <definedName name="GASOLINA">#REF!</definedName>
    <definedName name="GAST">#REF!</definedName>
    <definedName name="GD" localSheetId="15">#REF!</definedName>
    <definedName name="GD">#REF!</definedName>
    <definedName name="GEOVANI" localSheetId="15">#REF!</definedName>
    <definedName name="GEOVANI">#REF!</definedName>
    <definedName name="GEOVANI_25" localSheetId="15">#REF!</definedName>
    <definedName name="GEOVANI_25">#REF!</definedName>
    <definedName name="GEOVANI2" localSheetId="15">#REF!</definedName>
    <definedName name="GEOVANI2">#REF!</definedName>
    <definedName name="GEOVANI2_25" localSheetId="15">#REF!</definedName>
    <definedName name="GEOVANI2_25">#REF!</definedName>
    <definedName name="geral" localSheetId="15">#REF!</definedName>
    <definedName name="geral">#REF!</definedName>
    <definedName name="gfgfgfg" localSheetId="18" hidden="1">{#N/A,#N/A,FALSE,"MO (2)"}</definedName>
    <definedName name="gfgfgfg" hidden="1">{#N/A,#N/A,FALSE,"MO (2)"}</definedName>
    <definedName name="gfgh" localSheetId="1" hidden="1">{#N/A,#N/A,FALSE,"MO (2)"}</definedName>
    <definedName name="gfgh" localSheetId="4" hidden="1">{#N/A,#N/A,FALSE,"MO (2)"}</definedName>
    <definedName name="gfgh" localSheetId="24" hidden="1">{#N/A,#N/A,FALSE,"MO (2)"}</definedName>
    <definedName name="gfgh" localSheetId="25" hidden="1">{#N/A,#N/A,FALSE,"MO (2)"}</definedName>
    <definedName name="gfgh" localSheetId="27" hidden="1">{#N/A,#N/A,FALSE,"MO (2)"}</definedName>
    <definedName name="gfgh" localSheetId="20" hidden="1">{#N/A,#N/A,FALSE,"MO (2)"}</definedName>
    <definedName name="gfgh" localSheetId="15" hidden="1">{#N/A,#N/A,FALSE,"MO (2)"}</definedName>
    <definedName name="gfgh" localSheetId="12" hidden="1">{#N/A,#N/A,FALSE,"MO (2)"}</definedName>
    <definedName name="gfgh" localSheetId="18" hidden="1">{#N/A,#N/A,FALSE,"MO (2)"}</definedName>
    <definedName name="gfgh" localSheetId="23" hidden="1">{#N/A,#N/A,FALSE,"MO (2)"}</definedName>
    <definedName name="gfgh" localSheetId="16" hidden="1">{#N/A,#N/A,FALSE,"MO (2)"}</definedName>
    <definedName name="gfgh" hidden="1">{#N/A,#N/A,FALSE,"MO (2)"}</definedName>
    <definedName name="gfgh_1" localSheetId="1" hidden="1">{#N/A,#N/A,FALSE,"MO (2)"}</definedName>
    <definedName name="gfgh_1" localSheetId="4" hidden="1">{#N/A,#N/A,FALSE,"MO (2)"}</definedName>
    <definedName name="gfgh_1" localSheetId="24" hidden="1">{#N/A,#N/A,FALSE,"MO (2)"}</definedName>
    <definedName name="gfgh_1" localSheetId="25" hidden="1">{#N/A,#N/A,FALSE,"MO (2)"}</definedName>
    <definedName name="gfgh_1" localSheetId="27" hidden="1">{#N/A,#N/A,FALSE,"MO (2)"}</definedName>
    <definedName name="gfgh_1" localSheetId="20" hidden="1">{#N/A,#N/A,FALSE,"MO (2)"}</definedName>
    <definedName name="gfgh_1" localSheetId="15" hidden="1">{#N/A,#N/A,FALSE,"MO (2)"}</definedName>
    <definedName name="gfgh_1" localSheetId="12" hidden="1">{#N/A,#N/A,FALSE,"MO (2)"}</definedName>
    <definedName name="gfgh_1" localSheetId="18" hidden="1">{#N/A,#N/A,FALSE,"MO (2)"}</definedName>
    <definedName name="gfgh_1" localSheetId="23" hidden="1">{#N/A,#N/A,FALSE,"MO (2)"}</definedName>
    <definedName name="gfgh_1" localSheetId="16" hidden="1">{#N/A,#N/A,FALSE,"MO (2)"}</definedName>
    <definedName name="gfgh_1" hidden="1">{#N/A,#N/A,FALSE,"MO (2)"}</definedName>
    <definedName name="ghghgh" localSheetId="18" hidden="1">{#N/A,#N/A,FALSE,"MO (2)"}</definedName>
    <definedName name="ghghgh" hidden="1">{#N/A,#N/A,FALSE,"MO (2)"}</definedName>
    <definedName name="GHJ" localSheetId="18" hidden="1">{#N/A,#N/A,FALSE,"MO (2)"}</definedName>
    <definedName name="GHJ" hidden="1">{#N/A,#N/A,FALSE,"MO (2)"}</definedName>
    <definedName name="ghkghkghk">#REF!</definedName>
    <definedName name="gjgh" localSheetId="18" hidden="1">{#N/A,#N/A,FALSE,"GERAL";#N/A,#N/A,FALSE,"012-96";#N/A,#N/A,FALSE,"018-96";#N/A,#N/A,FALSE,"027-96";#N/A,#N/A,FALSE,"059-96";#N/A,#N/A,FALSE,"076-96";#N/A,#N/A,FALSE,"019-97";#N/A,#N/A,FALSE,"021-97";#N/A,#N/A,FALSE,"022-97";#N/A,#N/A,FALSE,"028-97"}</definedName>
    <definedName name="gjgh" hidden="1">{#N/A,#N/A,FALSE,"GERAL";#N/A,#N/A,FALSE,"012-96";#N/A,#N/A,FALSE,"018-96";#N/A,#N/A,FALSE,"027-96";#N/A,#N/A,FALSE,"059-96";#N/A,#N/A,FALSE,"076-96";#N/A,#N/A,FALSE,"019-97";#N/A,#N/A,FALSE,"021-97";#N/A,#N/A,FALSE,"022-97";#N/A,#N/A,FALSE,"028-97"}</definedName>
    <definedName name="GP">"'file:///D:/Meus documentos/ANASTÁCIO/SERCEL/BR262990800.xls'#$SERVIÇOS.$#REF!$#REF!"</definedName>
    <definedName name="GRAMA" localSheetId="15">#REF!</definedName>
    <definedName name="GRAMA">#REF!</definedName>
    <definedName name="grama_mudas" localSheetId="15">#REF!</definedName>
    <definedName name="grama_mudas">#REF!</definedName>
    <definedName name="_xlnm.Recorder" localSheetId="15">#REF!</definedName>
    <definedName name="_xlnm.Recorder">#REF!</definedName>
    <definedName name="gsdgs">#N/A</definedName>
    <definedName name="gtryfj" localSheetId="1" hidden="1">{#N/A,#N/A,TRUE,"Serviços"}</definedName>
    <definedName name="gtryfj" localSheetId="4" hidden="1">{#N/A,#N/A,TRUE,"Serviços"}</definedName>
    <definedName name="gtryfj" localSheetId="24" hidden="1">{#N/A,#N/A,TRUE,"Serviços"}</definedName>
    <definedName name="gtryfj" localSheetId="25" hidden="1">{#N/A,#N/A,TRUE,"Serviços"}</definedName>
    <definedName name="gtryfj" localSheetId="27" hidden="1">{#N/A,#N/A,TRUE,"Serviços"}</definedName>
    <definedName name="gtryfj" localSheetId="20" hidden="1">{#N/A,#N/A,TRUE,"Serviços"}</definedName>
    <definedName name="gtryfj" localSheetId="15" hidden="1">{#N/A,#N/A,TRUE,"Serviços"}</definedName>
    <definedName name="gtryfj" localSheetId="18" hidden="1">{#N/A,#N/A,TRUE,"Serviços"}</definedName>
    <definedName name="gtryfj" hidden="1">{#N/A,#N/A,TRUE,"Serviços"}</definedName>
    <definedName name="gtryfjj" localSheetId="18" hidden="1">{#N/A,#N/A,TRUE,"Serviços"}</definedName>
    <definedName name="gtryfjj" hidden="1">{#N/A,#N/A,TRUE,"Serviços"}</definedName>
    <definedName name="GUEDES">#REF!</definedName>
    <definedName name="Guia">"Figura 1"</definedName>
    <definedName name="Guias" localSheetId="15">#REF!</definedName>
    <definedName name="Guias">#REF!</definedName>
    <definedName name="HGRET" localSheetId="18" hidden="1">{"'RR'!$A$2:$E$81"}</definedName>
    <definedName name="HGRET" hidden="1">{"'RR'!$A$2:$E$81"}</definedName>
    <definedName name="hhhhh" localSheetId="18" hidden="1">{#N/A,#N/A,FALSE,"MO (2)"}</definedName>
    <definedName name="hhhhh" hidden="1">{#N/A,#N/A,FALSE,"MO (2)"}</definedName>
    <definedName name="hi" localSheetId="15">#REF!</definedName>
    <definedName name="hi">#REF!</definedName>
    <definedName name="hi_10" localSheetId="15">#REF!</definedName>
    <definedName name="hi_10">#REF!</definedName>
    <definedName name="hi_25" localSheetId="15">#REF!</definedName>
    <definedName name="hi_25">#REF!</definedName>
    <definedName name="hi_27" localSheetId="15">#REF!</definedName>
    <definedName name="hi_27">#REF!</definedName>
    <definedName name="hi_29" localSheetId="15">#REF!</definedName>
    <definedName name="hi_29">#REF!</definedName>
    <definedName name="hi_9" localSheetId="15">#REF!</definedName>
    <definedName name="hi_9">#REF!</definedName>
    <definedName name="hid">#REF!</definedName>
    <definedName name="HIDRÁULICA">#N/A</definedName>
    <definedName name="HJ" localSheetId="15">#REF!</definedName>
    <definedName name="HJ" localSheetId="18">#REF!</definedName>
    <definedName name="HJ">#REF!</definedName>
    <definedName name="HJ_12">#NAME?</definedName>
    <definedName name="HJ_3">NA()</definedName>
    <definedName name="HJ_9">NA()</definedName>
    <definedName name="hjhjhjhju" localSheetId="18" hidden="1">{#N/A,#N/A,FALSE,"MO (2)"}</definedName>
    <definedName name="hjhjhjhju" hidden="1">{#N/A,#N/A,FALSE,"MO (2)"}</definedName>
    <definedName name="HoraManha1">#REF!</definedName>
    <definedName name="HoraManha2">#REF!</definedName>
    <definedName name="HoraTarde1">#REF!</definedName>
    <definedName name="HoraTarde2">#REF!</definedName>
    <definedName name="HP" localSheetId="15">#REF!</definedName>
    <definedName name="HP">#REF!</definedName>
    <definedName name="HP.1" localSheetId="15">#REF!</definedName>
    <definedName name="HP.1">#REF!</definedName>
    <definedName name="hr">#REF!</definedName>
    <definedName name="ht">#REF!</definedName>
    <definedName name="htm" localSheetId="18" hidden="1">{"'Plan1 (2)'!$A$5:$F$63"}</definedName>
    <definedName name="htm" hidden="1">{"'Plan1 (2)'!$A$5:$F$63"}</definedName>
    <definedName name="HTML_CodePage" hidden="1">1252</definedName>
    <definedName name="HTML_Control" localSheetId="18" hidden="1">{"'Plan1 (2)'!$A$5:$F$63"}</definedName>
    <definedName name="HTML_Control" hidden="1">{"'Plan1 (2)'!$A$5:$F$63"}</definedName>
    <definedName name="HTML_Description" hidden="1">""</definedName>
    <definedName name="HTML_Email" hidden="1">""</definedName>
    <definedName name="HTML_Header" hidden="1">"Plan1 (2)"</definedName>
    <definedName name="HTML_LastUpdate" hidden="1">"04/03/1999"</definedName>
    <definedName name="HTML_LineAfter" hidden="1">FALSE</definedName>
    <definedName name="HTML_LineBefore" hidden="1">FALSE</definedName>
    <definedName name="HTML_Name" hidden="1">"Ana Tereza"</definedName>
    <definedName name="HTML_OBDlg2" hidden="1">TRUE</definedName>
    <definedName name="HTML_OBDlg4" hidden="1">TRUE</definedName>
    <definedName name="HTML_OS" hidden="1">0</definedName>
    <definedName name="HTML_PathFile" hidden="1">"V:\Operacao de Maquinas\INTERDIÇÕES NA VP\MeuHTML.htm"</definedName>
    <definedName name="HTML_Title" hidden="1">"TabLoc"</definedName>
    <definedName name="i" localSheetId="18" hidden="1">{#N/A,#N/A,FALSE,"MO (2)"}</definedName>
    <definedName name="i" hidden="1">{#N/A,#N/A,FALSE,"MO (2)"}</definedName>
    <definedName name="ic">#REF!</definedName>
    <definedName name="ic_10">#REF!</definedName>
    <definedName name="ic_6">#REF!</definedName>
    <definedName name="idem" localSheetId="15">#REF!</definedName>
    <definedName name="idem">#REF!</definedName>
    <definedName name="IM" localSheetId="15">#REF!</definedName>
    <definedName name="IM">#REF!</definedName>
    <definedName name="IM_25" localSheetId="15">#REF!</definedName>
    <definedName name="IM_25">#REF!</definedName>
    <definedName name="IMP" localSheetId="15">#REF!</definedName>
    <definedName name="IMP">#REF!</definedName>
    <definedName name="IMPERMEABILIZA">#N/A</definedName>
    <definedName name="Import.DescLote" localSheetId="4" hidden="1">#REF!</definedName>
    <definedName name="Import.DescLote" localSheetId="15" hidden="1">#REF!</definedName>
    <definedName name="Import.DescLote" hidden="1">#REF!</definedName>
    <definedName name="Import.PLE" localSheetId="18">OFFSET(#REF!,1,0):OFFSET(#REF!,-1,0)</definedName>
    <definedName name="Import.PLE">OFFSET(#REF!,1,0):OFFSET(#REF!,-1,0)</definedName>
    <definedName name="Import.PLQ" localSheetId="18">OFFSET(#REF!,1,0):OFFSET(#REF!,-1,0)</definedName>
    <definedName name="Import.PLQ">OFFSET(#REF!,1,0):OFFSET(#REF!,-1,0)</definedName>
    <definedName name="IMPRIMAÇÃO" localSheetId="15">#REF!</definedName>
    <definedName name="IMPRIMAÇÃO">#REF!</definedName>
    <definedName name="IND" localSheetId="15">#REF!</definedName>
    <definedName name="IND">#REF!</definedName>
    <definedName name="INDI" localSheetId="15">#REF!</definedName>
    <definedName name="INDI">#REF!</definedName>
    <definedName name="indi_33" localSheetId="15">#REF!</definedName>
    <definedName name="indi_33">#REF!</definedName>
    <definedName name="INDI22" localSheetId="15">#REF!</definedName>
    <definedName name="INDI22">#REF!</definedName>
    <definedName name="indice_2" localSheetId="15">#REF!</definedName>
    <definedName name="indice_2">#REF!</definedName>
    <definedName name="INDICEI1" localSheetId="15">#REF!</definedName>
    <definedName name="INDICEI1">#REF!</definedName>
    <definedName name="inic" localSheetId="15">#REF!</definedName>
    <definedName name="inic">#REF!</definedName>
    <definedName name="INIC.TRECHO" localSheetId="15">#REF!</definedName>
    <definedName name="INIC.TRECHO">#REF!</definedName>
    <definedName name="INIC.TRECHO_P" localSheetId="15">#REF!</definedName>
    <definedName name="INIC.TRECHO_P">#REF!</definedName>
    <definedName name="INICIO">#REF!</definedName>
    <definedName name="início" localSheetId="15">#REF!</definedName>
    <definedName name="início">#REF!</definedName>
    <definedName name="Inst_elétricas" localSheetId="15">#REF!</definedName>
    <definedName name="Inst_elétricas">#REF!</definedName>
    <definedName name="Inst_hidráulicas" localSheetId="15">#REF!</definedName>
    <definedName name="Inst_hidráulicas">#REF!</definedName>
    <definedName name="INST_PROVISÓRIAS" localSheetId="15">#REF!</definedName>
    <definedName name="INST_PROVISÓRIAS">#REF!</definedName>
    <definedName name="Inst_sanitárias" localSheetId="15">#REF!</definedName>
    <definedName name="Inst_sanitárias">#REF!</definedName>
    <definedName name="INSUMO">#REF!</definedName>
    <definedName name="Insumos" localSheetId="1" hidden="1">#REF!</definedName>
    <definedName name="Insumos" localSheetId="2" hidden="1">#REF!</definedName>
    <definedName name="Insumos" localSheetId="3" hidden="1">#REF!</definedName>
    <definedName name="Insumos" localSheetId="4" hidden="1">#REF!</definedName>
    <definedName name="Insumos" localSheetId="5" hidden="1">#REF!</definedName>
    <definedName name="Insumos" localSheetId="6" hidden="1">#REF!</definedName>
    <definedName name="Insumos" localSheetId="24" hidden="1">#REF!</definedName>
    <definedName name="Insumos" localSheetId="25" hidden="1">#REF!</definedName>
    <definedName name="Insumos" localSheetId="27" hidden="1">#REF!</definedName>
    <definedName name="Insumos" localSheetId="20" hidden="1">#REF!</definedName>
    <definedName name="Insumos" localSheetId="15" hidden="1">#REF!</definedName>
    <definedName name="Insumos" localSheetId="22" hidden="1">#REF!</definedName>
    <definedName name="Insumos" hidden="1">#REF!</definedName>
    <definedName name="INSUMOSBETUMINOSOS">#REF!</definedName>
    <definedName name="Intran" localSheetId="18" hidden="1">{"'teste'!$B$2:$R$49"}</definedName>
    <definedName name="Intran" hidden="1">{"'teste'!$B$2:$R$49"}</definedName>
    <definedName name="IPAV">#REF!</definedName>
    <definedName name="Item">#REF!</definedName>
    <definedName name="item1">#REF!</definedName>
    <definedName name="Itens" localSheetId="1" hidden="1">#REF!</definedName>
    <definedName name="Itens" localSheetId="2" hidden="1">#REF!</definedName>
    <definedName name="Itens" localSheetId="3" hidden="1">#REF!</definedName>
    <definedName name="Itens" localSheetId="4" hidden="1">#REF!</definedName>
    <definedName name="Itens" localSheetId="5" hidden="1">#REF!</definedName>
    <definedName name="Itens" localSheetId="6" hidden="1">#REF!</definedName>
    <definedName name="Itens" localSheetId="24" hidden="1">#REF!</definedName>
    <definedName name="Itens" localSheetId="25" hidden="1">#REF!</definedName>
    <definedName name="Itens" localSheetId="27" hidden="1">#REF!</definedName>
    <definedName name="Itens" localSheetId="20" hidden="1">#REF!</definedName>
    <definedName name="Itens" localSheetId="15" hidden="1">#REF!</definedName>
    <definedName name="Itens" localSheetId="22" hidden="1">#REF!</definedName>
    <definedName name="Itens" hidden="1">#REF!</definedName>
    <definedName name="izidro">#REF!</definedName>
    <definedName name="j" localSheetId="18" hidden="1">{#N/A,#N/A,FALSE,"MO (2)"}</definedName>
    <definedName name="j" hidden="1">{#N/A,#N/A,FALSE,"MO (2)"}</definedName>
    <definedName name="jack">{"um","mil","um milhão","um bilhão","um trilhão"}</definedName>
    <definedName name="JAN00" localSheetId="15">#REF!</definedName>
    <definedName name="JAN00">#REF!</definedName>
    <definedName name="JANEIRO2003" localSheetId="1" hidden="1">{#N/A,#N/A,TRUE,"Serviços"}</definedName>
    <definedName name="JANEIRO2003" localSheetId="4" hidden="1">{#N/A,#N/A,TRUE,"Serviços"}</definedName>
    <definedName name="JANEIRO2003" localSheetId="24" hidden="1">{#N/A,#N/A,TRUE,"Serviços"}</definedName>
    <definedName name="JANEIRO2003" localSheetId="25" hidden="1">{#N/A,#N/A,TRUE,"Serviços"}</definedName>
    <definedName name="JANEIRO2003" localSheetId="27" hidden="1">{#N/A,#N/A,TRUE,"Serviços"}</definedName>
    <definedName name="JANEIRO2003" localSheetId="20" hidden="1">{#N/A,#N/A,TRUE,"Serviços"}</definedName>
    <definedName name="JANEIRO2003" localSheetId="15" hidden="1">{#N/A,#N/A,TRUE,"Serviços"}</definedName>
    <definedName name="JANEIRO2003" localSheetId="18" hidden="1">{#N/A,#N/A,TRUE,"Serviços"}</definedName>
    <definedName name="JANEIRO2003" hidden="1">{#N/A,#N/A,TRUE,"Serviços"}</definedName>
    <definedName name="JANEIRO20033" localSheetId="18" hidden="1">{#N/A,#N/A,TRUE,"Serviços"}</definedName>
    <definedName name="JANEIRO20033" hidden="1">{#N/A,#N/A,TRUE,"Serviços"}</definedName>
    <definedName name="JAZ" localSheetId="15">#REF!</definedName>
    <definedName name="JAZ">#REF!</definedName>
    <definedName name="JAZIDA" localSheetId="15">#REF!</definedName>
    <definedName name="JAZIDA">#REF!</definedName>
    <definedName name="JAZIDA.PISTA">#REF!</definedName>
    <definedName name="JAZIDA.USINA" localSheetId="15">#REF!</definedName>
    <definedName name="JAZIDA.USINA">#REF!</definedName>
    <definedName name="JAZIDAS">#REF!</definedName>
    <definedName name="JF">#REF!</definedName>
    <definedName name="jhjhjhjju" localSheetId="18" hidden="1">{#N/A,#N/A,FALSE,"MO (2)"}</definedName>
    <definedName name="jhjhjhjju" hidden="1">{#N/A,#N/A,FALSE,"MO (2)"}</definedName>
    <definedName name="jjjjj" localSheetId="18" hidden="1">{#N/A,#N/A,FALSE,"MO (2)"}</definedName>
    <definedName name="jjjjj" hidden="1">{#N/A,#N/A,FALSE,"MO (2)"}</definedName>
    <definedName name="JJJJJL" localSheetId="18" hidden="1">{#N/A,#N/A,FALSE,"MO (2)"}</definedName>
    <definedName name="JJJJJL" hidden="1">{#N/A,#N/A,FALSE,"MO (2)"}</definedName>
    <definedName name="jk" localSheetId="18">#REF!</definedName>
    <definedName name="jk">#REF!</definedName>
    <definedName name="jkhjkjkg" localSheetId="1" hidden="1">{#N/A,#N/A,FALSE,"MO (2)"}</definedName>
    <definedName name="jkhjkjkg" localSheetId="4" hidden="1">{#N/A,#N/A,FALSE,"MO (2)"}</definedName>
    <definedName name="jkhjkjkg" localSheetId="24" hidden="1">{#N/A,#N/A,FALSE,"MO (2)"}</definedName>
    <definedName name="jkhjkjkg" localSheetId="25" hidden="1">{#N/A,#N/A,FALSE,"MO (2)"}</definedName>
    <definedName name="jkhjkjkg" localSheetId="27" hidden="1">{#N/A,#N/A,FALSE,"MO (2)"}</definedName>
    <definedName name="jkhjkjkg" localSheetId="20" hidden="1">{#N/A,#N/A,FALSE,"MO (2)"}</definedName>
    <definedName name="jkhjkjkg" localSheetId="15" hidden="1">{#N/A,#N/A,FALSE,"MO (2)"}</definedName>
    <definedName name="jkhjkjkg" localSheetId="12" hidden="1">{#N/A,#N/A,FALSE,"MO (2)"}</definedName>
    <definedName name="jkhjkjkg" localSheetId="18" hidden="1">{#N/A,#N/A,FALSE,"MO (2)"}</definedName>
    <definedName name="jkhjkjkg" localSheetId="23" hidden="1">{#N/A,#N/A,FALSE,"MO (2)"}</definedName>
    <definedName name="jkhjkjkg" localSheetId="16" hidden="1">{#N/A,#N/A,FALSE,"MO (2)"}</definedName>
    <definedName name="jkhjkjkg" hidden="1">{#N/A,#N/A,FALSE,"MO (2)"}</definedName>
    <definedName name="jkhjkjkg_1" localSheetId="1" hidden="1">{#N/A,#N/A,FALSE,"MO (2)"}</definedName>
    <definedName name="jkhjkjkg_1" localSheetId="4" hidden="1">{#N/A,#N/A,FALSE,"MO (2)"}</definedName>
    <definedName name="jkhjkjkg_1" localSheetId="24" hidden="1">{#N/A,#N/A,FALSE,"MO (2)"}</definedName>
    <definedName name="jkhjkjkg_1" localSheetId="25" hidden="1">{#N/A,#N/A,FALSE,"MO (2)"}</definedName>
    <definedName name="jkhjkjkg_1" localSheetId="27" hidden="1">{#N/A,#N/A,FALSE,"MO (2)"}</definedName>
    <definedName name="jkhjkjkg_1" localSheetId="20" hidden="1">{#N/A,#N/A,FALSE,"MO (2)"}</definedName>
    <definedName name="jkhjkjkg_1" localSheetId="15" hidden="1">{#N/A,#N/A,FALSE,"MO (2)"}</definedName>
    <definedName name="jkhjkjkg_1" localSheetId="12" hidden="1">{#N/A,#N/A,FALSE,"MO (2)"}</definedName>
    <definedName name="jkhjkjkg_1" localSheetId="18" hidden="1">{#N/A,#N/A,FALSE,"MO (2)"}</definedName>
    <definedName name="jkhjkjkg_1" localSheetId="23" hidden="1">{#N/A,#N/A,FALSE,"MO (2)"}</definedName>
    <definedName name="jkhjkjkg_1" localSheetId="16" hidden="1">{#N/A,#N/A,FALSE,"MO (2)"}</definedName>
    <definedName name="jkhjkjkg_1" hidden="1">{#N/A,#N/A,FALSE,"MO (2)"}</definedName>
    <definedName name="jo" localSheetId="18" hidden="1">{#N/A,#N/A,FALSE,"MO (2)"}</definedName>
    <definedName name="jo" hidden="1">{#N/A,#N/A,FALSE,"MO (2)"}</definedName>
    <definedName name="JOAO" localSheetId="18"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AO1" localSheetId="18" hidden="1">{#N/A,#N/A,FALSE,"LEVFER V2 P";#N/A,#N/A,FALSE,"LEVFER V2 P10%"}</definedName>
    <definedName name="JOAO1" hidden="1">{#N/A,#N/A,FALSE,"LEVFER V2 P";#N/A,#N/A,FALSE,"LEVFER V2 P10%"}</definedName>
    <definedName name="JOSE">#REF!</definedName>
    <definedName name="JR_PAGE_ANCHOR_0_1">#REF!</definedName>
    <definedName name="juca" localSheetId="18"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n00" localSheetId="15">#REF!</definedName>
    <definedName name="jun00">#REF!</definedName>
    <definedName name="K" hidden="1">#REF!</definedName>
    <definedName name="kdren" localSheetId="15">#REF!</definedName>
    <definedName name="kdren">#REF!</definedName>
    <definedName name="kdrena" localSheetId="15">#REF!</definedName>
    <definedName name="kdrena">#REF!</definedName>
    <definedName name="kkkkkk" localSheetId="18" hidden="1">{#N/A,#N/A,FALSE,"MO (2)"}</definedName>
    <definedName name="kkkkkk" hidden="1">{#N/A,#N/A,FALSE,"MO (2)"}</definedName>
    <definedName name="KLKLK_2">NA()</definedName>
    <definedName name="klklklkl" localSheetId="18" hidden="1">{#N/A,#N/A,FALSE,"MO (2)"}</definedName>
    <definedName name="klklklkl" hidden="1">{#N/A,#N/A,FALSE,"MO (2)"}</definedName>
    <definedName name="Km" localSheetId="15">#REF!</definedName>
    <definedName name="Km">#REF!</definedName>
    <definedName name="KM_AREAL" localSheetId="15">#REF!</definedName>
    <definedName name="KM_AREAL">#REF!</definedName>
    <definedName name="KM_CBUQ" localSheetId="15">#REF!</definedName>
    <definedName name="KM_CBUQ">#REF!</definedName>
    <definedName name="KM_CIMENTO" localSheetId="15">#REF!</definedName>
    <definedName name="KM_CIMENTO">#REF!</definedName>
    <definedName name="KM_CIMENTO_P" localSheetId="15">#REF!</definedName>
    <definedName name="KM_CIMENTO_P">#REF!</definedName>
    <definedName name="KM_FIM_TRAV.URBANA" localSheetId="15">#REF!</definedName>
    <definedName name="KM_FIM_TRAV.URBANA">#REF!</definedName>
    <definedName name="KM_INÍCIO_TRAV.URBANA" localSheetId="15">#REF!</definedName>
    <definedName name="KM_INÍCIO_TRAV.URBANA">#REF!</definedName>
    <definedName name="koae" localSheetId="15">#REF!</definedName>
    <definedName name="koae">#REF!</definedName>
    <definedName name="kpavi" localSheetId="15">#REF!</definedName>
    <definedName name="kpavi">#REF!</definedName>
    <definedName name="KSIN" localSheetId="15">#REF!</definedName>
    <definedName name="KSIN">#REF!</definedName>
    <definedName name="ksinal" localSheetId="15">#REF!</definedName>
    <definedName name="ksinal">#REF!</definedName>
    <definedName name="kterra" localSheetId="15">#REF!</definedName>
    <definedName name="kterra">#REF!</definedName>
    <definedName name="la" localSheetId="1" hidden="1">{#N/A,#N/A,FALSE,"MO (2)"}</definedName>
    <definedName name="la" localSheetId="4" hidden="1">{#N/A,#N/A,FALSE,"MO (2)"}</definedName>
    <definedName name="la" localSheetId="24" hidden="1">{#N/A,#N/A,FALSE,"MO (2)"}</definedName>
    <definedName name="la" localSheetId="25" hidden="1">{#N/A,#N/A,FALSE,"MO (2)"}</definedName>
    <definedName name="la" localSheetId="27" hidden="1">{#N/A,#N/A,FALSE,"MO (2)"}</definedName>
    <definedName name="la" localSheetId="20" hidden="1">{#N/A,#N/A,FALSE,"MO (2)"}</definedName>
    <definedName name="la" localSheetId="15" hidden="1">{#N/A,#N/A,FALSE,"MO (2)"}</definedName>
    <definedName name="la" localSheetId="18" hidden="1">{#N/A,#N/A,FALSE,"MO (2)"}</definedName>
    <definedName name="la" localSheetId="23" hidden="1">{#N/A,#N/A,FALSE,"MO (2)"}</definedName>
    <definedName name="la" hidden="1">{#N/A,#N/A,FALSE,"MO (2)"}</definedName>
    <definedName name="la_1" localSheetId="18" hidden="1">{#N/A,#N/A,FALSE,"MO (2)"}</definedName>
    <definedName name="la_1" hidden="1">{#N/A,#N/A,FALSE,"MO (2)"}</definedName>
    <definedName name="lab" localSheetId="18" hidden="1">{#N/A,#N/A,TRUE,"Serviços"}</definedName>
    <definedName name="lab" hidden="1">{#N/A,#N/A,TRUE,"Serviços"}</definedName>
    <definedName name="labb" localSheetId="18" hidden="1">{#N/A,#N/A,TRUE,"Serviços"}</definedName>
    <definedName name="labb" hidden="1">{#N/A,#N/A,TRUE,"Serviços"}</definedName>
    <definedName name="LAG2_13">#REF!</definedName>
    <definedName name="LAG2_39">#REF!</definedName>
    <definedName name="LAG2_6">#REF!</definedName>
    <definedName name="LARANJEIRAS">#REF!</definedName>
    <definedName name="Largura_da_Faixa_de_Tráfego___..........." localSheetId="15">#REF!</definedName>
    <definedName name="Largura_da_Faixa_de_Tráfego___...........">#REF!</definedName>
    <definedName name="LASTRO">#N/A</definedName>
    <definedName name="LASTRO_CONCRETO" localSheetId="15">#REF!</definedName>
    <definedName name="LASTRO_CONCRETO">#REF!</definedName>
    <definedName name="LASTRO_EMISS3_S" localSheetId="15">#REF!</definedName>
    <definedName name="LASTRO_EMISS3_S">#REF!</definedName>
    <definedName name="LDD">"'file:///D:/Meus documentos/ANASTÁCIO/SERCEL/BR262990800.xls'#$SERVIÇOS.$#REF!$#REF!"</definedName>
    <definedName name="LDI">"$#REF!.$J$#REF!"</definedName>
    <definedName name="ldiasf">#REF!</definedName>
    <definedName name="LE">E</definedName>
    <definedName name="lev" localSheetId="15">#REF!</definedName>
    <definedName name="lev">#REF!</definedName>
    <definedName name="LEVANTAMENTO" localSheetId="15">#REF!</definedName>
    <definedName name="LEVANTAMENTO">#REF!</definedName>
    <definedName name="LIG_PRED_SERV" localSheetId="15">#REF!</definedName>
    <definedName name="LIG_PRED_SERV">#REF!</definedName>
    <definedName name="LIG_PREDIAIS_MAT" localSheetId="15">#REF!</definedName>
    <definedName name="LIG_PREDIAIS_MAT">#REF!</definedName>
    <definedName name="LIGAÇÃO_PREDIAL_MATERIAL">#REF!</definedName>
    <definedName name="LIGAÇÃO_PREDIAL_SERVIÇOS">#REF!</definedName>
    <definedName name="LIGAÇÕES" localSheetId="15">#REF!</definedName>
    <definedName name="LIGAÇÕES">#REF!</definedName>
    <definedName name="LIGANT">#REF!</definedName>
    <definedName name="LILASDRENA" localSheetId="15">#REF!</definedName>
    <definedName name="LILASDRENA">#REF!</definedName>
    <definedName name="LILASDRENA_25" localSheetId="15">#REF!</definedName>
    <definedName name="LILASDRENA_25">#REF!</definedName>
    <definedName name="LINEAR" localSheetId="18" hidden="1">{#N/A,#N/A,TRUE,"Serviços"}</definedName>
    <definedName name="LINEAR" hidden="1">{#N/A,#N/A,TRUE,"Serviços"}</definedName>
    <definedName name="LINEAR001" localSheetId="18" hidden="1">{#N/A,#N/A,TRUE,"Serviços"}</definedName>
    <definedName name="LINEAR001" hidden="1">{#N/A,#N/A,TRUE,"Serviços"}</definedName>
    <definedName name="lista_atual">#REF!</definedName>
    <definedName name="listaClasse">#REF!</definedName>
    <definedName name="ListaMes">#REF!</definedName>
    <definedName name="ListaRelevo">#REF!</definedName>
    <definedName name="LKLKEOVNSDNKI" localSheetId="18" hidden="1">SUM(IF(#REF! =#REF!,(#REF!)*(#REF!="MP")))</definedName>
    <definedName name="LKLKEOVNSDNKI" hidden="1">SUM(IF(#REF! =#REF!,(#REF!)*(#REF!="MP")))</definedName>
    <definedName name="llllllll">#N/A</definedName>
    <definedName name="llllllll_2">#N/A</definedName>
    <definedName name="llllllll_24" localSheetId="18">#REF!</definedName>
    <definedName name="llllllll_24">#REF!</definedName>
    <definedName name="llllllll_25">#N/A</definedName>
    <definedName name="llllllll_26">#N/A</definedName>
    <definedName name="llllllll_27">#N/A</definedName>
    <definedName name="loc" localSheetId="15">#REF!</definedName>
    <definedName name="loc">#REF!</definedName>
    <definedName name="LOC_EMISS3" localSheetId="15">#REF!</definedName>
    <definedName name="LOC_EMISS3">#REF!</definedName>
    <definedName name="LOCAÇÃO" localSheetId="15">#REF!</definedName>
    <definedName name="LOCAÇÃO">#REF!</definedName>
    <definedName name="LOCAÇÃO_EMISS" localSheetId="15">#REF!</definedName>
    <definedName name="LOCAÇÃO_EMISS">#REF!</definedName>
    <definedName name="LOCAÇÃO_EMISS2" localSheetId="15">#REF!</definedName>
    <definedName name="LOCAÇÃO_EMISS2">#REF!</definedName>
    <definedName name="local" localSheetId="15">#REF!</definedName>
    <definedName name="local">#REF!</definedName>
    <definedName name="LOCAL1">#REF!</definedName>
    <definedName name="LOCALIDADE">#REF!</definedName>
    <definedName name="LOGOTIPO">"Figura 3"</definedName>
    <definedName name="LOTA" localSheetId="15">#REF!</definedName>
    <definedName name="LOTA">#REF!</definedName>
    <definedName name="LOTE" localSheetId="15">#REF!</definedName>
    <definedName name="LOTE">#REF!</definedName>
    <definedName name="LOTE1" localSheetId="15">#REF!</definedName>
    <definedName name="LOTE1">#REF!</definedName>
    <definedName name="Louças_acessórios" localSheetId="15">#REF!</definedName>
    <definedName name="Louças_acessórios">#REF!</definedName>
    <definedName name="LP">"$#REF!.$E$28"</definedName>
    <definedName name="LPTE" localSheetId="15">#REF!</definedName>
    <definedName name="LPTE">#REF!</definedName>
    <definedName name="LPW">"$#REF!.$E$30"</definedName>
    <definedName name="LPWA">"$#REF!.$E$29"</definedName>
    <definedName name="LRANJA">#REF!</definedName>
    <definedName name="LS" localSheetId="15">#REF!</definedName>
    <definedName name="LS">#REF!</definedName>
    <definedName name="LSW">"$#REF!.$E$29"</definedName>
    <definedName name="LSWA">"$#REF!.$E$28"</definedName>
    <definedName name="lu" localSheetId="18" hidden="1">{#N/A,#N/A,FALSE,"MO (2)"}</definedName>
    <definedName name="lu" hidden="1">{#N/A,#N/A,FALSE,"MO (2)"}</definedName>
    <definedName name="luis" localSheetId="15">#REF!</definedName>
    <definedName name="luis">#REF!</definedName>
    <definedName name="luiz">#REF!</definedName>
    <definedName name="LVC">"'file:///D:/Meus documentos/ANASTÁCIO/SERCEL/BR262990800.xls'#$SERVIÇOS.$#REF!$#REF!"</definedName>
    <definedName name="LVD">"'file:///D:/Meus documentos/ANASTÁCIO/SERCEL/BR262990800.xls'#$SERVIÇOS.$#REF!$#REF!"</definedName>
    <definedName name="M.001">#REF!</definedName>
    <definedName name="M.002">#REF!</definedName>
    <definedName name="M.003">#REF!</definedName>
    <definedName name="M.004">#REF!</definedName>
    <definedName name="M.005">#REF!</definedName>
    <definedName name="M.101">#REF!</definedName>
    <definedName name="M.102">#REF!</definedName>
    <definedName name="M.103">#REF!</definedName>
    <definedName name="M.104">#REF!</definedName>
    <definedName name="M.105">#REF!</definedName>
    <definedName name="M.106">#REF!</definedName>
    <definedName name="M.107">#REF!</definedName>
    <definedName name="M.108">#REF!</definedName>
    <definedName name="M.109">#REF!</definedName>
    <definedName name="M.110">#REF!</definedName>
    <definedName name="M.111">#REF!</definedName>
    <definedName name="M.112">#REF!</definedName>
    <definedName name="M.114">#REF!</definedName>
    <definedName name="M.201">#REF!</definedName>
    <definedName name="M.202">#REF!</definedName>
    <definedName name="M.307">#REF!</definedName>
    <definedName name="M.319">#REF!</definedName>
    <definedName name="M.320">#REF!</definedName>
    <definedName name="M.321">#REF!</definedName>
    <definedName name="M.322">#REF!</definedName>
    <definedName name="M.323">#REF!</definedName>
    <definedName name="M.324">#REF!</definedName>
    <definedName name="M.325">#REF!</definedName>
    <definedName name="M.326">#REF!</definedName>
    <definedName name="M.328">#REF!</definedName>
    <definedName name="M.330">#REF!</definedName>
    <definedName name="M.331">#REF!</definedName>
    <definedName name="M.332">#REF!</definedName>
    <definedName name="M.334">#REF!</definedName>
    <definedName name="M.335">#REF!</definedName>
    <definedName name="M.338">#REF!</definedName>
    <definedName name="M.339">#REF!</definedName>
    <definedName name="M.340">#REF!</definedName>
    <definedName name="M.341">#REF!</definedName>
    <definedName name="M.342">#REF!</definedName>
    <definedName name="M.343">#REF!</definedName>
    <definedName name="M.344">#REF!</definedName>
    <definedName name="M.345">#REF!</definedName>
    <definedName name="M.346">#REF!</definedName>
    <definedName name="M.347">#REF!</definedName>
    <definedName name="M.348">#REF!</definedName>
    <definedName name="M.349">#REF!</definedName>
    <definedName name="M.350">#REF!</definedName>
    <definedName name="M.351">#REF!</definedName>
    <definedName name="M.352">#REF!</definedName>
    <definedName name="M.353">#REF!</definedName>
    <definedName name="M.354">#REF!</definedName>
    <definedName name="M.355">#REF!</definedName>
    <definedName name="M.356">#REF!</definedName>
    <definedName name="M.357">#REF!</definedName>
    <definedName name="M.358">#REF!</definedName>
    <definedName name="M.359">#REF!</definedName>
    <definedName name="M.360">#REF!</definedName>
    <definedName name="M.361">#REF!</definedName>
    <definedName name="M.362">#REF!</definedName>
    <definedName name="M.363">#REF!</definedName>
    <definedName name="M.364">#REF!</definedName>
    <definedName name="M.365">#REF!</definedName>
    <definedName name="M.366">#REF!</definedName>
    <definedName name="M.367">#REF!</definedName>
    <definedName name="M.368">#REF!</definedName>
    <definedName name="M.370">#REF!</definedName>
    <definedName name="M.371">#REF!</definedName>
    <definedName name="M.372">#REF!</definedName>
    <definedName name="M.373">#REF!</definedName>
    <definedName name="M.374">#REF!</definedName>
    <definedName name="M.375">#REF!</definedName>
    <definedName name="M.376">#REF!</definedName>
    <definedName name="M.377">#REF!</definedName>
    <definedName name="M.378">#REF!</definedName>
    <definedName name="M.380">#REF!</definedName>
    <definedName name="M.381">#REF!</definedName>
    <definedName name="M.382">#REF!</definedName>
    <definedName name="M.383">#REF!</definedName>
    <definedName name="M.384">#REF!</definedName>
    <definedName name="M.385">#REF!</definedName>
    <definedName name="M.386">#REF!</definedName>
    <definedName name="M.387">#REF!</definedName>
    <definedName name="M.390">#REF!</definedName>
    <definedName name="M.391">#REF!</definedName>
    <definedName name="M.392">#REF!</definedName>
    <definedName name="M.393">#REF!</definedName>
    <definedName name="M.394">#REF!</definedName>
    <definedName name="M.395">#REF!</definedName>
    <definedName name="M.396">#REF!</definedName>
    <definedName name="M.398">#REF!</definedName>
    <definedName name="M.401">#REF!</definedName>
    <definedName name="M.402">#REF!</definedName>
    <definedName name="M.403">#REF!</definedName>
    <definedName name="M.404">#REF!</definedName>
    <definedName name="M.405">#REF!</definedName>
    <definedName name="M.406">#REF!</definedName>
    <definedName name="M.407">#REF!</definedName>
    <definedName name="M.408">#REF!</definedName>
    <definedName name="M.409">#REF!</definedName>
    <definedName name="M.410">#REF!</definedName>
    <definedName name="M.411">#REF!</definedName>
    <definedName name="M.412">#REF!</definedName>
    <definedName name="M.413">#REF!</definedName>
    <definedName name="M.414">#REF!</definedName>
    <definedName name="M.415">#REF!</definedName>
    <definedName name="M.416">#REF!</definedName>
    <definedName name="M.501">#REF!</definedName>
    <definedName name="M.503">#REF!</definedName>
    <definedName name="M.505">#REF!</definedName>
    <definedName name="M.507">#REF!</definedName>
    <definedName name="M.508">#REF!</definedName>
    <definedName name="M.600">#REF!</definedName>
    <definedName name="M.601">#REF!</definedName>
    <definedName name="M.602">#REF!</definedName>
    <definedName name="M.603">#REF!</definedName>
    <definedName name="M.604">#REF!</definedName>
    <definedName name="M.605">#REF!</definedName>
    <definedName name="M.606">#REF!</definedName>
    <definedName name="M.607">#REF!</definedName>
    <definedName name="M.608">#REF!</definedName>
    <definedName name="M.609">#REF!</definedName>
    <definedName name="M.610">#REF!</definedName>
    <definedName name="M.611">#REF!</definedName>
    <definedName name="M.612">#REF!</definedName>
    <definedName name="M.613">#REF!</definedName>
    <definedName name="M.614">#REF!</definedName>
    <definedName name="M.615">#REF!</definedName>
    <definedName name="M.616">#REF!</definedName>
    <definedName name="M.617">#REF!</definedName>
    <definedName name="M.618">#REF!</definedName>
    <definedName name="M.619">#REF!</definedName>
    <definedName name="M.620">#REF!</definedName>
    <definedName name="M.621">#REF!</definedName>
    <definedName name="M.622">#REF!</definedName>
    <definedName name="M.623">#REF!</definedName>
    <definedName name="M.624">#REF!</definedName>
    <definedName name="M.625">#REF!</definedName>
    <definedName name="M.626">#REF!</definedName>
    <definedName name="M.630">#REF!</definedName>
    <definedName name="M.700">#REF!</definedName>
    <definedName name="M.702">#REF!</definedName>
    <definedName name="M.703">#REF!</definedName>
    <definedName name="M.704">#REF!</definedName>
    <definedName name="M.705">#REF!</definedName>
    <definedName name="M.709">#REF!</definedName>
    <definedName name="M.710">#REF!</definedName>
    <definedName name="M.715">#REF!</definedName>
    <definedName name="M.901">#REF!</definedName>
    <definedName name="M.902">#REF!</definedName>
    <definedName name="M.903">#REF!</definedName>
    <definedName name="M.904">#REF!</definedName>
    <definedName name="M.905">#REF!</definedName>
    <definedName name="M.906">#REF!</definedName>
    <definedName name="M.907">#REF!</definedName>
    <definedName name="M.908">#REF!</definedName>
    <definedName name="M.909">#REF!</definedName>
    <definedName name="M.910">#REF!</definedName>
    <definedName name="M.911">#REF!</definedName>
    <definedName name="M.920">#REF!</definedName>
    <definedName name="M.921">#REF!</definedName>
    <definedName name="M.922">#REF!</definedName>
    <definedName name="M.923">#REF!</definedName>
    <definedName name="M.924">#REF!</definedName>
    <definedName name="M.925">#REF!</definedName>
    <definedName name="M.926">#REF!</definedName>
    <definedName name="M.927">#REF!</definedName>
    <definedName name="M.928">#REF!</definedName>
    <definedName name="M.929">#REF!</definedName>
    <definedName name="M.935">#REF!</definedName>
    <definedName name="M.936">#REF!</definedName>
    <definedName name="M.937">#REF!</definedName>
    <definedName name="M.938">#REF!</definedName>
    <definedName name="M.939">#REF!</definedName>
    <definedName name="M.940">#REF!</definedName>
    <definedName name="M.941">#REF!</definedName>
    <definedName name="M.942">#REF!</definedName>
    <definedName name="M.945">#REF!</definedName>
    <definedName name="M.946">#REF!</definedName>
    <definedName name="M.947">#REF!</definedName>
    <definedName name="M.948">#REF!</definedName>
    <definedName name="M.949">#REF!</definedName>
    <definedName name="M.950">#REF!</definedName>
    <definedName name="M.951">#REF!</definedName>
    <definedName name="M.952">#REF!</definedName>
    <definedName name="M.953">#REF!</definedName>
    <definedName name="M.954">#REF!</definedName>
    <definedName name="M.955">#REF!</definedName>
    <definedName name="M.956">#REF!</definedName>
    <definedName name="M.957">#REF!</definedName>
    <definedName name="M.958">#REF!</definedName>
    <definedName name="M.960">#REF!</definedName>
    <definedName name="M.969">#REF!</definedName>
    <definedName name="M.970">#REF!</definedName>
    <definedName name="M.971">#REF!</definedName>
    <definedName name="M.972">#REF!</definedName>
    <definedName name="M.973">#REF!</definedName>
    <definedName name="M.974">#REF!</definedName>
    <definedName name="M.975">#REF!</definedName>
    <definedName name="M.976">#REF!</definedName>
    <definedName name="M.977">#REF!</definedName>
    <definedName name="M.980">#REF!</definedName>
    <definedName name="M.982">#REF!</definedName>
    <definedName name="M.983">#REF!</definedName>
    <definedName name="M.984">#REF!</definedName>
    <definedName name="M.985">#REF!</definedName>
    <definedName name="M.996">#REF!</definedName>
    <definedName name="M.997">#REF!</definedName>
    <definedName name="M.998">#REF!</definedName>
    <definedName name="M.999">#REF!</definedName>
    <definedName name="madpav" localSheetId="15">#REF!</definedName>
    <definedName name="madpav">#REF!</definedName>
    <definedName name="mai00" localSheetId="15">#REF!</definedName>
    <definedName name="mai00">#REF!</definedName>
    <definedName name="MAN.DREN" localSheetId="15">#REF!</definedName>
    <definedName name="MAN.DREN">#REF!</definedName>
    <definedName name="MAO">#REF!</definedName>
    <definedName name="MaodeObra">#REF!</definedName>
    <definedName name="MAR00" localSheetId="15">#REF!</definedName>
    <definedName name="MAR00">#REF!</definedName>
    <definedName name="MARCA">#REF!</definedName>
    <definedName name="MARCA_MOD">#REF!</definedName>
    <definedName name="MARCAMOD">#REF!</definedName>
    <definedName name="maria">#REF!</definedName>
    <definedName name="Massa" localSheetId="15">#REF!</definedName>
    <definedName name="Massa">#REF!</definedName>
    <definedName name="mat">#REF!</definedName>
    <definedName name="MATBET">"$#REF!.$A$1:$N$16"</definedName>
    <definedName name="MATERIAIS">#REF!</definedName>
    <definedName name="material_1">{#NAME?}</definedName>
    <definedName name="Material_britado" localSheetId="15">#REF!</definedName>
    <definedName name="Material_britado">#REF!</definedName>
    <definedName name="MATERIALBETUMINOSO1" localSheetId="15">#REF!</definedName>
    <definedName name="MATERIALBETUMINOSO1">#REF!</definedName>
    <definedName name="mattubcust" localSheetId="18" hidden="1">{#N/A,#N/A,FALSE,"GERAL";#N/A,#N/A,FALSE,"012-96";#N/A,#N/A,FALSE,"018-96";#N/A,#N/A,FALSE,"027-96";#N/A,#N/A,FALSE,"059-96";#N/A,#N/A,FALSE,"076-96";#N/A,#N/A,FALSE,"019-97";#N/A,#N/A,FALSE,"021-97";#N/A,#N/A,FALSE,"022-97";#N/A,#N/A,FALSE,"028-97"}</definedName>
    <definedName name="mattubcust" hidden="1">{#N/A,#N/A,FALSE,"GERAL";#N/A,#N/A,FALSE,"012-96";#N/A,#N/A,FALSE,"018-96";#N/A,#N/A,FALSE,"027-96";#N/A,#N/A,FALSE,"059-96";#N/A,#N/A,FALSE,"076-96";#N/A,#N/A,FALSE,"019-97";#N/A,#N/A,FALSE,"021-97";#N/A,#N/A,FALSE,"022-97";#N/A,#N/A,FALSE,"028-97"}</definedName>
    <definedName name="Max" localSheetId="1" hidden="1">COUNTIF(#REF!,"&lt;&gt;0")+3</definedName>
    <definedName name="Max" localSheetId="2" hidden="1">COUNTIF(#REF!,"&lt;&gt;0")+3</definedName>
    <definedName name="Max" localSheetId="3" hidden="1">COUNTIF(#REF!,"&lt;&gt;0")+3</definedName>
    <definedName name="Max" localSheetId="4" hidden="1">COUNTIF(#REF!,"&lt;&gt;0")+3</definedName>
    <definedName name="Max" localSheetId="5" hidden="1">COUNTIF(#REF!,"&lt;&gt;0")+3</definedName>
    <definedName name="Max" localSheetId="6" hidden="1">COUNTIF(#REF!,"&lt;&gt;0")+3</definedName>
    <definedName name="Max" localSheetId="15" hidden="1">COUNTIF(#REF!,"&lt;&gt;0")+3</definedName>
    <definedName name="Max" localSheetId="22" hidden="1">COUNTIF(#REF!,"&lt;&gt;0")+3</definedName>
    <definedName name="Max" hidden="1">COUNTIF(#REF!,"&lt;&gt;0")+3</definedName>
    <definedName name="mbc" localSheetId="15">#REF!</definedName>
    <definedName name="mbc">#REF!</definedName>
    <definedName name="MBF" localSheetId="15">#REF!</definedName>
    <definedName name="MBF">#REF!</definedName>
    <definedName name="MBQ">#REF!</definedName>
    <definedName name="MBQ_13">#REF!</definedName>
    <definedName name="MBQ_39">#REF!</definedName>
    <definedName name="MBQ_6">#REF!</definedName>
    <definedName name="MBQA" localSheetId="15">#REF!</definedName>
    <definedName name="MBQA">#REF!</definedName>
    <definedName name="MBQT" localSheetId="15">#REF!</definedName>
    <definedName name="MBQT">#REF!</definedName>
    <definedName name="MBR">"$#REF!.$I$34"</definedName>
    <definedName name="MBUF">"$#REF!.$D$12"</definedName>
    <definedName name="MBUFW">"$#REF!.$D$14"</definedName>
    <definedName name="MBUFWA">"$#REF!.$D$13"</definedName>
    <definedName name="MBUQ">"$#REF!.$E$12"</definedName>
    <definedName name="MBUQW">"$#REF!.$E$14"</definedName>
    <definedName name="MBUQWA">"$#REF!.$E$13"</definedName>
    <definedName name="MD">#REF!</definedName>
    <definedName name="MD_13">#REF!</definedName>
    <definedName name="MD_39">#REF!</definedName>
    <definedName name="MD_6">#REF!</definedName>
    <definedName name="ME.ROD" localSheetId="15">#REF!</definedName>
    <definedName name="ME.ROD">#REF!</definedName>
    <definedName name="med" localSheetId="1" hidden="1">{#N/A,#N/A,FALSE,"MO (2)"}</definedName>
    <definedName name="med" localSheetId="4" hidden="1">{#N/A,#N/A,FALSE,"MO (2)"}</definedName>
    <definedName name="med" localSheetId="24" hidden="1">{#N/A,#N/A,FALSE,"MO (2)"}</definedName>
    <definedName name="med" localSheetId="25" hidden="1">{#N/A,#N/A,FALSE,"MO (2)"}</definedName>
    <definedName name="med" localSheetId="27" hidden="1">{#N/A,#N/A,FALSE,"MO (2)"}</definedName>
    <definedName name="med" localSheetId="20" hidden="1">{#N/A,#N/A,FALSE,"MO (2)"}</definedName>
    <definedName name="med" localSheetId="15" hidden="1">{#N/A,#N/A,FALSE,"MO (2)"}</definedName>
    <definedName name="med" localSheetId="12" hidden="1">{#N/A,#N/A,FALSE,"MO (2)"}</definedName>
    <definedName name="med" localSheetId="18" hidden="1">{#N/A,#N/A,FALSE,"MO (2)"}</definedName>
    <definedName name="med" localSheetId="23" hidden="1">{#N/A,#N/A,FALSE,"MO (2)"}</definedName>
    <definedName name="med" localSheetId="16" hidden="1">{#N/A,#N/A,FALSE,"MO (2)"}</definedName>
    <definedName name="med" hidden="1">{#N/A,#N/A,FALSE,"MO (2)"}</definedName>
    <definedName name="med_1" localSheetId="1" hidden="1">{#N/A,#N/A,FALSE,"MO (2)"}</definedName>
    <definedName name="med_1" localSheetId="4" hidden="1">{#N/A,#N/A,FALSE,"MO (2)"}</definedName>
    <definedName name="med_1" localSheetId="24" hidden="1">{#N/A,#N/A,FALSE,"MO (2)"}</definedName>
    <definedName name="med_1" localSheetId="25" hidden="1">{#N/A,#N/A,FALSE,"MO (2)"}</definedName>
    <definedName name="med_1" localSheetId="27" hidden="1">{#N/A,#N/A,FALSE,"MO (2)"}</definedName>
    <definedName name="med_1" localSheetId="20" hidden="1">{#N/A,#N/A,FALSE,"MO (2)"}</definedName>
    <definedName name="med_1" localSheetId="15" hidden="1">{#N/A,#N/A,FALSE,"MO (2)"}</definedName>
    <definedName name="med_1" localSheetId="12" hidden="1">{#N/A,#N/A,FALSE,"MO (2)"}</definedName>
    <definedName name="med_1" localSheetId="18" hidden="1">{#N/A,#N/A,FALSE,"MO (2)"}</definedName>
    <definedName name="med_1" localSheetId="23" hidden="1">{#N/A,#N/A,FALSE,"MO (2)"}</definedName>
    <definedName name="med_1" localSheetId="16" hidden="1">{#N/A,#N/A,FALSE,"MO (2)"}</definedName>
    <definedName name="med_1" hidden="1">{#N/A,#N/A,FALSE,"MO (2)"}</definedName>
    <definedName name="MEDAGOREAL">#REF!</definedName>
    <definedName name="mediçao" localSheetId="18">#REF!</definedName>
    <definedName name="mediçao">#REF!</definedName>
    <definedName name="Medição" localSheetId="15">#REF!</definedName>
    <definedName name="Medição">#REF!</definedName>
    <definedName name="Medição_25" localSheetId="15">#REF!</definedName>
    <definedName name="Medição_25">#REF!</definedName>
    <definedName name="MEIO_FIO" localSheetId="15">#REF!</definedName>
    <definedName name="MEIO_FIO">#REF!</definedName>
    <definedName name="meiofio" localSheetId="15">#REF!</definedName>
    <definedName name="meiofio">#REF!</definedName>
    <definedName name="melhoria" localSheetId="18" hidden="1">{#N/A,#N/A,FALSE,"Plan1"}</definedName>
    <definedName name="melhoria" hidden="1">{#N/A,#N/A,FALSE,"Plan1"}</definedName>
    <definedName name="Mem">#REF!</definedName>
    <definedName name="Mem.01" localSheetId="18" hidden="1">{"'Plan1 (2)'!$A$5:$F$63"}</definedName>
    <definedName name="Mem.01" hidden="1">{"'Plan1 (2)'!$A$5:$F$63"}</definedName>
    <definedName name="MERDA">#N/A</definedName>
    <definedName name="MERDA_25">#N/A</definedName>
    <definedName name="mes" localSheetId="15">#REF!</definedName>
    <definedName name="mes">#REF!</definedName>
    <definedName name="MÊS">"$#REF!.$I$4"</definedName>
    <definedName name="Meses">#REF!</definedName>
    <definedName name="mesoestrutura" localSheetId="15">#REF!</definedName>
    <definedName name="mesoestrutura">#REF!</definedName>
    <definedName name="Meu" localSheetId="15">#REF!</definedName>
    <definedName name="Meu">#REF!</definedName>
    <definedName name="MF">#REF!</definedName>
    <definedName name="MFio">#REF!</definedName>
    <definedName name="MM">#N/A</definedName>
    <definedName name="MO" localSheetId="15">#REF!</definedName>
    <definedName name="MO">#REF!</definedName>
    <definedName name="mo.ag.com">#REF!</definedName>
    <definedName name="mo_base" localSheetId="15">#REF!</definedName>
    <definedName name="mo_base">#REF!</definedName>
    <definedName name="mo_sub_base" localSheetId="15">#REF!</definedName>
    <definedName name="mo_sub_base">#REF!</definedName>
    <definedName name="Mob" localSheetId="15">#REF!</definedName>
    <definedName name="Mob">#REF!</definedName>
    <definedName name="mod1.ext">#N/A</definedName>
    <definedName name="mod1.ext_38">#N/A</definedName>
    <definedName name="Modalidade">#REF!</definedName>
    <definedName name="Modelo" localSheetId="1" hidden="1">#REF!</definedName>
    <definedName name="Modelo" localSheetId="2" hidden="1">#REF!</definedName>
    <definedName name="Modelo" localSheetId="3" hidden="1">#REF!</definedName>
    <definedName name="Modelo" localSheetId="4" hidden="1">#REF!</definedName>
    <definedName name="Modelo" localSheetId="5" hidden="1">#REF!</definedName>
    <definedName name="Modelo" localSheetId="6" hidden="1">#REF!</definedName>
    <definedName name="Modelo" localSheetId="24" hidden="1">#REF!</definedName>
    <definedName name="Modelo" localSheetId="25" hidden="1">#REF!</definedName>
    <definedName name="Modelo" localSheetId="27" hidden="1">#REF!</definedName>
    <definedName name="Modelo" localSheetId="20" hidden="1">#REF!</definedName>
    <definedName name="Modelo" localSheetId="15" hidden="1">#REF!</definedName>
    <definedName name="Modelo" localSheetId="22" hidden="1">#REF!</definedName>
    <definedName name="Modelo" hidden="1">#REF!</definedName>
    <definedName name="MODEXT">#N/A</definedName>
    <definedName name="MODULO1.CURTO">#REF!</definedName>
    <definedName name="módulo1.Extenso">#N/A</definedName>
    <definedName name="módulo1.Extenso_1">#N/A</definedName>
    <definedName name="módulo1.Extenso_10">#N/A</definedName>
    <definedName name="módulo1.Extenso_12">#N/A</definedName>
    <definedName name="módulo1.Extenso_13">#N/A</definedName>
    <definedName name="módulo1.Extenso_14">#N/A</definedName>
    <definedName name="módulo1.Extenso_19">#N/A</definedName>
    <definedName name="módulo1.Extenso_2">#N/A</definedName>
    <definedName name="módulo1.Extenso_20" localSheetId="18">#REF!</definedName>
    <definedName name="módulo1.Extenso_20">#REF!</definedName>
    <definedName name="módulo1.Extenso_21">#N/A</definedName>
    <definedName name="módulo1.Extenso_22">#N/A</definedName>
    <definedName name="módulo1.Extenso_23">#N/A</definedName>
    <definedName name="módulo1.Extenso_24">#N/A</definedName>
    <definedName name="módulo1.Extenso_25">#N/A</definedName>
    <definedName name="módulo1.Extenso_26">#N/A</definedName>
    <definedName name="módulo1.Extenso_27">#N/A</definedName>
    <definedName name="módulo1.Extenso_28">#N/A</definedName>
    <definedName name="módulo1.Extenso_29">#N/A</definedName>
    <definedName name="módulo1.Extenso_3">#N/A</definedName>
    <definedName name="módulo1.Extenso_30">#N/A</definedName>
    <definedName name="módulo1.Extenso_31">#N/A</definedName>
    <definedName name="módulo1.Extenso_32">#N/A</definedName>
    <definedName name="módulo1.Extenso_33">#N/A</definedName>
    <definedName name="módulo1.Extenso_34">#N/A</definedName>
    <definedName name="módulo1.Extenso_35">#N/A</definedName>
    <definedName name="módulo1.Extenso_36">#N/A</definedName>
    <definedName name="módulo1.Extenso_37">#N/A</definedName>
    <definedName name="módulo1.Extenso_38">#N/A</definedName>
    <definedName name="módulo1.Extenso_39">#N/A</definedName>
    <definedName name="módulo1.Extenso_4">#N/A</definedName>
    <definedName name="módulo1.Extenso_40">#N/A</definedName>
    <definedName name="módulo1.Extenso_41">#N/A</definedName>
    <definedName name="módulo1.Extenso_42">#N/A</definedName>
    <definedName name="módulo1.Extenso_43">#N/A</definedName>
    <definedName name="módulo1.Extenso_44">#N/A</definedName>
    <definedName name="módulo1.Extenso_45">#N/A</definedName>
    <definedName name="módulo1.Extenso_46">#N/A</definedName>
    <definedName name="módulo1.Extenso_47">#N/A</definedName>
    <definedName name="módulo1.Extenso_48">#N/A</definedName>
    <definedName name="módulo1.Extenso_5">#N/A</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#N/A</definedName>
    <definedName name="módulo1.Extenso_59">#N/A</definedName>
    <definedName name="módulo1.Extenso_6">#N/A</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#N/A</definedName>
    <definedName name="módulo1.Extenso_66">#N/A</definedName>
    <definedName name="módulo1.Extenso_67">#N/A</definedName>
    <definedName name="módulo1.Extenso_68">#N/A</definedName>
    <definedName name="módulo1.Extenso_69">#N/A</definedName>
    <definedName name="módulo1.Extenso_7">#N/A</definedName>
    <definedName name="módulo1.Extenso_70">#N/A</definedName>
    <definedName name="módulo1.Extenso_71">#N/A</definedName>
    <definedName name="módulo1.Extenso_72">#N/A</definedName>
    <definedName name="módulo1.Extenso_8">#N/A</definedName>
    <definedName name="módulo1.Extenso_9">#N/A</definedName>
    <definedName name="MOME_2">NA()</definedName>
    <definedName name="mont" localSheetId="15">#REF!</definedName>
    <definedName name="mont">#REF!</definedName>
    <definedName name="mosubb" localSheetId="15">#REF!</definedName>
    <definedName name="mosubb">#REF!</definedName>
    <definedName name="mosubl" localSheetId="15">#REF!</definedName>
    <definedName name="mosubl">#REF!</definedName>
    <definedName name="MOV_TERR_EMISS3_S" localSheetId="15">#REF!</definedName>
    <definedName name="MOV_TERR_EMISS3_S">#REF!</definedName>
    <definedName name="MOV_TERRA" localSheetId="15">#REF!</definedName>
    <definedName name="MOV_TERRA">#REF!</definedName>
    <definedName name="MOV_TERRA_EMISS" localSheetId="15">#REF!</definedName>
    <definedName name="MOV_TERRA_EMISS">#REF!</definedName>
    <definedName name="MOV_TERRA_EMISS2" localSheetId="15">#REF!</definedName>
    <definedName name="MOV_TERRA_EMISS2">#REF!</definedName>
    <definedName name="MP" localSheetId="1" hidden="1">#REF!</definedName>
    <definedName name="MP" localSheetId="2" hidden="1">#REF!</definedName>
    <definedName name="MP" localSheetId="3" hidden="1">#REF!</definedName>
    <definedName name="MP" localSheetId="4" hidden="1">#REF!</definedName>
    <definedName name="MP" localSheetId="5" hidden="1">#REF!</definedName>
    <definedName name="MP" localSheetId="6" hidden="1">#REF!</definedName>
    <definedName name="MP" localSheetId="24" hidden="1">#REF!</definedName>
    <definedName name="MP" localSheetId="25" hidden="1">#REF!</definedName>
    <definedName name="MP" localSheetId="27" hidden="1">#REF!</definedName>
    <definedName name="MP" localSheetId="20" hidden="1">#REF!</definedName>
    <definedName name="MP" localSheetId="15" hidden="1">#REF!</definedName>
    <definedName name="MP" localSheetId="22" hidden="1">#REF!</definedName>
    <definedName name="MP" hidden="1">#REF!</definedName>
    <definedName name="N.001">#REF!</definedName>
    <definedName name="N.002">#REF!</definedName>
    <definedName name="N.003">#REF!</definedName>
    <definedName name="N.004">#REF!</definedName>
    <definedName name="N.005">#REF!</definedName>
    <definedName name="N.006">#REF!</definedName>
    <definedName name="N.007">#REF!</definedName>
    <definedName name="N.008">#REF!</definedName>
    <definedName name="N.009">#REF!</definedName>
    <definedName name="N.010">#REF!</definedName>
    <definedName name="N.011">#REF!</definedName>
    <definedName name="N.012">#REF!</definedName>
    <definedName name="N.013">#REF!</definedName>
    <definedName name="N.014">#REF!</definedName>
    <definedName name="N.015">#REF!</definedName>
    <definedName name="N.016">#REF!</definedName>
    <definedName name="N.017">#REF!</definedName>
    <definedName name="NColunas" localSheetId="15">#REF!</definedName>
    <definedName name="NColunas">#REF!</definedName>
    <definedName name="NEIDE" localSheetId="18">#REF!</definedName>
    <definedName name="NEIDE">#REF!</definedName>
    <definedName name="NLEq" hidden="1">4</definedName>
    <definedName name="NLinhasPagina" localSheetId="15">#REF!</definedName>
    <definedName name="NLinhasPagina">#REF!</definedName>
    <definedName name="NLinhasRodape" localSheetId="15">#REF!</definedName>
    <definedName name="NLinhasRodape">#REF!</definedName>
    <definedName name="NLMo" hidden="1">6</definedName>
    <definedName name="NLMp" hidden="1">5</definedName>
    <definedName name="NLTr" hidden="1">3</definedName>
    <definedName name="nm">#N/A</definedName>
    <definedName name="NOME">#REF!</definedName>
    <definedName name="NomeUsuario">#REF!</definedName>
    <definedName name="Novo1">"plan1"</definedName>
    <definedName name="Ns" localSheetId="15">#REF!</definedName>
    <definedName name="Ns">#REF!</definedName>
    <definedName name="NTEI" localSheetId="15">#REF!</definedName>
    <definedName name="NTEI">#REF!</definedName>
    <definedName name="NTEI_10" localSheetId="15">#REF!</definedName>
    <definedName name="NTEI_10">#REF!</definedName>
    <definedName name="NTEI_25" localSheetId="15">#REF!</definedName>
    <definedName name="NTEI_25">#REF!</definedName>
    <definedName name="NTEI_27" localSheetId="15">#REF!</definedName>
    <definedName name="NTEI_27">#REF!</definedName>
    <definedName name="NTEI_29" localSheetId="15">#REF!</definedName>
    <definedName name="NTEI_29">#REF!</definedName>
    <definedName name="NTEI_9" localSheetId="15">#REF!</definedName>
    <definedName name="NTEI_9">#REF!</definedName>
    <definedName name="NUMED">"$#REF!.$C$3"</definedName>
    <definedName name="Numero_de_Ordem">#REF!</definedName>
    <definedName name="NUMEROMEDIÇÃO_20">#REF!</definedName>
    <definedName name="NUMEROMEDIÇÃO_21">#REF!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001">#REF!</definedName>
    <definedName name="O.002">#REF!</definedName>
    <definedName name="O.003">#REF!</definedName>
    <definedName name="O.004">#REF!</definedName>
    <definedName name="O.005">#REF!</definedName>
    <definedName name="OAC" localSheetId="15">#REF!</definedName>
    <definedName name="OAC">#REF!</definedName>
    <definedName name="oac.b" localSheetId="15">#REF!</definedName>
    <definedName name="oac.b">#REF!</definedName>
    <definedName name="oac.c" localSheetId="15">#REF!</definedName>
    <definedName name="oac.c">#REF!</definedName>
    <definedName name="oac.ve" localSheetId="15">#REF!</definedName>
    <definedName name="oac.ve">#REF!</definedName>
    <definedName name="oac.ve.remoc" localSheetId="15">#REF!</definedName>
    <definedName name="oac.ve.remoc">#REF!</definedName>
    <definedName name="oac.vr" localSheetId="15">#REF!</definedName>
    <definedName name="oac.vr">#REF!</definedName>
    <definedName name="oac.vr.remoc" localSheetId="15">#REF!</definedName>
    <definedName name="oac.vr.remoc">#REF!</definedName>
    <definedName name="Oacorre2" localSheetId="15">#REF!</definedName>
    <definedName name="Oacorre2">#REF!</definedName>
    <definedName name="OAE" localSheetId="15">#REF!</definedName>
    <definedName name="OAE">#REF!</definedName>
    <definedName name="oae.vc" localSheetId="15">#REF!</definedName>
    <definedName name="oae.vc">#REF!</definedName>
    <definedName name="OAE_MAR94" localSheetId="15">#REF!</definedName>
    <definedName name="OAE_MAR94">#REF!</definedName>
    <definedName name="Oaesp2" localSheetId="15">#REF!</definedName>
    <definedName name="Oaesp2">#REF!</definedName>
    <definedName name="OBJETO" localSheetId="15">#REF!</definedName>
    <definedName name="OBJETO">#REF!</definedName>
    <definedName name="OBJETOA" localSheetId="15">#REF!</definedName>
    <definedName name="OBJETOA">#REF!</definedName>
    <definedName name="Obra" hidden="1">""</definedName>
    <definedName name="OCOM" localSheetId="15">#REF!</definedName>
    <definedName name="OCOM">#REF!</definedName>
    <definedName name="Ocomp2" localSheetId="15">#REF!</definedName>
    <definedName name="Ocomp2">#REF!</definedName>
    <definedName name="oesp" localSheetId="15">#REF!</definedName>
    <definedName name="oesp">#REF!</definedName>
    <definedName name="oi" localSheetId="1" hidden="1">{#N/A,#N/A,FALSE,"MO (2)"}</definedName>
    <definedName name="oi" localSheetId="4" hidden="1">{#N/A,#N/A,FALSE,"MO (2)"}</definedName>
    <definedName name="oi" localSheetId="15" hidden="1">{#N/A,#N/A,FALSE,"MO (2)"}</definedName>
    <definedName name="oi" localSheetId="18" hidden="1">{#N/A,#N/A,FALSE,"MO (2)"}</definedName>
    <definedName name="oi" localSheetId="23" hidden="1">{#N/A,#N/A,FALSE,"MO (2)"}</definedName>
    <definedName name="oi" hidden="1">{#N/A,#N/A,FALSE,"MO (2)"}</definedName>
    <definedName name="OIDE">#REF!</definedName>
    <definedName name="ok">#REF!</definedName>
    <definedName name="OLEO">#REF!</definedName>
    <definedName name="ONIAS_2">NA()</definedName>
    <definedName name="OnOff" hidden="1">"ON"</definedName>
    <definedName name="OP" localSheetId="15">#REF!</definedName>
    <definedName name="OP">#REF!</definedName>
    <definedName name="OPA" localSheetId="15">#REF!</definedName>
    <definedName name="OPA">#REF!</definedName>
    <definedName name="OPA_10" localSheetId="15">#REF!</definedName>
    <definedName name="OPA_10">#REF!</definedName>
    <definedName name="OPA_25" localSheetId="15">#REF!</definedName>
    <definedName name="OPA_25">#REF!</definedName>
    <definedName name="OPA_27" localSheetId="15">#REF!</definedName>
    <definedName name="OPA_27">#REF!</definedName>
    <definedName name="OPA_29" localSheetId="15">#REF!</definedName>
    <definedName name="OPA_29">#REF!</definedName>
    <definedName name="OPA_9" localSheetId="15">#REF!</definedName>
    <definedName name="OPA_9">#REF!</definedName>
    <definedName name="ope">#REF!</definedName>
    <definedName name="opera" localSheetId="15">#REF!</definedName>
    <definedName name="opera">#REF!</definedName>
    <definedName name="Or.Mod." localSheetId="18" hidden="1">{#N/A,#N/A,FALSE,"MO (2)"}</definedName>
    <definedName name="Or.Mod." hidden="1">{#N/A,#N/A,FALSE,"MO (2)"}</definedName>
    <definedName name="Orçamento" localSheetId="15">#REF!</definedName>
    <definedName name="Orçamento">#REF!</definedName>
    <definedName name="ORÇAMENTO.BancoRef" localSheetId="4" hidden="1">#REF!</definedName>
    <definedName name="ORÇAMENTO.BancoRef" localSheetId="15" hidden="1">#REF!</definedName>
    <definedName name="ORÇAMENTO.BancoRef" hidden="1">#REF!</definedName>
    <definedName name="ORÇAMENTO.CustoUnitario" localSheetId="1" hidden="1">ROUND(#REF!,15-13*#REF!)</definedName>
    <definedName name="ORÇAMENTO.CustoUnitario" localSheetId="4" hidden="1">ROUND(#REF!,15-13*#REF!)</definedName>
    <definedName name="ORÇAMENTO.CustoUnitario" localSheetId="15" hidden="1">ROUND(#REF!,15-13*#REF!)</definedName>
    <definedName name="ORÇAMENTO.CustoUnitario" hidden="1">ROUND(#REF!,15-13*#REF!)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20">#REF!</definedName>
    <definedName name="Orçamento_34">#REF!</definedName>
    <definedName name="Orçamento_36">#REF!</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localSheetId="1" hidden="1">{#N/A,#N/A,TRUE,"Serviços"}</definedName>
    <definedName name="orçamrest" localSheetId="4" hidden="1">{#N/A,#N/A,TRUE,"Serviços"}</definedName>
    <definedName name="orçamrest" localSheetId="24" hidden="1">{#N/A,#N/A,TRUE,"Serviços"}</definedName>
    <definedName name="orçamrest" localSheetId="25" hidden="1">{#N/A,#N/A,TRUE,"Serviços"}</definedName>
    <definedName name="orçamrest" localSheetId="27" hidden="1">{#N/A,#N/A,TRUE,"Serviços"}</definedName>
    <definedName name="orçamrest" localSheetId="20" hidden="1">{#N/A,#N/A,TRUE,"Serviços"}</definedName>
    <definedName name="orçamrest" localSheetId="15" hidden="1">{#N/A,#N/A,TRUE,"Serviços"}</definedName>
    <definedName name="orçamrest" localSheetId="18" hidden="1">{#N/A,#N/A,TRUE,"Serviços"}</definedName>
    <definedName name="orçamrest" hidden="1">{#N/A,#N/A,TRUE,"Serviços"}</definedName>
    <definedName name="orçamrestt" localSheetId="18" hidden="1">{#N/A,#N/A,TRUE,"Serviços"}</definedName>
    <definedName name="orçamrestt" hidden="1">{#N/A,#N/A,TRUE,"Serviços"}</definedName>
    <definedName name="Ordem" localSheetId="1" hidden="1">#REF!</definedName>
    <definedName name="Ordem" localSheetId="2" hidden="1">#REF!</definedName>
    <definedName name="Ordem" localSheetId="3" hidden="1">#REF!</definedName>
    <definedName name="Ordem" localSheetId="4" hidden="1">#REF!</definedName>
    <definedName name="Ordem" localSheetId="5" hidden="1">#REF!</definedName>
    <definedName name="Ordem" localSheetId="6" hidden="1">#REF!</definedName>
    <definedName name="Ordem" localSheetId="24" hidden="1">#REF!</definedName>
    <definedName name="Ordem" localSheetId="25" hidden="1">#REF!</definedName>
    <definedName name="Ordem" localSheetId="27" hidden="1">#REF!</definedName>
    <definedName name="Ordem" localSheetId="20" hidden="1">#REF!</definedName>
    <definedName name="Ordem" localSheetId="15" hidden="1">#REF!</definedName>
    <definedName name="Ordem" localSheetId="22" hidden="1">#REF!</definedName>
    <definedName name="Ordem" hidden="1">#REF!</definedName>
    <definedName name="ordem_serv">#REF!</definedName>
    <definedName name="org" localSheetId="15">#REF!</definedName>
    <definedName name="org">#REF!</definedName>
    <definedName name="ÓRGÃO" localSheetId="15">#REF!</definedName>
    <definedName name="ÓRGÃO">#REF!</definedName>
    <definedName name="Origem" localSheetId="1" hidden="1">#REF!</definedName>
    <definedName name="Origem" localSheetId="2" hidden="1">#REF!</definedName>
    <definedName name="Origem" localSheetId="3" hidden="1">#REF!</definedName>
    <definedName name="Origem" localSheetId="4" hidden="1">#REF!</definedName>
    <definedName name="Origem" localSheetId="5" hidden="1">#REF!</definedName>
    <definedName name="Origem" localSheetId="6" hidden="1">#REF!</definedName>
    <definedName name="Origem" localSheetId="24" hidden="1">#REF!</definedName>
    <definedName name="Origem" localSheetId="25" hidden="1">#REF!</definedName>
    <definedName name="Origem" localSheetId="27" hidden="1">#REF!</definedName>
    <definedName name="Origem" localSheetId="20" hidden="1">#REF!</definedName>
    <definedName name="Origem" localSheetId="15" hidden="1">#REF!</definedName>
    <definedName name="Origem" localSheetId="22" hidden="1">#REF!</definedName>
    <definedName name="Origem" hidden="1">#REF!</definedName>
    <definedName name="Orla" localSheetId="15">#REF!</definedName>
    <definedName name="Orla">#REF!</definedName>
    <definedName name="orlando" localSheetId="15">#REF!</definedName>
    <definedName name="orlando">#REF!</definedName>
    <definedName name="OTKI">#REF!</definedName>
    <definedName name="OUTR" localSheetId="15">#REF!</definedName>
    <definedName name="OUTR">#REF!</definedName>
    <definedName name="outra" hidden="1">#REF!</definedName>
    <definedName name="P.001">#REF!</definedName>
    <definedName name="P.002">#REF!</definedName>
    <definedName name="P_Cristo" localSheetId="18">#REF!-2</definedName>
    <definedName name="P_Cristo">#REF!-2</definedName>
    <definedName name="p08.300.01">#REF!</definedName>
    <definedName name="pARAPEITO" localSheetId="18">#REF!</definedName>
    <definedName name="pARAPEITO">#REF!</definedName>
    <definedName name="Páscoa">#REF!</definedName>
    <definedName name="PassaExtenso" localSheetId="15">#REF!</definedName>
    <definedName name="PassaExtenso" localSheetId="18">#REF!</definedName>
    <definedName name="PassaExtenso">#REF!</definedName>
    <definedName name="PassaExtenso___0" localSheetId="18">PassaExtenso_5</definedName>
    <definedName name="PassaExtenso___0">PassaExtenso_5</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_1_1">NA()</definedName>
    <definedName name="PassaExtenso_1_1_33_1">NA()</definedName>
    <definedName name="PassaExtenso_1_1_35_1">NA()</definedName>
    <definedName name="PassaExtenso_10">#N/A</definedName>
    <definedName name="PassaExtenso_11">#REF!</definedName>
    <definedName name="PassaExtenso_11_12" localSheetId="18">#REF!</definedName>
    <definedName name="PassaExtenso_11_12">#REF!</definedName>
    <definedName name="PassaExtenso_11_14" localSheetId="18">#REF!</definedName>
    <definedName name="PassaExtenso_11_14">#REF!</definedName>
    <definedName name="PassaExtenso_13">#REF!</definedName>
    <definedName name="PassaExtenso_13_12" localSheetId="18">#REF!</definedName>
    <definedName name="PassaExtenso_13_12">#REF!</definedName>
    <definedName name="PassaExtenso_13_18" localSheetId="18">#REF!</definedName>
    <definedName name="PassaExtenso_13_18">#REF!</definedName>
    <definedName name="PassaExtenso_19">#REF!</definedName>
    <definedName name="PassaExtenso_2_1_1">"#NAME!PassaExtenso"</definedName>
    <definedName name="PassaExtenso_21">#REF!</definedName>
    <definedName name="PassaExtenso_21_10" localSheetId="18">#REF!</definedName>
    <definedName name="PassaExtenso_21_10">#REF!</definedName>
    <definedName name="PassaExtenso_21_11">#REF!</definedName>
    <definedName name="PassaExtenso_21_11_12" localSheetId="18">#REF!</definedName>
    <definedName name="PassaExtenso_21_11_12">#REF!</definedName>
    <definedName name="PassaExtenso_21_11_14" localSheetId="18">#REF!</definedName>
    <definedName name="PassaExtenso_21_11_14">#REF!</definedName>
    <definedName name="PassaExtenso_21_12" localSheetId="18">#REF!</definedName>
    <definedName name="PassaExtenso_21_12">#REF!</definedName>
    <definedName name="PassaExtenso_21_13">#REF!</definedName>
    <definedName name="PassaExtenso_21_13_12" localSheetId="18">#REF!</definedName>
    <definedName name="PassaExtenso_21_13_12">#REF!</definedName>
    <definedName name="PassaExtenso_21_13_18" localSheetId="18">#REF!</definedName>
    <definedName name="PassaExtenso_21_13_18">#REF!</definedName>
    <definedName name="PassaExtenso_21_14" localSheetId="18">#REF!</definedName>
    <definedName name="PassaExtenso_21_14">#REF!</definedName>
    <definedName name="PassaExtenso_21_18" localSheetId="18">#REF!</definedName>
    <definedName name="PassaExtenso_21_18">#REF!</definedName>
    <definedName name="PassaExtenso_21_19">#REF!</definedName>
    <definedName name="PassaExtenso_21_2">#REF!</definedName>
    <definedName name="PassaExtenso_21_2_12" localSheetId="18">#REF!</definedName>
    <definedName name="PassaExtenso_21_2_12">#REF!</definedName>
    <definedName name="PassaExtenso_21_2_14" localSheetId="18">#REF!</definedName>
    <definedName name="PassaExtenso_21_2_14">#REF!</definedName>
    <definedName name="PassaExtenso_21_3">#REF!</definedName>
    <definedName name="PassaExtenso_21_3_12" localSheetId="18">#REF!</definedName>
    <definedName name="PassaExtenso_21_3_12">#REF!</definedName>
    <definedName name="PassaExtenso_21_3_14" localSheetId="18">#REF!</definedName>
    <definedName name="PassaExtenso_21_3_14">#REF!</definedName>
    <definedName name="PassaExtenso_21_4">#REF!</definedName>
    <definedName name="PassaExtenso_21_4_10" localSheetId="18">#REF!</definedName>
    <definedName name="PassaExtenso_21_4_10">#REF!</definedName>
    <definedName name="PassaExtenso_21_4_12" localSheetId="18">#REF!</definedName>
    <definedName name="PassaExtenso_21_4_12">#REF!</definedName>
    <definedName name="PassaExtenso_21_4_14" localSheetId="18">#REF!</definedName>
    <definedName name="PassaExtenso_21_4_14">#REF!</definedName>
    <definedName name="PassaExtenso_21_4_18" localSheetId="18">#REF!</definedName>
    <definedName name="PassaExtenso_21_4_18">#REF!</definedName>
    <definedName name="PassaExtenso_21_4_19">#REF!</definedName>
    <definedName name="PassaExtenso_21_7">#REF!</definedName>
    <definedName name="PassaExtenso_21_7_12">[0]!_tot2</definedName>
    <definedName name="PassaExtenso_21_7_14" localSheetId="18">#REF!</definedName>
    <definedName name="PassaExtenso_21_7_14">#REF!</definedName>
    <definedName name="PassaExtenso_22">"#NAME!PassaExtenso"</definedName>
    <definedName name="PassaExtenso_23">"#NAME!PassaExtenso"</definedName>
    <definedName name="PassaExtenso_25">#N/A</definedName>
    <definedName name="PassaExtenso_25_10" localSheetId="18">#REF!</definedName>
    <definedName name="PassaExtenso_25_10">#REF!</definedName>
    <definedName name="PassaExtenso_25_11">#REF!</definedName>
    <definedName name="PassaExtenso_25_11_12" localSheetId="18">#REF!</definedName>
    <definedName name="PassaExtenso_25_11_12">#REF!</definedName>
    <definedName name="PassaExtenso_25_11_14" localSheetId="18">#REF!</definedName>
    <definedName name="PassaExtenso_25_11_14">#REF!</definedName>
    <definedName name="PassaExtenso_25_12" localSheetId="18">#REF!</definedName>
    <definedName name="PassaExtenso_25_12">#REF!</definedName>
    <definedName name="PassaExtenso_25_13">#REF!</definedName>
    <definedName name="PassaExtenso_25_13_12" localSheetId="18">#REF!</definedName>
    <definedName name="PassaExtenso_25_13_12">#REF!</definedName>
    <definedName name="PassaExtenso_25_13_18">[0]!_tot3</definedName>
    <definedName name="PassaExtenso_25_14" localSheetId="18">#REF!</definedName>
    <definedName name="PassaExtenso_25_14">#REF!</definedName>
    <definedName name="PassaExtenso_25_18" localSheetId="18">#REF!</definedName>
    <definedName name="PassaExtenso_25_18">#REF!</definedName>
    <definedName name="PassaExtenso_25_19">#REF!</definedName>
    <definedName name="PassaExtenso_25_2">#REF!</definedName>
    <definedName name="PassaExtenso_25_2_12" localSheetId="18">#REF!</definedName>
    <definedName name="PassaExtenso_25_2_12">#REF!</definedName>
    <definedName name="PassaExtenso_25_2_14" localSheetId="18">#REF!</definedName>
    <definedName name="PassaExtenso_25_2_14">#REF!</definedName>
    <definedName name="PassaExtenso_25_3">#REF!</definedName>
    <definedName name="PassaExtenso_25_3_12" localSheetId="18">#REF!</definedName>
    <definedName name="PassaExtenso_25_3_12">#REF!</definedName>
    <definedName name="PassaExtenso_25_3_14" localSheetId="18">#REF!</definedName>
    <definedName name="PassaExtenso_25_3_14">#REF!</definedName>
    <definedName name="PassaExtenso_25_4">#REF!</definedName>
    <definedName name="PassaExtenso_25_4_10" localSheetId="18">#REF!</definedName>
    <definedName name="PassaExtenso_25_4_10">#REF!</definedName>
    <definedName name="PassaExtenso_25_4_12" localSheetId="18">#REF!</definedName>
    <definedName name="PassaExtenso_25_4_12">#REF!</definedName>
    <definedName name="PassaExtenso_25_4_14" localSheetId="18">#REF!</definedName>
    <definedName name="PassaExtenso_25_4_14">#REF!</definedName>
    <definedName name="PassaExtenso_25_4_18" localSheetId="18">#REF!</definedName>
    <definedName name="PassaExtenso_25_4_18">#REF!</definedName>
    <definedName name="PassaExtenso_25_4_19">#REF!</definedName>
    <definedName name="PassaExtenso_25_7">#REF!</definedName>
    <definedName name="PassaExtenso_25_7_12" localSheetId="18">#REF!</definedName>
    <definedName name="PassaExtenso_25_7_12">#REF!</definedName>
    <definedName name="PassaExtenso_25_7_14" localSheetId="18">#REF!</definedName>
    <definedName name="PassaExtenso_25_7_14">#REF!</definedName>
    <definedName name="PassaExtenso_26" localSheetId="18">#REF!</definedName>
    <definedName name="PassaExtenso_26">#REF!</definedName>
    <definedName name="PassaExtenso_27">#N/A</definedName>
    <definedName name="PassaExtenso_29">#N/A</definedName>
    <definedName name="PassaExtenso_3_1_1">"#NAME!PassaExtenso"</definedName>
    <definedName name="PassaExtenso_34">#REF!</definedName>
    <definedName name="PassaExtenso_34_10" localSheetId="18">#REF!</definedName>
    <definedName name="PassaExtenso_34_10">#REF!</definedName>
    <definedName name="PassaExtenso_34_11">#REF!</definedName>
    <definedName name="PassaExtenso_34_11_12" localSheetId="18">#REF!</definedName>
    <definedName name="PassaExtenso_34_11_12">#REF!</definedName>
    <definedName name="PassaExtenso_34_11_14" localSheetId="18">#REF!</definedName>
    <definedName name="PassaExtenso_34_11_14">#REF!</definedName>
    <definedName name="PassaExtenso_34_12" localSheetId="18">#REF!</definedName>
    <definedName name="PassaExtenso_34_12">#REF!</definedName>
    <definedName name="PassaExtenso_34_13">#REF!</definedName>
    <definedName name="PassaExtenso_34_13_12" localSheetId="18">#REF!</definedName>
    <definedName name="PassaExtenso_34_13_12">#REF!</definedName>
    <definedName name="PassaExtenso_34_13_18">[0]!_tot4</definedName>
    <definedName name="PassaExtenso_34_14" localSheetId="18">#REF!</definedName>
    <definedName name="PassaExtenso_34_14">#REF!</definedName>
    <definedName name="PassaExtenso_34_18" localSheetId="18">#REF!</definedName>
    <definedName name="PassaExtenso_34_18">#REF!</definedName>
    <definedName name="PassaExtenso_34_19">#REF!</definedName>
    <definedName name="PassaExtenso_34_2">#REF!</definedName>
    <definedName name="PassaExtenso_34_2_12" localSheetId="18">#REF!</definedName>
    <definedName name="PassaExtenso_34_2_12">#REF!</definedName>
    <definedName name="PassaExtenso_34_2_14" localSheetId="18">#REF!</definedName>
    <definedName name="PassaExtenso_34_2_14">#REF!</definedName>
    <definedName name="PassaExtenso_34_3">#REF!</definedName>
    <definedName name="PassaExtenso_34_3_12" localSheetId="18">#REF!</definedName>
    <definedName name="PassaExtenso_34_3_12">#REF!</definedName>
    <definedName name="PassaExtenso_34_3_14" localSheetId="18">#REF!</definedName>
    <definedName name="PassaExtenso_34_3_14">#REF!</definedName>
    <definedName name="PassaExtenso_34_4">#REF!</definedName>
    <definedName name="PassaExtenso_34_4_10" localSheetId="18">#REF!</definedName>
    <definedName name="PassaExtenso_34_4_10">#REF!</definedName>
    <definedName name="PassaExtenso_34_4_12" localSheetId="18">#REF!</definedName>
    <definedName name="PassaExtenso_34_4_12">#REF!</definedName>
    <definedName name="PassaExtenso_34_4_14" localSheetId="18">#REF!</definedName>
    <definedName name="PassaExtenso_34_4_14">#REF!</definedName>
    <definedName name="PassaExtenso_34_4_18" localSheetId="18">#REF!</definedName>
    <definedName name="PassaExtenso_34_4_18">#REF!</definedName>
    <definedName name="PassaExtenso_34_4_19">#REF!</definedName>
    <definedName name="PassaExtenso_34_7">#REF!</definedName>
    <definedName name="PassaExtenso_34_7_12" localSheetId="18">#REF!</definedName>
    <definedName name="PassaExtenso_34_7_12">#REF!</definedName>
    <definedName name="PassaExtenso_34_7_14" localSheetId="18">#REF!</definedName>
    <definedName name="PassaExtenso_34_7_14">#REF!</definedName>
    <definedName name="PassaExtenso_38">#REF!</definedName>
    <definedName name="PassaExtenso_38_10" localSheetId="18">#REF!</definedName>
    <definedName name="PassaExtenso_38_10">#REF!</definedName>
    <definedName name="PassaExtenso_38_11">#REF!</definedName>
    <definedName name="PassaExtenso_38_11_12" localSheetId="18">#REF!</definedName>
    <definedName name="PassaExtenso_38_11_12">#REF!</definedName>
    <definedName name="PassaExtenso_38_11_14" localSheetId="18">#REF!</definedName>
    <definedName name="PassaExtenso_38_11_14">#REF!</definedName>
    <definedName name="PassaExtenso_38_12" localSheetId="18">#REF!</definedName>
    <definedName name="PassaExtenso_38_12">#REF!</definedName>
    <definedName name="PassaExtenso_38_13">#REF!</definedName>
    <definedName name="PassaExtenso_38_13_12" localSheetId="18">#REF!</definedName>
    <definedName name="PassaExtenso_38_13_12">#REF!</definedName>
    <definedName name="PassaExtenso_38_13_18" localSheetId="18">#REF!</definedName>
    <definedName name="PassaExtenso_38_13_18">#REF!</definedName>
    <definedName name="PassaExtenso_38_14" localSheetId="18">#REF!</definedName>
    <definedName name="PassaExtenso_38_14">#REF!</definedName>
    <definedName name="PassaExtenso_38_18" localSheetId="18">#REF!</definedName>
    <definedName name="PassaExtenso_38_18">#REF!</definedName>
    <definedName name="PassaExtenso_38_19">#REF!</definedName>
    <definedName name="PassaExtenso_38_2">#REF!</definedName>
    <definedName name="PassaExtenso_38_2_12" localSheetId="18">#REF!</definedName>
    <definedName name="PassaExtenso_38_2_12">#REF!</definedName>
    <definedName name="PassaExtenso_38_2_14" localSheetId="18">#REF!</definedName>
    <definedName name="PassaExtenso_38_2_14">#REF!</definedName>
    <definedName name="PassaExtenso_38_3">#REF!</definedName>
    <definedName name="PassaExtenso_38_3_12" localSheetId="18">#REF!</definedName>
    <definedName name="PassaExtenso_38_3_12">#REF!</definedName>
    <definedName name="PassaExtenso_38_3_14" localSheetId="18">#REF!</definedName>
    <definedName name="PassaExtenso_38_3_14">#REF!</definedName>
    <definedName name="PassaExtenso_38_4">#REF!</definedName>
    <definedName name="PassaExtenso_38_4_10" localSheetId="18">#REF!</definedName>
    <definedName name="PassaExtenso_38_4_10">#REF!</definedName>
    <definedName name="PassaExtenso_38_4_12" localSheetId="18">#REF!</definedName>
    <definedName name="PassaExtenso_38_4_12">#REF!</definedName>
    <definedName name="PassaExtenso_38_4_14" localSheetId="18">#REF!</definedName>
    <definedName name="PassaExtenso_38_4_14">#REF!</definedName>
    <definedName name="PassaExtenso_38_4_18" localSheetId="18">#REF!</definedName>
    <definedName name="PassaExtenso_38_4_18">#REF!</definedName>
    <definedName name="PassaExtenso_38_4_19">#REF!</definedName>
    <definedName name="PassaExtenso_38_7">#REF!</definedName>
    <definedName name="PassaExtenso_38_7_12" localSheetId="18">#REF!</definedName>
    <definedName name="PassaExtenso_38_7_12">#REF!</definedName>
    <definedName name="PassaExtenso_38_7_14" localSheetId="18">#REF!</definedName>
    <definedName name="PassaExtenso_38_7_14">#REF!</definedName>
    <definedName name="passaextenso_39">#REF!</definedName>
    <definedName name="PassaExtenso_4">#N/A</definedName>
    <definedName name="PassaExtenso_5">#N/A</definedName>
    <definedName name="PassaExtenso_6">"#NAME!PassaExtenso"</definedName>
    <definedName name="PassaExtenso_7">"#NAME!PassaExtenso"</definedName>
    <definedName name="PassaExtenso_8" localSheetId="18">#REF!</definedName>
    <definedName name="PassaExtenso_8">#REF!</definedName>
    <definedName name="PassaExtenso_9">#N/A</definedName>
    <definedName name="PATO">"$#REF!.$A$5:$J$84"</definedName>
    <definedName name="patoetapa">#REF!</definedName>
    <definedName name="pav" localSheetId="15">#REF!</definedName>
    <definedName name="pav">#REF!</definedName>
    <definedName name="PAV_2" localSheetId="15">#REF!</definedName>
    <definedName name="PAV_2">#REF!</definedName>
    <definedName name="PAV_25" localSheetId="15">#REF!</definedName>
    <definedName name="PAV_25">#REF!</definedName>
    <definedName name="PAV_EMISS3_S" localSheetId="15">#REF!</definedName>
    <definedName name="PAV_EMISS3_S">#REF!</definedName>
    <definedName name="PAV_MAR94" localSheetId="15">#REF!</definedName>
    <definedName name="PAV_MAR94">#REF!</definedName>
    <definedName name="pavi" localSheetId="15">#REF!</definedName>
    <definedName name="pavi">#REF!</definedName>
    <definedName name="Pavi2" localSheetId="15">#REF!</definedName>
    <definedName name="Pavi2">#REF!</definedName>
    <definedName name="PAVIM">#REF!</definedName>
    <definedName name="PAVIM_EMISS" localSheetId="15">#REF!</definedName>
    <definedName name="PAVIM_EMISS">#REF!</definedName>
    <definedName name="PAVIM_EMISS2" localSheetId="15">#REF!</definedName>
    <definedName name="PAVIM_EMISS2">#REF!</definedName>
    <definedName name="pavimentacao" localSheetId="15">#REF!</definedName>
    <definedName name="pavimentacao">#REF!</definedName>
    <definedName name="PAVIMENTAÇÃO" localSheetId="15">#REF!</definedName>
    <definedName name="PAVIMENTAÇÃO">#REF!</definedName>
    <definedName name="PAVIMENTAÇÃO1" localSheetId="18" hidden="1">{#N/A,#N/A,TRUE,"Serviços"}</definedName>
    <definedName name="PAVIMENTAÇÃO1" hidden="1">{#N/A,#N/A,TRUE,"Serviços"}</definedName>
    <definedName name="PAVIMENTONOVO" localSheetId="15">#REF!</definedName>
    <definedName name="PAVIMENTONOVO">#REF!</definedName>
    <definedName name="PAVIMENTONOVO_25" localSheetId="15">#REF!</definedName>
    <definedName name="PAVIMENTONOVO_25">#REF!</definedName>
    <definedName name="Payment_Needed">"Pagamento necessário"</definedName>
    <definedName name="PCAIA">"'file:///D:/Meus documentos/ANASTÁCIO/SERCEL/BR262990800.xls'#$SERVIÇOS.$#REF!$#REF!"</definedName>
    <definedName name="PCCARR" localSheetId="15">#REF!</definedName>
    <definedName name="PCCARR">#REF!</definedName>
    <definedName name="PCDF" localSheetId="15">#REF!</definedName>
    <definedName name="PCDF">#REF!</definedName>
    <definedName name="PCS">#REF!</definedName>
    <definedName name="PCSA" localSheetId="15">#REF!</definedName>
    <definedName name="PCSA">#REF!</definedName>
    <definedName name="PCST" localSheetId="15">#REF!</definedName>
    <definedName name="PCST">#REF!</definedName>
    <definedName name="PDE" localSheetId="15">#REF!</definedName>
    <definedName name="PDE">#REF!</definedName>
    <definedName name="PDM">#REF!</definedName>
    <definedName name="PED" localSheetId="15">#REF!</definedName>
    <definedName name="PED">#REF!</definedName>
    <definedName name="PED.PISTA" localSheetId="15">#REF!</definedName>
    <definedName name="PED.PISTA">#REF!</definedName>
    <definedName name="PEDA" localSheetId="15">#REF!</definedName>
    <definedName name="PEDA">#REF!</definedName>
    <definedName name="pedr" localSheetId="15">#REF!</definedName>
    <definedName name="pedr">#REF!</definedName>
    <definedName name="PEDR.PISTA" localSheetId="15">#REF!</definedName>
    <definedName name="PEDR.PISTA">#REF!</definedName>
    <definedName name="PEDRA">#REF!</definedName>
    <definedName name="pedre" localSheetId="15">#REF!</definedName>
    <definedName name="pedre">#REF!</definedName>
    <definedName name="PEDREIRA" localSheetId="15">#REF!</definedName>
    <definedName name="PEDREIRA">#REF!</definedName>
    <definedName name="PEDREIRA.PISTA">#REF!</definedName>
    <definedName name="PEDREIRA.USINA">#REF!</definedName>
    <definedName name="PEDREIRA_P" localSheetId="15">#REF!</definedName>
    <definedName name="PEDREIRA_P">#REF!</definedName>
    <definedName name="pedreiro">#REF!</definedName>
    <definedName name="PEMN" localSheetId="15">#REF!</definedName>
    <definedName name="PEMN">#REF!</definedName>
    <definedName name="PEN">#REF!</definedName>
    <definedName name="PEN_13">#REF!</definedName>
    <definedName name="PEN_39">#REF!</definedName>
    <definedName name="PEN_6">#REF!</definedName>
    <definedName name="PER">#REF!</definedName>
    <definedName name="PercResid." localSheetId="15">#REF!</definedName>
    <definedName name="PercResid.">#REF!</definedName>
    <definedName name="PERIOD">#REF!</definedName>
    <definedName name="periodo">#REF!</definedName>
    <definedName name="Periodo_Acumulado">#REF!</definedName>
    <definedName name="Periodo_Liquido">#REF!</definedName>
    <definedName name="periodo_med">#REF!</definedName>
    <definedName name="PERIODOLIQUIDO_21">#REF!</definedName>
    <definedName name="pesquisa" localSheetId="15">#REF!</definedName>
    <definedName name="pesquisa">#REF!</definedName>
    <definedName name="pesquisa_25" localSheetId="15">#REF!</definedName>
    <definedName name="pesquisa_25">#REF!</definedName>
    <definedName name="pesquisa1">#REF!</definedName>
    <definedName name="PESSO" localSheetId="15">#REF!</definedName>
    <definedName name="PESSO">#REF!</definedName>
    <definedName name="PESSO_25" localSheetId="15">#REF!</definedName>
    <definedName name="PESSO_25">#REF!</definedName>
    <definedName name="PG">"$#REF!.$C$1"</definedName>
    <definedName name="PGP">"'file:///D:/Meus documentos/ANASTÁCIO/SERCEL/BR262990800.xls'#$SERVIÇOS.$#REF!$#REF!"</definedName>
    <definedName name="Pia_cozinha" localSheetId="15">#REF!</definedName>
    <definedName name="Pia_cozinha">#REF!</definedName>
    <definedName name="Pilar" localSheetId="15">#REF!</definedName>
    <definedName name="Pilar">#REF!</definedName>
    <definedName name="pint" localSheetId="15">#REF!</definedName>
    <definedName name="pint">#REF!</definedName>
    <definedName name="pint_lig" localSheetId="15">#REF!</definedName>
    <definedName name="pint_lig">#REF!</definedName>
    <definedName name="PintLig">#REF!</definedName>
    <definedName name="PINTLIGMBUFCORMAN">#REF!</definedName>
    <definedName name="PINTLIGMBUQCORMAN">#REF!</definedName>
    <definedName name="PINTLIGMBUQREC">#REF!</definedName>
    <definedName name="PINTLIGRECQMAN">#REF!</definedName>
    <definedName name="PINTLIGRECQREC">#REF!</definedName>
    <definedName name="PINTURA">#N/A</definedName>
    <definedName name="Pintura_cal" localSheetId="15">#REF!</definedName>
    <definedName name="Pintura_cal">#REF!</definedName>
    <definedName name="Pintura_óleo" localSheetId="15">#REF!</definedName>
    <definedName name="Pintura_óleo">#REF!</definedName>
    <definedName name="Piso_cimentado" localSheetId="15">#REF!</definedName>
    <definedName name="Piso_cimentado">#REF!</definedName>
    <definedName name="PISTA" localSheetId="18" hidden="1">{#N/A,#N/A,TRUE,"Serviços"}</definedName>
    <definedName name="PISTA" hidden="1">{#N/A,#N/A,TRUE,"Serviços"}</definedName>
    <definedName name="PISTAPDLD" localSheetId="15">#REF!</definedName>
    <definedName name="PISTAPDLD">#REF!</definedName>
    <definedName name="PISTAPDLE" localSheetId="15">#REF!</definedName>
    <definedName name="PISTAPDLE">#REF!</definedName>
    <definedName name="PISTAPELD" localSheetId="15">#REF!</definedName>
    <definedName name="PISTAPELD">#REF!</definedName>
    <definedName name="PISTAPELE" localSheetId="15">#REF!</definedName>
    <definedName name="PISTAPELE">#REF!</definedName>
    <definedName name="PL" localSheetId="15">#REF!</definedName>
    <definedName name="PL">#REF!</definedName>
    <definedName name="PL_25" localSheetId="15">#REF!</definedName>
    <definedName name="PL_25">#REF!</definedName>
    <definedName name="PL1_25" localSheetId="15">#REF!</definedName>
    <definedName name="PL1_25">#REF!</definedName>
    <definedName name="PLA" localSheetId="15">#REF!</definedName>
    <definedName name="PLA">#REF!</definedName>
    <definedName name="Placa" localSheetId="15">#REF!</definedName>
    <definedName name="Placa">#REF!</definedName>
    <definedName name="Placa_de_cimento" localSheetId="15">#REF!</definedName>
    <definedName name="Placa_de_cimento">#REF!</definedName>
    <definedName name="PLACA_OBRA" localSheetId="15">#REF!</definedName>
    <definedName name="PLACA_OBRA">#REF!</definedName>
    <definedName name="plan">#REF!</definedName>
    <definedName name="Plan1" localSheetId="1" hidden="1">#REF!</definedName>
    <definedName name="Plan1" localSheetId="2" hidden="1">#REF!</definedName>
    <definedName name="Plan1" localSheetId="3" hidden="1">#REF!</definedName>
    <definedName name="Plan1" localSheetId="4" hidden="1">#REF!</definedName>
    <definedName name="Plan1" localSheetId="5" hidden="1">#REF!</definedName>
    <definedName name="Plan1" localSheetId="6" hidden="1">#REF!</definedName>
    <definedName name="Plan1" localSheetId="24" hidden="1">#REF!</definedName>
    <definedName name="Plan1" localSheetId="25" hidden="1">#REF!</definedName>
    <definedName name="Plan1" localSheetId="27" hidden="1">#REF!</definedName>
    <definedName name="Plan1" localSheetId="20" hidden="1">#REF!</definedName>
    <definedName name="Plan1" localSheetId="15" hidden="1">#REF!</definedName>
    <definedName name="Plan1" localSheetId="22" hidden="1">#REF!</definedName>
    <definedName name="Plan1" hidden="1">#REF!</definedName>
    <definedName name="plan2">#REF!</definedName>
    <definedName name="plan3">#REF!</definedName>
    <definedName name="planilha" localSheetId="1" hidden="1">{#N/A,#N/A,TRUE,"Serviços"}</definedName>
    <definedName name="planilha" localSheetId="4" hidden="1">{#N/A,#N/A,TRUE,"Serviços"}</definedName>
    <definedName name="planilha" localSheetId="24" hidden="1">{#N/A,#N/A,TRUE,"Serviços"}</definedName>
    <definedName name="planilha" localSheetId="25" hidden="1">{#N/A,#N/A,TRUE,"Serviços"}</definedName>
    <definedName name="planilha" localSheetId="27" hidden="1">{#N/A,#N/A,TRUE,"Serviços"}</definedName>
    <definedName name="planilha" localSheetId="20" hidden="1">{#N/A,#N/A,TRUE,"Serviços"}</definedName>
    <definedName name="planilha" localSheetId="15" hidden="1">{#N/A,#N/A,TRUE,"Serviços"}</definedName>
    <definedName name="planilha" localSheetId="18" hidden="1">{#N/A,#N/A,TRUE,"Serviços"}</definedName>
    <definedName name="planilha" hidden="1">{#N/A,#N/A,TRUE,"Serviços"}</definedName>
    <definedName name="PlanilhasOriginais" localSheetId="15">#REF!</definedName>
    <definedName name="PlanilhasOriginais">#REF!</definedName>
    <definedName name="PLANO" localSheetId="15">#REF!</definedName>
    <definedName name="PLANO">#REF!</definedName>
    <definedName name="Plapla" localSheetId="15">#REF!</definedName>
    <definedName name="Plapla">#REF!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PTE" localSheetId="15">#REF!</definedName>
    <definedName name="PLPTE">#REF!</definedName>
    <definedName name="PLT" localSheetId="15">#REF!</definedName>
    <definedName name="PLT">#REF!</definedName>
    <definedName name="PLVC">"'file:///D:/Meus documentos/ANASTÁCIO/SERCEL/BR262990800.xls'#$SERVIÇOS.$#REF!$#REF!"</definedName>
    <definedName name="PLVD">"'file:///D:/Meus documentos/ANASTÁCIO/SERCEL/BR262990800.xls'#$SERVIÇOS.$#REF!$#REF!"</definedName>
    <definedName name="PLW">"$#REF!.$F$14"</definedName>
    <definedName name="PLWA">"$#REF!.$F$13"</definedName>
    <definedName name="pm">#REF!</definedName>
    <definedName name="PMBQA" localSheetId="15">#REF!</definedName>
    <definedName name="PMBQA">#REF!</definedName>
    <definedName name="PMBQT" localSheetId="15">#REF!</definedName>
    <definedName name="PMBQT">#REF!</definedName>
    <definedName name="PMD">#REF!</definedName>
    <definedName name="PMQ">#REF!</definedName>
    <definedName name="pnv">#REF!</definedName>
    <definedName name="PO" localSheetId="15">#REF!</definedName>
    <definedName name="PO">#REF!</definedName>
    <definedName name="POÇO_VISIT" localSheetId="15">#REF!</definedName>
    <definedName name="POÇO_VISIT">#REF!</definedName>
    <definedName name="PÓDEPEDRA">#REF!</definedName>
    <definedName name="Ponte">#N/A</definedName>
    <definedName name="Ponte_10">#N/A</definedName>
    <definedName name="Ponte_12">#N/A</definedName>
    <definedName name="Ponte_19">#N/A</definedName>
    <definedName name="Ponte_2">#N/A</definedName>
    <definedName name="Ponte_21">#N/A</definedName>
    <definedName name="Ponte_23">#N/A</definedName>
    <definedName name="Ponte_24">#N/A</definedName>
    <definedName name="Ponte_26">#N/A</definedName>
    <definedName name="Ponte_27">#N/A</definedName>
    <definedName name="Ponte_29">#N/A</definedName>
    <definedName name="Ponte_30">#N/A</definedName>
    <definedName name="Ponte_31">#N/A</definedName>
    <definedName name="Ponte_33">#N/A</definedName>
    <definedName name="Ponte_34">#N/A</definedName>
    <definedName name="Ponte_35">#N/A</definedName>
    <definedName name="Ponte_36">#N/A</definedName>
    <definedName name="Ponte_37">#N/A</definedName>
    <definedName name="Ponte_38">#N/A</definedName>
    <definedName name="Ponte_39">#N/A</definedName>
    <definedName name="Ponte_4">#N/A</definedName>
    <definedName name="Ponte_40">#N/A</definedName>
    <definedName name="Ponte_41">#N/A</definedName>
    <definedName name="Ponte_42">#N/A</definedName>
    <definedName name="Ponte_43">#N/A</definedName>
    <definedName name="Ponte_44">#N/A</definedName>
    <definedName name="Ponte_45">#N/A</definedName>
    <definedName name="Ponte_46">#N/A</definedName>
    <definedName name="Ponte_47">#N/A</definedName>
    <definedName name="Ponte_48">#N/A</definedName>
    <definedName name="Ponte_51">#N/A</definedName>
    <definedName name="Ponte_52">#N/A</definedName>
    <definedName name="Ponte_53">#N/A</definedName>
    <definedName name="Ponte_55">#N/A</definedName>
    <definedName name="Ponte_58">#N/A</definedName>
    <definedName name="Ponte_59">#N/A</definedName>
    <definedName name="Ponte_60">#N/A</definedName>
    <definedName name="Ponte_61">#N/A</definedName>
    <definedName name="Ponte_62">#N/A</definedName>
    <definedName name="Ponte_63">#N/A</definedName>
    <definedName name="Ponte_64">#N/A</definedName>
    <definedName name="Ponte_65">#N/A</definedName>
    <definedName name="Ponte_66">#N/A</definedName>
    <definedName name="Ponte_67">#N/A</definedName>
    <definedName name="Ponte_68">#N/A</definedName>
    <definedName name="Ponte_69">#N/A</definedName>
    <definedName name="Ponte_70">#N/A</definedName>
    <definedName name="Ponte_71">#N/A</definedName>
    <definedName name="Ponte_72">#N/A</definedName>
    <definedName name="Ponte_8">#N/A</definedName>
    <definedName name="popopopo" localSheetId="18" hidden="1">{#N/A,#N/A,FALSE,"MO (2)"}</definedName>
    <definedName name="popopopo" hidden="1">{#N/A,#N/A,FALSE,"MO (2)"}</definedName>
    <definedName name="Posição" localSheetId="1" hidden="1">#REF!</definedName>
    <definedName name="Posição" localSheetId="2" hidden="1">#REF!</definedName>
    <definedName name="Posição" localSheetId="3" hidden="1">#REF!</definedName>
    <definedName name="Posição" localSheetId="4" hidden="1">#REF!</definedName>
    <definedName name="Posição" localSheetId="5" hidden="1">#REF!</definedName>
    <definedName name="Posição" localSheetId="6" hidden="1">#REF!</definedName>
    <definedName name="Posição" localSheetId="24" hidden="1">#REF!</definedName>
    <definedName name="Posição" localSheetId="25" hidden="1">#REF!</definedName>
    <definedName name="Posição" localSheetId="27" hidden="1">#REF!</definedName>
    <definedName name="Posição" localSheetId="20" hidden="1">#REF!</definedName>
    <definedName name="Posição" localSheetId="15" hidden="1">#REF!</definedName>
    <definedName name="Posição" localSheetId="22" hidden="1">#REF!</definedName>
    <definedName name="Posição" hidden="1">#REF!</definedName>
    <definedName name="potencia" localSheetId="15">#REF!</definedName>
    <definedName name="potencia">#REF!</definedName>
    <definedName name="PPEN" localSheetId="15">#REF!</definedName>
    <definedName name="PPEN">#REF!</definedName>
    <definedName name="PPLA" localSheetId="15">#REF!</definedName>
    <definedName name="PPLA">#REF!</definedName>
    <definedName name="PPLT" localSheetId="15">#REF!</definedName>
    <definedName name="PPLT">#REF!</definedName>
    <definedName name="PPP" localSheetId="15">#REF!</definedName>
    <definedName name="PPP">#REF!</definedName>
    <definedName name="PRAZO" localSheetId="15">#REF!</definedName>
    <definedName name="PRAZO">#REF!</definedName>
    <definedName name="Prazo_de_Execucao">#REF!</definedName>
    <definedName name="PRAZO_OBRA">#REF!</definedName>
    <definedName name="PRAZOA" localSheetId="15">#REF!</definedName>
    <definedName name="PRAZOA">#REF!</definedName>
    <definedName name="PRBQ" localSheetId="15">#REF!</definedName>
    <definedName name="PRBQ">#REF!</definedName>
    <definedName name="PRCC" localSheetId="15">#REF!</definedName>
    <definedName name="PRCC">#REF!</definedName>
    <definedName name="Prd" hidden="1">#N/A</definedName>
    <definedName name="PrdAux" hidden="1">#N/A</definedName>
    <definedName name="PRDM">"'file:///D:/Meus documentos/ANASTÁCIO/SERCEL/BR262990800.xls'#$SERVIÇOS.$#REF!$#REF!"</definedName>
    <definedName name="PRE" localSheetId="15">#REF!</definedName>
    <definedName name="PRE">#REF!</definedName>
    <definedName name="pre.marc" localSheetId="15">#REF!</definedName>
    <definedName name="pre.marc">#REF!</definedName>
    <definedName name="Preço_Improd." localSheetId="15">#REF!</definedName>
    <definedName name="Preço_Improd.">#REF!</definedName>
    <definedName name="Preço_parcial">#REF!</definedName>
    <definedName name="Preço_prod." localSheetId="15">#REF!</definedName>
    <definedName name="Preço_prod.">#REF!</definedName>
    <definedName name="Preço_Unitário" localSheetId="15">#REF!</definedName>
    <definedName name="Preço_Unitário">#REF!</definedName>
    <definedName name="preco1" localSheetId="15">#REF!</definedName>
    <definedName name="preco1">#REF!</definedName>
    <definedName name="PREÇOSOBRAS">#REF!</definedName>
    <definedName name="PRECP" localSheetId="15">#REF!</definedName>
    <definedName name="PRECP">#REF!</definedName>
    <definedName name="PREGO">#REF!</definedName>
    <definedName name="Print" localSheetId="15">#REF!</definedName>
    <definedName name="Print">#REF!</definedName>
    <definedName name="Print_25" localSheetId="15">#REF!</definedName>
    <definedName name="Print_25">#REF!</definedName>
    <definedName name="Print_4" localSheetId="15">#REF!</definedName>
    <definedName name="Print_4">#REF!</definedName>
    <definedName name="Print_Area_MI" localSheetId="15">#REF!</definedName>
    <definedName name="Print_Area_MI">#REF!</definedName>
    <definedName name="Print_Area_MI_1" localSheetId="15">#REF!</definedName>
    <definedName name="Print_Area_MI_1">#REF!</definedName>
    <definedName name="Print_Area_MI_25" localSheetId="15">#REF!</definedName>
    <definedName name="Print_Area_MI_25">#REF!</definedName>
    <definedName name="Print_Area_MI_3" localSheetId="15">#REF!</definedName>
    <definedName name="Print_Area_MI_3">#REF!</definedName>
    <definedName name="Print_Area_MI_4" localSheetId="15">#REF!</definedName>
    <definedName name="Print_Area_MI_4">#REF!</definedName>
    <definedName name="Print_Area_MI_5" localSheetId="15">#REF!</definedName>
    <definedName name="Print_Area_MI_5">#REF!</definedName>
    <definedName name="Print_Titles_MI" localSheetId="15">#REF!</definedName>
    <definedName name="Print_Titles_MI">#REF!</definedName>
    <definedName name="PRINT_TITLES_MI_3" localSheetId="15">#REF!</definedName>
    <definedName name="PRINT_TITLES_MI_3">#REF!</definedName>
    <definedName name="PRINT_TITLES_MI_4" localSheetId="15">#REF!</definedName>
    <definedName name="PRINT_TITLES_MI_4">#REF!</definedName>
    <definedName name="PRINT_TITLES_MI_5" localSheetId="15">#REF!</definedName>
    <definedName name="PRINT_TITLES_MI_5">#REF!</definedName>
    <definedName name="PRM1C" localSheetId="15">#REF!</definedName>
    <definedName name="PRM1C">#REF!</definedName>
    <definedName name="PRMCC">"'file:///D:/Meus documentos/ANASTÁCIO/SERCEL/BR262990800.xls'#$SERVIÇOS.$#REF!$#REF!"</definedName>
    <definedName name="proc">#REF!</definedName>
    <definedName name="PROD_1" localSheetId="1" hidden="1">{#N/A,#N/A,TRUE,"Serviços"}</definedName>
    <definedName name="PROD_1" localSheetId="4" hidden="1">{#N/A,#N/A,TRUE,"Serviços"}</definedName>
    <definedName name="PROD_1" localSheetId="24" hidden="1">{#N/A,#N/A,TRUE,"Serviços"}</definedName>
    <definedName name="PROD_1" localSheetId="25" hidden="1">{#N/A,#N/A,TRUE,"Serviços"}</definedName>
    <definedName name="PROD_1" localSheetId="27" hidden="1">{#N/A,#N/A,TRUE,"Serviços"}</definedName>
    <definedName name="PROD_1" localSheetId="20" hidden="1">{#N/A,#N/A,TRUE,"Serviços"}</definedName>
    <definedName name="PROD_1" localSheetId="15" hidden="1">{#N/A,#N/A,TRUE,"Serviços"}</definedName>
    <definedName name="PROD_1" localSheetId="18" hidden="1">{#N/A,#N/A,TRUE,"Serviços"}</definedName>
    <definedName name="PROD_1" hidden="1">{#N/A,#N/A,TRUE,"Serviços"}</definedName>
    <definedName name="PROD_11" localSheetId="18" hidden="1">{#N/A,#N/A,TRUE,"Serviços"}</definedName>
    <definedName name="PROD_11" hidden="1">{#N/A,#N/A,TRUE,"Serviços"}</definedName>
    <definedName name="produção" localSheetId="15">#REF!</definedName>
    <definedName name="produção">#REF!</definedName>
    <definedName name="Produção_13">#NAME?</definedName>
    <definedName name="produçao1" localSheetId="15">#REF!</definedName>
    <definedName name="produçao1">#REF!</definedName>
    <definedName name="PROPOSTA">#REF!</definedName>
    <definedName name="prot.ambient" localSheetId="15">#REF!</definedName>
    <definedName name="prot.ambient">#REF!</definedName>
    <definedName name="PRPA" localSheetId="15">#REF!</definedName>
    <definedName name="PRPA">#REF!</definedName>
    <definedName name="PRPL" localSheetId="15">#REF!</definedName>
    <definedName name="PRPL">#REF!</definedName>
    <definedName name="PRPT" localSheetId="15">#REF!</definedName>
    <definedName name="PRPT">#REF!</definedName>
    <definedName name="PRR1C" localSheetId="15">#REF!</definedName>
    <definedName name="PRR1C">#REF!</definedName>
    <definedName name="PRRMBF">"'file:///D:/Meus documentos/ANASTÁCIO/SERCEL/BR262990800.xls'#$SERVIÇOS.$#REF!$#REF!"</definedName>
    <definedName name="PRRP" localSheetId="15">#REF!</definedName>
    <definedName name="PRRP">#REF!</definedName>
    <definedName name="PSCB" localSheetId="15">#REF!</definedName>
    <definedName name="PSCB">#REF!</definedName>
    <definedName name="PSERVIÇOS" localSheetId="15">#REF!</definedName>
    <definedName name="PSERVIÇOS">#REF!</definedName>
    <definedName name="PSERVIÇOS_25" localSheetId="15">#REF!</definedName>
    <definedName name="PSERVIÇOS_25">#REF!</definedName>
    <definedName name="PTBA" localSheetId="15">#REF!</definedName>
    <definedName name="PTBA">#REF!</definedName>
    <definedName name="PTBT" localSheetId="15">#REF!</definedName>
    <definedName name="PTBT">#REF!</definedName>
    <definedName name="PTCAP20" localSheetId="15">#REF!</definedName>
    <definedName name="PTCAP20">#REF!</definedName>
    <definedName name="PTCM30" localSheetId="15">#REF!</definedName>
    <definedName name="PTCM30">#REF!</definedName>
    <definedName name="pte">#N/A</definedName>
    <definedName name="pte_38">#N/A</definedName>
    <definedName name="PTEB4" localSheetId="15">#REF!</definedName>
    <definedName name="PTEB4">#REF!</definedName>
    <definedName name="Pto" localSheetId="15">ROUND(#REF!*#REF!,2)</definedName>
    <definedName name="Pto">ROUND(#REF!*#REF!,2)</definedName>
    <definedName name="PTRM1C" localSheetId="15">#REF!</definedName>
    <definedName name="PTRM1C">#REF!</definedName>
    <definedName name="PTRR1C" localSheetId="15">#REF!</definedName>
    <definedName name="PTRR1C">#REF!</definedName>
    <definedName name="PTSD2" localSheetId="15">#REF!</definedName>
    <definedName name="PTSD2">#REF!</definedName>
    <definedName name="Pun">#N/A</definedName>
    <definedName name="Pun_26">NA()</definedName>
    <definedName name="Pun_27">NA()</definedName>
    <definedName name="pz" localSheetId="15">#REF!</definedName>
    <definedName name="pz">#REF!</definedName>
    <definedName name="Q" localSheetId="1" hidden="1">#REF!</definedName>
    <definedName name="Q" localSheetId="2" hidden="1">#REF!</definedName>
    <definedName name="Q" localSheetId="3" hidden="1">#REF!</definedName>
    <definedName name="Q" localSheetId="4" hidden="1">#REF!</definedName>
    <definedName name="Q" localSheetId="5" hidden="1">#REF!</definedName>
    <definedName name="Q" localSheetId="6" hidden="1">#REF!</definedName>
    <definedName name="Q" localSheetId="24" hidden="1">#REF!</definedName>
    <definedName name="Q" localSheetId="25" hidden="1">#REF!</definedName>
    <definedName name="Q" localSheetId="27" hidden="1">#REF!</definedName>
    <definedName name="Q" localSheetId="20" hidden="1">#REF!</definedName>
    <definedName name="Q" localSheetId="15" hidden="1">#REF!</definedName>
    <definedName name="Q" localSheetId="22" hidden="1">#REF!</definedName>
    <definedName name="Q" hidden="1">#REF!</definedName>
    <definedName name="Q.001">#REF!</definedName>
    <definedName name="Q.002">#REF!</definedName>
    <definedName name="Q.003">#REF!</definedName>
    <definedName name="Q.004">#REF!</definedName>
    <definedName name="Q.005">#REF!</definedName>
    <definedName name="Q.006">#REF!</definedName>
    <definedName name="Q.007">#REF!</definedName>
    <definedName name="Q.008">#REF!</definedName>
    <definedName name="Q.009">#REF!</definedName>
    <definedName name="Q.010">#REF!</definedName>
    <definedName name="Q.011">#REF!</definedName>
    <definedName name="Q.012">#REF!</definedName>
    <definedName name="Q.013">#REF!</definedName>
    <definedName name="Q.014">#REF!</definedName>
    <definedName name="Q.015">#REF!</definedName>
    <definedName name="q_25" localSheetId="15">#REF!</definedName>
    <definedName name="q_25">#REF!</definedName>
    <definedName name="QD" localSheetId="1" hidden="1">#REF!</definedName>
    <definedName name="QD" localSheetId="2" hidden="1">#REF!</definedName>
    <definedName name="QD" localSheetId="3" hidden="1">#REF!</definedName>
    <definedName name="QD" localSheetId="4" hidden="1">#REF!</definedName>
    <definedName name="QD" localSheetId="5" hidden="1">#REF!</definedName>
    <definedName name="QD" localSheetId="6" hidden="1">#REF!</definedName>
    <definedName name="QD" localSheetId="24" hidden="1">#REF!</definedName>
    <definedName name="QD" localSheetId="25" hidden="1">#REF!</definedName>
    <definedName name="QD" localSheetId="27" hidden="1">#REF!</definedName>
    <definedName name="QD" localSheetId="20" hidden="1">#REF!</definedName>
    <definedName name="QD" localSheetId="15" hidden="1">#REF!</definedName>
    <definedName name="QD" localSheetId="22" hidden="1">#REF!</definedName>
    <definedName name="QD" hidden="1">#REF!</definedName>
    <definedName name="Qd.Comp.Miranda">#N/A</definedName>
    <definedName name="Qd.Comp.Miranda_1">"plan1"</definedName>
    <definedName name="Qd.Comp.Miranda_3">"plan1"</definedName>
    <definedName name="qq" localSheetId="18" hidden="1">{#N/A,#N/A,FALSE,"MO (2)"}</definedName>
    <definedName name="qq" hidden="1">{#N/A,#N/A,FALSE,"MO (2)"}</definedName>
    <definedName name="QQ_1">#REF!</definedName>
    <definedName name="QQ_2">#N/A</definedName>
    <definedName name="qq_2_">#N/A</definedName>
    <definedName name="qq_2__38">#N/A</definedName>
    <definedName name="QQ_2_1">#N/A</definedName>
    <definedName name="QQ_2_10">#N/A</definedName>
    <definedName name="QQ_2_12">#N/A</definedName>
    <definedName name="QQ_2_13">#N/A</definedName>
    <definedName name="QQ_2_14">#N/A</definedName>
    <definedName name="QQ_2_19">#N/A</definedName>
    <definedName name="QQ_2_2">#N/A</definedName>
    <definedName name="QQ_2_20" localSheetId="18">#REF!</definedName>
    <definedName name="QQ_2_20">#REF!</definedName>
    <definedName name="QQ_2_21">#N/A</definedName>
    <definedName name="QQ_2_22">#N/A</definedName>
    <definedName name="QQ_2_23">#N/A</definedName>
    <definedName name="QQ_2_24">#N/A</definedName>
    <definedName name="QQ_2_25">#N/A</definedName>
    <definedName name="QQ_2_26">#N/A</definedName>
    <definedName name="QQ_2_27">#N/A</definedName>
    <definedName name="QQ_2_28">#N/A</definedName>
    <definedName name="QQ_2_29">#N/A</definedName>
    <definedName name="QQ_2_3">#N/A</definedName>
    <definedName name="QQ_2_30">#N/A</definedName>
    <definedName name="QQ_2_31">#N/A</definedName>
    <definedName name="QQ_2_32">#N/A</definedName>
    <definedName name="QQ_2_33">#N/A</definedName>
    <definedName name="QQ_2_34">#N/A</definedName>
    <definedName name="QQ_2_35">#N/A</definedName>
    <definedName name="QQ_2_36">#N/A</definedName>
    <definedName name="QQ_2_37">#N/A</definedName>
    <definedName name="QQ_2_38">#N/A</definedName>
    <definedName name="QQ_2_39">#N/A</definedName>
    <definedName name="QQ_2_4">#N/A</definedName>
    <definedName name="QQ_2_40">#N/A</definedName>
    <definedName name="QQ_2_41">#N/A</definedName>
    <definedName name="QQ_2_42">#N/A</definedName>
    <definedName name="QQ_2_43">#N/A</definedName>
    <definedName name="QQ_2_44">#N/A</definedName>
    <definedName name="QQ_2_45">#N/A</definedName>
    <definedName name="QQ_2_46">#N/A</definedName>
    <definedName name="QQ_2_47">#N/A</definedName>
    <definedName name="QQ_2_48">#N/A</definedName>
    <definedName name="QQ_2_5">#N/A</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#N/A</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#N/A</definedName>
    <definedName name="QQ_2_70">#N/A</definedName>
    <definedName name="QQ_2_71">#N/A</definedName>
    <definedName name="QQ_2_72">#N/A</definedName>
    <definedName name="QQ_2_8">#N/A</definedName>
    <definedName name="QQ_2_9">#N/A</definedName>
    <definedName name="qqq" localSheetId="15">#REF!</definedName>
    <definedName name="qqq">#REF!</definedName>
    <definedName name="qqqqq" localSheetId="18" hidden="1">{#N/A,#N/A,FALSE,"MO (2)"}</definedName>
    <definedName name="qqqqq" hidden="1">{#N/A,#N/A,FALSE,"MO (2)"}</definedName>
    <definedName name="qqqqqqqqqqqq">#REF!</definedName>
    <definedName name="QTD" localSheetId="1" hidden="1">#REF!</definedName>
    <definedName name="QTD" localSheetId="2" hidden="1">#REF!</definedName>
    <definedName name="QTD" localSheetId="3" hidden="1">#REF!</definedName>
    <definedName name="QTD" localSheetId="4" hidden="1">#REF!</definedName>
    <definedName name="QTD" localSheetId="5" hidden="1">#REF!</definedName>
    <definedName name="QTD" localSheetId="6" hidden="1">#REF!</definedName>
    <definedName name="QTD" localSheetId="24" hidden="1">#REF!</definedName>
    <definedName name="QTD" localSheetId="25" hidden="1">#REF!</definedName>
    <definedName name="QTD" localSheetId="27" hidden="1">#REF!</definedName>
    <definedName name="QTD" localSheetId="20" hidden="1">#REF!</definedName>
    <definedName name="QTD" localSheetId="15" hidden="1">#REF!</definedName>
    <definedName name="QTD" localSheetId="22" hidden="1">#REF!</definedName>
    <definedName name="QTD" hidden="1">#REF!</definedName>
    <definedName name="QtEq" localSheetId="1" hidden="1">#REF!</definedName>
    <definedName name="QtEq" localSheetId="2" hidden="1">#REF!</definedName>
    <definedName name="QtEq" localSheetId="3" hidden="1">#REF!</definedName>
    <definedName name="QtEq" localSheetId="4" hidden="1">#REF!</definedName>
    <definedName name="QtEq" localSheetId="5" hidden="1">#REF!</definedName>
    <definedName name="QtEq" localSheetId="6" hidden="1">#REF!</definedName>
    <definedName name="QtEq" localSheetId="24" hidden="1">#REF!</definedName>
    <definedName name="QtEq" localSheetId="25" hidden="1">#REF!</definedName>
    <definedName name="QtEq" localSheetId="27" hidden="1">#REF!</definedName>
    <definedName name="QtEq" localSheetId="20" hidden="1">#REF!</definedName>
    <definedName name="QtEq" localSheetId="15" hidden="1">#REF!</definedName>
    <definedName name="QtEq" localSheetId="22" hidden="1">#REF!</definedName>
    <definedName name="QtEq" hidden="1">#REF!</definedName>
    <definedName name="QtMo" localSheetId="1" hidden="1">#REF!</definedName>
    <definedName name="QtMo" localSheetId="2" hidden="1">#REF!</definedName>
    <definedName name="QtMo" localSheetId="3" hidden="1">#REF!</definedName>
    <definedName name="QtMo" localSheetId="4" hidden="1">#REF!</definedName>
    <definedName name="QtMo" localSheetId="5" hidden="1">#REF!</definedName>
    <definedName name="QtMo" localSheetId="6" hidden="1">#REF!</definedName>
    <definedName name="QtMo" localSheetId="24" hidden="1">#REF!</definedName>
    <definedName name="QtMo" localSheetId="25" hidden="1">#REF!</definedName>
    <definedName name="QtMo" localSheetId="27" hidden="1">#REF!</definedName>
    <definedName name="QtMo" localSheetId="20" hidden="1">#REF!</definedName>
    <definedName name="QtMo" localSheetId="15" hidden="1">#REF!</definedName>
    <definedName name="QtMo" localSheetId="22" hidden="1">#REF!</definedName>
    <definedName name="QtMo" hidden="1">#REF!</definedName>
    <definedName name="QtMp" localSheetId="1" hidden="1">#REF!</definedName>
    <definedName name="QtMp" localSheetId="2" hidden="1">#REF!</definedName>
    <definedName name="QtMp" localSheetId="3" hidden="1">#REF!</definedName>
    <definedName name="QtMp" localSheetId="4" hidden="1">#REF!</definedName>
    <definedName name="QtMp" localSheetId="5" hidden="1">#REF!</definedName>
    <definedName name="QtMp" localSheetId="6" hidden="1">#REF!</definedName>
    <definedName name="QtMp" localSheetId="24" hidden="1">#REF!</definedName>
    <definedName name="QtMp" localSheetId="25" hidden="1">#REF!</definedName>
    <definedName name="QtMp" localSheetId="27" hidden="1">#REF!</definedName>
    <definedName name="QtMp" localSheetId="20" hidden="1">#REF!</definedName>
    <definedName name="QtMp" localSheetId="15" hidden="1">#REF!</definedName>
    <definedName name="QtMp" localSheetId="22" hidden="1">#REF!</definedName>
    <definedName name="QtMp" hidden="1">#REF!</definedName>
    <definedName name="QtTr" localSheetId="1" hidden="1">#REF!</definedName>
    <definedName name="QtTr" localSheetId="2" hidden="1">#REF!</definedName>
    <definedName name="QtTr" localSheetId="3" hidden="1">#REF!</definedName>
    <definedName name="QtTr" localSheetId="4" hidden="1">#REF!</definedName>
    <definedName name="QtTr" localSheetId="5" hidden="1">#REF!</definedName>
    <definedName name="QtTr" localSheetId="6" hidden="1">#REF!</definedName>
    <definedName name="QtTr" localSheetId="24" hidden="1">#REF!</definedName>
    <definedName name="QtTr" localSheetId="25" hidden="1">#REF!</definedName>
    <definedName name="QtTr" localSheetId="27" hidden="1">#REF!</definedName>
    <definedName name="QtTr" localSheetId="20" hidden="1">#REF!</definedName>
    <definedName name="QtTr" localSheetId="15" hidden="1">#REF!</definedName>
    <definedName name="QtTr" localSheetId="22" hidden="1">#REF!</definedName>
    <definedName name="QtTr" hidden="1">#REF!</definedName>
    <definedName name="QUADRO">#REF!</definedName>
    <definedName name="QuadroGeral">#REF!</definedName>
    <definedName name="QUAL" localSheetId="18" hidden="1">{#N/A,#N/A,TRUE,"Serviços"}</definedName>
    <definedName name="QUAL" hidden="1">{#N/A,#N/A,TRUE,"Serviços"}</definedName>
    <definedName name="QUANT" localSheetId="15">#REF!</definedName>
    <definedName name="QUANT">#REF!</definedName>
    <definedName name="Quant." localSheetId="15">#REF!</definedName>
    <definedName name="Quant.">#REF!</definedName>
    <definedName name="Quant.1" localSheetId="15">#REF!</definedName>
    <definedName name="Quant.1">#REF!</definedName>
    <definedName name="QUANT_acumu" localSheetId="15">#REF!</definedName>
    <definedName name="QUANT_acumu">#REF!</definedName>
    <definedName name="QUANTIDADE" localSheetId="15">#REF!</definedName>
    <definedName name="QUANTIDADE">#REF!</definedName>
    <definedName name="quantidades" localSheetId="15">#REF!</definedName>
    <definedName name="quantidades">#REF!</definedName>
    <definedName name="QUE_P_E_ISSO">#REF!</definedName>
    <definedName name="quilometros" localSheetId="15">#REF!</definedName>
    <definedName name="quilometros">#REF!</definedName>
    <definedName name="qwer">#REF!</definedName>
    <definedName name="QWWEEEEEEEE">#REF!</definedName>
    <definedName name="r_2">NA()</definedName>
    <definedName name="rach">#N/A</definedName>
    <definedName name="rach_38">#N/A</definedName>
    <definedName name="Rachão">#N/A</definedName>
    <definedName name="Rachão_10">#N/A</definedName>
    <definedName name="Rachão_2">#N/A</definedName>
    <definedName name="Rachão_23">#N/A</definedName>
    <definedName name="Rachão_24">#N/A</definedName>
    <definedName name="Rachão_26">#N/A</definedName>
    <definedName name="Rachão_27">#N/A</definedName>
    <definedName name="Rachão_29">#N/A</definedName>
    <definedName name="Rachão_30">#N/A</definedName>
    <definedName name="Rachão_36">#N/A</definedName>
    <definedName name="Rachão_37">#N/A</definedName>
    <definedName name="Rachão_38">#N/A</definedName>
    <definedName name="Rachão_4">#N/A</definedName>
    <definedName name="Rachão_48">#N/A</definedName>
    <definedName name="Rachão_51">#N/A</definedName>
    <definedName name="Rachão_52">#N/A</definedName>
    <definedName name="Rachão_53">#N/A</definedName>
    <definedName name="Rachão_55">#N/A</definedName>
    <definedName name="Rachão_67">#N/A</definedName>
    <definedName name="Rachão_68">#N/A</definedName>
    <definedName name="Rachão_69">#N/A</definedName>
    <definedName name="Rachão_70">#N/A</definedName>
    <definedName name="Rachão_71">#N/A</definedName>
    <definedName name="Rachão_72">#N/A</definedName>
    <definedName name="Radier" localSheetId="15">#REF!</definedName>
    <definedName name="Radier">#REF!</definedName>
    <definedName name="RBQ" localSheetId="15">#REF!</definedName>
    <definedName name="RBQ">#REF!</definedName>
    <definedName name="RBV">#REF!</definedName>
    <definedName name="RBV_25">#REF!</definedName>
    <definedName name="RBV_26">#REF!</definedName>
    <definedName name="RBV_28">#REF!</definedName>
    <definedName name="RBV_29">#REF!</definedName>
    <definedName name="RBV_31">#REF!</definedName>
    <definedName name="RBVV">#REF!</definedName>
    <definedName name="rc.cerca" localSheetId="15">#REF!</definedName>
    <definedName name="rc.cerca">#REF!</definedName>
    <definedName name="RCC" localSheetId="15">#REF!</definedName>
    <definedName name="RCC">#REF!</definedName>
    <definedName name="RDM">"'file:///D:/Meus documentos/ANASTÁCIO/SERCEL/BR262990800.xls'#$SERVIÇOS.$#REF!$#REF!"</definedName>
    <definedName name="re">#REF!</definedName>
    <definedName name="rea" localSheetId="15">#REF!</definedName>
    <definedName name="rea">#REF!</definedName>
    <definedName name="REAJ" localSheetId="15">#REF!</definedName>
    <definedName name="REAJ">#REF!</definedName>
    <definedName name="Reaterro" localSheetId="15">#REF!</definedName>
    <definedName name="Reaterro">#REF!</definedName>
    <definedName name="Reboco" localSheetId="15">#REF!</definedName>
    <definedName name="Reboco">#REF!</definedName>
    <definedName name="reboque" localSheetId="18" hidden="1">{#N/A,#N/A,FALSE,"MO (2)"}</definedName>
    <definedName name="reboque" hidden="1">{#N/A,#N/A,FALSE,"MO (2)"}</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#N/A</definedName>
    <definedName name="rec_68">#N/A</definedName>
    <definedName name="rec_69">#N/A</definedName>
    <definedName name="rec_70">#N/A</definedName>
    <definedName name="rec_71">#N/A</definedName>
    <definedName name="rec_72">#N/A</definedName>
    <definedName name="recc">#N/A</definedName>
    <definedName name="recc_38">#N/A</definedName>
    <definedName name="Recompo" localSheetId="15">#REF!</definedName>
    <definedName name="Recompo">#REF!</definedName>
    <definedName name="RECP" localSheetId="15">#REF!</definedName>
    <definedName name="RECP">#REF!</definedName>
    <definedName name="RECREV">#REF!</definedName>
    <definedName name="REDE_COLETORA_MAT" localSheetId="15">#REF!</definedName>
    <definedName name="REDE_COLETORA_MAT">#REF!</definedName>
    <definedName name="REDE_COLETORA_MATERIAL">#REF!</definedName>
    <definedName name="REDE_COLETORA_SERV" localSheetId="15">#REF!</definedName>
    <definedName name="REDE_COLETORA_SERV">#REF!</definedName>
    <definedName name="REDE_COLETORA_SERVIÇOS">#REF!</definedName>
    <definedName name="REFEITO" localSheetId="18" hidden="1">{#N/A,#N/A,FALSE,"Plan1"}</definedName>
    <definedName name="REFEITO" hidden="1">{#N/A,#N/A,FALSE,"Plan1"}</definedName>
    <definedName name="REFERENCIA.Descricao" localSheetId="1" hidden="1">IF(ISNUMBER(#REF!),OFFSET(INDIRECT(ORÇAMENTO.BancoRef),#REF!-1,3,1),#REF!)</definedName>
    <definedName name="REFERENCIA.Descricao" localSheetId="4" hidden="1">IF(ISNUMBER(#REF!),OFFSET(INDIRECT('CPAV004 4016096'!ORÇAMENTO.BancoRef),#REF!-1,3,1),#REF!)</definedName>
    <definedName name="REFERENCIA.Descricao" localSheetId="15" hidden="1">IF(ISNUMBER(#REF!),OFFSET(INDIRECT(LIMPEZA!ORÇAMENTO.BancoRef),#REF!-1,3,1),#REF!)</definedName>
    <definedName name="REFERENCIA.Descricao" localSheetId="18" hidden="1">IF(ISNUMBER(#REF!),OFFSET(INDIRECT(ORÇAMENTO.BancoRef),#REF!-1,3,1),#REF!)</definedName>
    <definedName name="REFERENCIA.Descricao" hidden="1">IF(ISNUMBER(#REF!),OFFSET(INDIRECT(ORÇAMENTO.BancoRef),#REF!-1,3,1),#REF!)</definedName>
    <definedName name="REFERENCIA.Desonerado" localSheetId="1" hidden="1">IF(ISNUMBER(#REF!),VALUE(OFFSET(INDIRECT(ORÇAMENTO.BancoRef),#REF!-1,5,1)),0)</definedName>
    <definedName name="REFERENCIA.Desonerado" localSheetId="4" hidden="1">IF(ISNUMBER(#REF!),VALUE(OFFSET(INDIRECT('CPAV004 4016096'!ORÇAMENTO.BancoRef),#REF!-1,5,1)),0)</definedName>
    <definedName name="REFERENCIA.Desonerado" localSheetId="15" hidden="1">IF(ISNUMBER(#REF!),VALUE(OFFSET(INDIRECT(LIMPEZA!ORÇAMENTO.BancoRef),#REF!-1,5,1)),0)</definedName>
    <definedName name="REFERENCIA.Desonerado" localSheetId="18" hidden="1">IF(ISNUMBER(#REF!),VALUE(OFFSET(INDIRECT(ORÇAMENTO.BancoRef),#REF!-1,5,1)),0)</definedName>
    <definedName name="REFERENCIA.Desonerado" hidden="1">IF(ISNUMBER(#REF!),VALUE(OFFSET(INDIRECT(ORÇAMENTO.BancoRef),#REF!-1,5,1)),0)</definedName>
    <definedName name="REFERENCIA.Unidade" localSheetId="1" hidden="1">IF(ISNUMBER(#REF!),OFFSET(INDIRECT(ORÇAMENTO.BancoRef),#REF!-1,4,1),"-")</definedName>
    <definedName name="REFERENCIA.Unidade" localSheetId="4" hidden="1">IF(ISNUMBER(#REF!),OFFSET(INDIRECT('CPAV004 4016096'!ORÇAMENTO.BancoRef),#REF!-1,4,1),"-")</definedName>
    <definedName name="REFERENCIA.Unidade" localSheetId="15" hidden="1">IF(ISNUMBER(#REF!),OFFSET(INDIRECT(LIMPEZA!ORÇAMENTO.BancoRef),#REF!-1,4,1),"-")</definedName>
    <definedName name="REFERENCIA.Unidade" localSheetId="18" hidden="1">IF(ISNUMBER(#REF!),OFFSET(INDIRECT(ORÇAMENTO.BancoRef),#REF!-1,4,1),"-")</definedName>
    <definedName name="REFERENCIA.Unidade" hidden="1">IF(ISNUMBER(#REF!),OFFSET(INDIRECT(ORÇAMENTO.BancoRef),#REF!-1,4,1),"-")</definedName>
    <definedName name="REG" localSheetId="15">#REF!</definedName>
    <definedName name="REG">#REF!</definedName>
    <definedName name="REG_25" localSheetId="15">#REF!</definedName>
    <definedName name="REG_25">#REF!</definedName>
    <definedName name="REG_SUB_LEITO" localSheetId="15">#REF!</definedName>
    <definedName name="REG_SUB_LEITO">#REF!</definedName>
    <definedName name="REGIAO" localSheetId="18">_L37C10</definedName>
    <definedName name="REGIAO">_L37C10</definedName>
    <definedName name="REGISTRO">#REF!</definedName>
    <definedName name="REGULA" localSheetId="15">#REF!</definedName>
    <definedName name="REGULA">#REF!</definedName>
    <definedName name="REGULA_10" localSheetId="15">#REF!</definedName>
    <definedName name="REGULA_10">#REF!</definedName>
    <definedName name="REGULA_25" localSheetId="15">#REF!</definedName>
    <definedName name="REGULA_25">#REF!</definedName>
    <definedName name="REGULA_27" localSheetId="15">#REF!</definedName>
    <definedName name="REGULA_27">#REF!</definedName>
    <definedName name="REGULA_29" localSheetId="15">#REF!</definedName>
    <definedName name="REGULA_29">#REF!</definedName>
    <definedName name="REGULA_9" localSheetId="15">#REF!</definedName>
    <definedName name="REGULA_9">#REF!</definedName>
    <definedName name="Reimbursement">"Reembolso"</definedName>
    <definedName name="REL" localSheetId="1" hidden="1">{#N/A,#N/A,TRUE,"Serviços"}</definedName>
    <definedName name="REL" localSheetId="4" hidden="1">{#N/A,#N/A,TRUE,"Serviços"}</definedName>
    <definedName name="REL" localSheetId="24" hidden="1">{#N/A,#N/A,TRUE,"Serviços"}</definedName>
    <definedName name="REL" localSheetId="25" hidden="1">{#N/A,#N/A,TRUE,"Serviços"}</definedName>
    <definedName name="REL" localSheetId="27" hidden="1">{#N/A,#N/A,TRUE,"Serviços"}</definedName>
    <definedName name="REL" localSheetId="20" hidden="1">{#N/A,#N/A,TRUE,"Serviços"}</definedName>
    <definedName name="REL" localSheetId="15" hidden="1">{#N/A,#N/A,TRUE,"Serviços"}</definedName>
    <definedName name="REL" localSheetId="18" hidden="1">{#N/A,#N/A,TRUE,"Serviços"}</definedName>
    <definedName name="REL" hidden="1">{#N/A,#N/A,TRUE,"Serviços"}</definedName>
    <definedName name="Relat" localSheetId="1" hidden="1">#REF!</definedName>
    <definedName name="Relat" localSheetId="2" hidden="1">#REF!</definedName>
    <definedName name="Relat" localSheetId="3" hidden="1">#REF!</definedName>
    <definedName name="Relat" localSheetId="4" hidden="1">#REF!</definedName>
    <definedName name="Relat" localSheetId="5" hidden="1">#REF!</definedName>
    <definedName name="Relat" localSheetId="6" hidden="1">#REF!</definedName>
    <definedName name="Relat" localSheetId="24" hidden="1">#REF!</definedName>
    <definedName name="Relat" localSheetId="25" hidden="1">#REF!</definedName>
    <definedName name="Relat" localSheetId="27" hidden="1">#REF!</definedName>
    <definedName name="Relat" localSheetId="20" hidden="1">#REF!</definedName>
    <definedName name="Relat" localSheetId="15" hidden="1">#REF!</definedName>
    <definedName name="Relat" localSheetId="22" hidden="1">#REF!</definedName>
    <definedName name="Relat" hidden="1">#REF!</definedName>
    <definedName name="RELATÓRIO_DOS_SERVIÇOS_EXECUTADOS" localSheetId="15">#REF!</definedName>
    <definedName name="RELATÓRIO_DOS_SERVIÇOS_EXECUTADOS">#REF!</definedName>
    <definedName name="RELL" localSheetId="18" hidden="1">{#N/A,#N/A,TRUE,"Serviços"}</definedName>
    <definedName name="RELL" hidden="1">{#N/A,#N/A,TRUE,"Serviços"}</definedName>
    <definedName name="RELMOBRA" localSheetId="18"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MENDO_20">#REF!</definedName>
    <definedName name="REMENDOF">#REF!</definedName>
    <definedName name="RemMatGran">#REF!</definedName>
    <definedName name="remoc" localSheetId="15">#REF!</definedName>
    <definedName name="remoc">#REF!</definedName>
    <definedName name="REMOÇÃO" localSheetId="15">#REF!</definedName>
    <definedName name="REMOÇÃO">#REF!</definedName>
    <definedName name="REMOÇÃO_PAV" localSheetId="15">#REF!</definedName>
    <definedName name="REMOÇÃO_PAV">#REF!</definedName>
    <definedName name="REMPROFREC">#REF!</definedName>
    <definedName name="REMPROQREC">#REF!</definedName>
    <definedName name="res">#N/A</definedName>
    <definedName name="res_38">#N/A</definedName>
    <definedName name="RESP">#REF!</definedName>
    <definedName name="resu" localSheetId="18" hidden="1">{#N/A,#N/A,FALSE,"MO (2)"}</definedName>
    <definedName name="resu" hidden="1">{#N/A,#N/A,FALSE,"MO (2)"}</definedName>
    <definedName name="RESUMO">#N/A</definedName>
    <definedName name="RESUMO_1">#N/A</definedName>
    <definedName name="RESUMO_10">#N/A</definedName>
    <definedName name="RESUMO_12">#N/A</definedName>
    <definedName name="RESUMO_13">#N/A</definedName>
    <definedName name="RESUMO_14">#N/A</definedName>
    <definedName name="RESUMO_19">#N/A</definedName>
    <definedName name="RESUMO_2">#N/A</definedName>
    <definedName name="RESUMO_20" localSheetId="18">#REF!</definedName>
    <definedName name="RESUMO_20">#REF!</definedName>
    <definedName name="RESUMO_21">#N/A</definedName>
    <definedName name="RESUMO_22">#N/A</definedName>
    <definedName name="RESUMO_23">#N/A</definedName>
    <definedName name="RESUMO_24">#N/A</definedName>
    <definedName name="RESUMO_25">#N/A</definedName>
    <definedName name="RESUMO_26">#N/A</definedName>
    <definedName name="RESUMO_27">#N/A</definedName>
    <definedName name="RESUMO_28">#N/A</definedName>
    <definedName name="RESUMO_29">#N/A</definedName>
    <definedName name="RESUMO_3">#N/A</definedName>
    <definedName name="RESUMO_30">#N/A</definedName>
    <definedName name="RESUMO_31">#N/A</definedName>
    <definedName name="RESUMO_32">#N/A</definedName>
    <definedName name="RESUMO_33">#N/A</definedName>
    <definedName name="RESUMO_34">#N/A</definedName>
    <definedName name="RESUMO_35">#N/A</definedName>
    <definedName name="RESUMO_36">#N/A</definedName>
    <definedName name="RESUMO_37">#N/A</definedName>
    <definedName name="RESUMO_38">#N/A</definedName>
    <definedName name="RESUMO_39">#N/A</definedName>
    <definedName name="RESUMO_4">#N/A</definedName>
    <definedName name="RESUMO_40">#N/A</definedName>
    <definedName name="RESUMO_41">#N/A</definedName>
    <definedName name="RESUMO_42">#N/A</definedName>
    <definedName name="RESUMO_43">#N/A</definedName>
    <definedName name="RESUMO_44">#N/A</definedName>
    <definedName name="RESUMO_45">#N/A</definedName>
    <definedName name="RESUMO_46">#N/A</definedName>
    <definedName name="RESUMO_47">#N/A</definedName>
    <definedName name="RESUMO_48">#N/A</definedName>
    <definedName name="RESUMO_5">#N/A</definedName>
    <definedName name="RESUMO_51">#N/A</definedName>
    <definedName name="RESUMO_52">#N/A</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#N/A</definedName>
    <definedName name="RESUMO_60">#N/A</definedName>
    <definedName name="RESUMO_61">#N/A</definedName>
    <definedName name="RESUMO_62">#N/A</definedName>
    <definedName name="RESUMO_63">#N/A</definedName>
    <definedName name="RESUMO_64">#N/A</definedName>
    <definedName name="RESUMO_65">#N/A</definedName>
    <definedName name="RESUMO_66">#N/A</definedName>
    <definedName name="RESUMO_67">#N/A</definedName>
    <definedName name="RESUMO_68">#N/A</definedName>
    <definedName name="RESUMO_69">#N/A</definedName>
    <definedName name="RESUMO_7">#N/A</definedName>
    <definedName name="RESUMO_70">#N/A</definedName>
    <definedName name="RESUMO_71">#N/A</definedName>
    <definedName name="RESUMO_72">#N/A</definedName>
    <definedName name="RESUMO_8">#N/A</definedName>
    <definedName name="RESUMO_9">#N/A</definedName>
    <definedName name="Resumo_dos_Materiais_Atividades">#REF!</definedName>
    <definedName name="resumo3" localSheetId="1" hidden="1">{#N/A,#N/A,FALSE,"MO (2)"}</definedName>
    <definedName name="resumo3" localSheetId="4" hidden="1">{#N/A,#N/A,FALSE,"MO (2)"}</definedName>
    <definedName name="resumo3" localSheetId="24" hidden="1">{#N/A,#N/A,FALSE,"MO (2)"}</definedName>
    <definedName name="resumo3" localSheetId="25" hidden="1">{#N/A,#N/A,FALSE,"MO (2)"}</definedName>
    <definedName name="resumo3" localSheetId="27" hidden="1">{#N/A,#N/A,FALSE,"MO (2)"}</definedName>
    <definedName name="resumo3" localSheetId="20" hidden="1">{#N/A,#N/A,FALSE,"MO (2)"}</definedName>
    <definedName name="resumo3" localSheetId="15" hidden="1">{#N/A,#N/A,FALSE,"MO (2)"}</definedName>
    <definedName name="resumo3" localSheetId="12" hidden="1">{#N/A,#N/A,FALSE,"MO (2)"}</definedName>
    <definedName name="resumo3" localSheetId="18" hidden="1">{#N/A,#N/A,FALSE,"MO (2)"}</definedName>
    <definedName name="resumo3" localSheetId="23" hidden="1">{#N/A,#N/A,FALSE,"MO (2)"}</definedName>
    <definedName name="resumo3" localSheetId="16" hidden="1">{#N/A,#N/A,FALSE,"MO (2)"}</definedName>
    <definedName name="resumo3" hidden="1">{#N/A,#N/A,FALSE,"MO (2)"}</definedName>
    <definedName name="resumo3_1" localSheetId="1" hidden="1">{#N/A,#N/A,FALSE,"MO (2)"}</definedName>
    <definedName name="resumo3_1" localSheetId="4" hidden="1">{#N/A,#N/A,FALSE,"MO (2)"}</definedName>
    <definedName name="resumo3_1" localSheetId="24" hidden="1">{#N/A,#N/A,FALSE,"MO (2)"}</definedName>
    <definedName name="resumo3_1" localSheetId="25" hidden="1">{#N/A,#N/A,FALSE,"MO (2)"}</definedName>
    <definedName name="resumo3_1" localSheetId="27" hidden="1">{#N/A,#N/A,FALSE,"MO (2)"}</definedName>
    <definedName name="resumo3_1" localSheetId="20" hidden="1">{#N/A,#N/A,FALSE,"MO (2)"}</definedName>
    <definedName name="resumo3_1" localSheetId="15" hidden="1">{#N/A,#N/A,FALSE,"MO (2)"}</definedName>
    <definedName name="resumo3_1" localSheetId="12" hidden="1">{#N/A,#N/A,FALSE,"MO (2)"}</definedName>
    <definedName name="resumo3_1" localSheetId="18" hidden="1">{#N/A,#N/A,FALSE,"MO (2)"}</definedName>
    <definedName name="resumo3_1" localSheetId="23" hidden="1">{#N/A,#N/A,FALSE,"MO (2)"}</definedName>
    <definedName name="resumo3_1" localSheetId="16" hidden="1">{#N/A,#N/A,FALSE,"MO (2)"}</definedName>
    <definedName name="resumo3_1" hidden="1">{#N/A,#N/A,FALSE,"MO (2)"}</definedName>
    <definedName name="resumoii" localSheetId="18" hidden="1">{#N/A,#N/A,FALSE,"MO (2)"}</definedName>
    <definedName name="resumoii" hidden="1">{#N/A,#N/A,FALSE,"MO (2)"}</definedName>
    <definedName name="resumou" localSheetId="1" hidden="1">{#N/A,#N/A,TRUE,"Plan1"}</definedName>
    <definedName name="resumou" localSheetId="4" hidden="1">{#N/A,#N/A,TRUE,"Plan1"}</definedName>
    <definedName name="resumou" localSheetId="24" hidden="1">{#N/A,#N/A,TRUE,"Plan1"}</definedName>
    <definedName name="resumou" localSheetId="25" hidden="1">{#N/A,#N/A,TRUE,"Plan1"}</definedName>
    <definedName name="resumou" localSheetId="27" hidden="1">{#N/A,#N/A,TRUE,"Plan1"}</definedName>
    <definedName name="resumou" localSheetId="20" hidden="1">{#N/A,#N/A,TRUE,"Plan1"}</definedName>
    <definedName name="resumou" localSheetId="15" hidden="1">{#N/A,#N/A,TRUE,"Plan1"}</definedName>
    <definedName name="resumou" localSheetId="18" hidden="1">{#N/A,#N/A,TRUE,"Plan1"}</definedName>
    <definedName name="resumou" localSheetId="23" hidden="1">{#N/A,#N/A,TRUE,"Plan1"}</definedName>
    <definedName name="resumou" hidden="1">{#N/A,#N/A,TRUE,"Plan1"}</definedName>
    <definedName name="resumou_1" localSheetId="18" hidden="1">{#N/A,#N/A,TRUE,"Plan1"}</definedName>
    <definedName name="resumou_1" hidden="1">{#N/A,#N/A,TRUE,"Plan1"}</definedName>
    <definedName name="REV" localSheetId="15">#REF!</definedName>
    <definedName name="REV">#REF!</definedName>
    <definedName name="RL_1C">#REF!</definedName>
    <definedName name="RL1C" localSheetId="15">#REF!</definedName>
    <definedName name="RL1C">#REF!</definedName>
    <definedName name="RM">"$#REF!.$E$31"</definedName>
    <definedName name="RM1C" localSheetId="15">#REF!</definedName>
    <definedName name="RM1C">#REF!</definedName>
    <definedName name="RM1CW">"$#REF!.$G$14"</definedName>
    <definedName name="RM1CWA">"$#REF!.$G$13"</definedName>
    <definedName name="RMA" localSheetId="15">#REF!</definedName>
    <definedName name="RMA">#REF!</definedName>
    <definedName name="RMA_10" localSheetId="15">#REF!</definedName>
    <definedName name="RMA_10">#REF!</definedName>
    <definedName name="RMA_25" localSheetId="15">#REF!</definedName>
    <definedName name="RMA_25">#REF!</definedName>
    <definedName name="RMA_27" localSheetId="15">#REF!</definedName>
    <definedName name="RMA_27">#REF!</definedName>
    <definedName name="RMA_29" localSheetId="15">#REF!</definedName>
    <definedName name="RMA_29">#REF!</definedName>
    <definedName name="RMA_9" localSheetId="15">#REF!</definedName>
    <definedName name="RMA_9">#REF!</definedName>
    <definedName name="RMAN">#REF!</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#REF!</definedName>
    <definedName name="RMECAT">#REF!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B">#REF!</definedName>
    <definedName name="ROBERTO">#REF!</definedName>
    <definedName name="ROÇO1">#N/A</definedName>
    <definedName name="rod" localSheetId="15">#REF!</definedName>
    <definedName name="rod">#REF!</definedName>
    <definedName name="Rodapé" localSheetId="15">#REF!</definedName>
    <definedName name="Rodapé">#REF!</definedName>
    <definedName name="rodo" localSheetId="15">#REF!</definedName>
    <definedName name="rodo">#REF!</definedName>
    <definedName name="RODO1" localSheetId="15">#REF!</definedName>
    <definedName name="RODO1">#REF!</definedName>
    <definedName name="RODO2" localSheetId="15">#REF!</definedName>
    <definedName name="RODO2">#REF!</definedName>
    <definedName name="RODOA" localSheetId="15">#REF!</definedName>
    <definedName name="RODOA">#REF!</definedName>
    <definedName name="RODOA1" localSheetId="15">#REF!</definedName>
    <definedName name="RODOA1">#REF!</definedName>
    <definedName name="rodov" localSheetId="15">#REF!</definedName>
    <definedName name="rodov">#REF!</definedName>
    <definedName name="rodovia" localSheetId="15">#REF!</definedName>
    <definedName name="rodovia">#REF!</definedName>
    <definedName name="Rodovia___................" localSheetId="15">#REF!</definedName>
    <definedName name="Rodovia___................">#REF!</definedName>
    <definedName name="RODOVIA1">#REF!</definedName>
    <definedName name="RODOVIA2">#REF!</definedName>
    <definedName name="Rodoviário">#REF!</definedName>
    <definedName name="Rotas" localSheetId="15">#REF!</definedName>
    <definedName name="Rotas">#REF!</definedName>
    <definedName name="RP">#REF!</definedName>
    <definedName name="RP_13">#REF!</definedName>
    <definedName name="RP_39">#REF!</definedName>
    <definedName name="RP_6">#REF!</definedName>
    <definedName name="RPA" localSheetId="15">#REF!</definedName>
    <definedName name="RPA">#REF!</definedName>
    <definedName name="RPL" localSheetId="15">#REF!</definedName>
    <definedName name="RPL">#REF!</definedName>
    <definedName name="RPM">#REF!</definedName>
    <definedName name="RPT" localSheetId="15">#REF!</definedName>
    <definedName name="RPT">#REF!</definedName>
    <definedName name="RPW">"$#REF!.$K$36"</definedName>
    <definedName name="RPWA">"$#REF!.$K$35"</definedName>
    <definedName name="RPZ">"'file:///D:/Meus documentos/ANASTÁCIO/SERCEL/BR262990800.xls'#$SERVIÇOS.$#REF!$#REF!"</definedName>
    <definedName name="rr" localSheetId="1" hidden="1">{#N/A,#N/A,TRUE,"Serviços"}</definedName>
    <definedName name="rr" localSheetId="4" hidden="1">{#N/A,#N/A,TRUE,"Serviços"}</definedName>
    <definedName name="rr" localSheetId="24" hidden="1">{#N/A,#N/A,TRUE,"Serviços"}</definedName>
    <definedName name="rr" localSheetId="25" hidden="1">{#N/A,#N/A,TRUE,"Serviços"}</definedName>
    <definedName name="rr" localSheetId="27" hidden="1">{#N/A,#N/A,TRUE,"Serviços"}</definedName>
    <definedName name="rr" localSheetId="20" hidden="1">{#N/A,#N/A,TRUE,"Serviços"}</definedName>
    <definedName name="rr" localSheetId="15" hidden="1">{#N/A,#N/A,TRUE,"Serviços"}</definedName>
    <definedName name="rr" localSheetId="18" hidden="1">{#N/A,#N/A,TRUE,"Serviços"}</definedName>
    <definedName name="rr" hidden="1">{#N/A,#N/A,TRUE,"Serviços"}</definedName>
    <definedName name="rr.2c">#REF!</definedName>
    <definedName name="rr.2c_pint" localSheetId="15">#REF!</definedName>
    <definedName name="rr.2c_pint">#REF!</definedName>
    <definedName name="RR_1C">#REF!</definedName>
    <definedName name="rr_2">NA()</definedName>
    <definedName name="RR_2C" localSheetId="15">#REF!</definedName>
    <definedName name="RR_2C">#REF!</definedName>
    <definedName name="RR1C" localSheetId="15">#REF!</definedName>
    <definedName name="RR1C">#REF!</definedName>
    <definedName name="RR1CW">"$#REF!.$H$14"</definedName>
    <definedName name="RR1CWA">"$#REF!.$H$13"</definedName>
    <definedName name="RR2C">#REF!</definedName>
    <definedName name="RRCOR_20">#REF!</definedName>
    <definedName name="RRD" localSheetId="15">#REF!</definedName>
    <definedName name="RRD">#REF!</definedName>
    <definedName name="rrff" localSheetId="1" hidden="1">{#N/A,#N/A,TRUE,"Serviços"}</definedName>
    <definedName name="rrff" localSheetId="4" hidden="1">{#N/A,#N/A,TRUE,"Serviços"}</definedName>
    <definedName name="rrff" localSheetId="24" hidden="1">{#N/A,#N/A,TRUE,"Serviços"}</definedName>
    <definedName name="rrff" localSheetId="25" hidden="1">{#N/A,#N/A,TRUE,"Serviços"}</definedName>
    <definedName name="rrff" localSheetId="27" hidden="1">{#N/A,#N/A,TRUE,"Serviços"}</definedName>
    <definedName name="rrff" localSheetId="20" hidden="1">{#N/A,#N/A,TRUE,"Serviços"}</definedName>
    <definedName name="rrff" localSheetId="15" hidden="1">{#N/A,#N/A,TRUE,"Serviços"}</definedName>
    <definedName name="rrff" localSheetId="18" hidden="1">{#N/A,#N/A,TRUE,"Serviços"}</definedName>
    <definedName name="rrff" hidden="1">{#N/A,#N/A,TRUE,"Serviços"}</definedName>
    <definedName name="rrfff" localSheetId="18"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 localSheetId="15">#REF!</definedName>
    <definedName name="RRP">#REF!</definedName>
    <definedName name="RRQ" localSheetId="15">#REF!</definedName>
    <definedName name="RRQ">#REF!</definedName>
    <definedName name="rrr" localSheetId="18" hidden="1">{#N/A,#N/A,TRUE,"Serviços"}</definedName>
    <definedName name="rrr" hidden="1">{#N/A,#N/A,TRUE,"Serviços"}</definedName>
    <definedName name="RRREC_20">#REF!</definedName>
    <definedName name="RRTOTAL">"$#REF!.$H$12"</definedName>
    <definedName name="RS" localSheetId="15">#REF!</definedName>
    <definedName name="RS">#REF!</definedName>
    <definedName name="RS_25" localSheetId="15">#REF!</definedName>
    <definedName name="RS_25">#REF!</definedName>
    <definedName name="rteg4">#REF!</definedName>
    <definedName name="RUA" localSheetId="15">#REF!</definedName>
    <definedName name="RUA">#REF!</definedName>
    <definedName name="rube">{"um","mil","um milhão","um bilhão","um trilhão"}</definedName>
    <definedName name="rz">#REF!</definedName>
    <definedName name="rz_13">#REF!</definedName>
    <definedName name="rz_39">#REF!</definedName>
    <definedName name="rz_6">#REF!</definedName>
    <definedName name="s">#REF!</definedName>
    <definedName name="saasa" localSheetId="18" hidden="1">{#N/A,#N/A,FALSE,"MO (2)"}</definedName>
    <definedName name="saasa" hidden="1">{#N/A,#N/A,FALSE,"MO (2)"}</definedName>
    <definedName name="SADADWE" localSheetId="18" hidden="1">{#N/A,#N/A,FALSE,"MO (2)"}</definedName>
    <definedName name="SADADWE" hidden="1">{#N/A,#N/A,FALSE,"MO (2)"}</definedName>
    <definedName name="SADERA" localSheetId="1" hidden="1">{#N/A,#N/A,FALSE,"MO (2)"}</definedName>
    <definedName name="SADERA" localSheetId="4" hidden="1">{#N/A,#N/A,FALSE,"MO (2)"}</definedName>
    <definedName name="SADERA" localSheetId="24" hidden="1">{#N/A,#N/A,FALSE,"MO (2)"}</definedName>
    <definedName name="SADERA" localSheetId="25" hidden="1">{#N/A,#N/A,FALSE,"MO (2)"}</definedName>
    <definedName name="SADERA" localSheetId="27" hidden="1">{#N/A,#N/A,FALSE,"MO (2)"}</definedName>
    <definedName name="SADERA" localSheetId="20" hidden="1">{#N/A,#N/A,FALSE,"MO (2)"}</definedName>
    <definedName name="SADERA" localSheetId="15" hidden="1">{#N/A,#N/A,FALSE,"MO (2)"}</definedName>
    <definedName name="SADERA" localSheetId="12" hidden="1">{#N/A,#N/A,FALSE,"MO (2)"}</definedName>
    <definedName name="SADERA" localSheetId="18" hidden="1">{#N/A,#N/A,FALSE,"MO (2)"}</definedName>
    <definedName name="SADERA" localSheetId="23" hidden="1">{#N/A,#N/A,FALSE,"MO (2)"}</definedName>
    <definedName name="SADERA" localSheetId="16" hidden="1">{#N/A,#N/A,FALSE,"MO (2)"}</definedName>
    <definedName name="SADERA" hidden="1">{#N/A,#N/A,FALSE,"MO (2)"}</definedName>
    <definedName name="SADERA_1" localSheetId="1" hidden="1">{#N/A,#N/A,FALSE,"MO (2)"}</definedName>
    <definedName name="SADERA_1" localSheetId="4" hidden="1">{#N/A,#N/A,FALSE,"MO (2)"}</definedName>
    <definedName name="SADERA_1" localSheetId="24" hidden="1">{#N/A,#N/A,FALSE,"MO (2)"}</definedName>
    <definedName name="SADERA_1" localSheetId="25" hidden="1">{#N/A,#N/A,FALSE,"MO (2)"}</definedName>
    <definedName name="SADERA_1" localSheetId="27" hidden="1">{#N/A,#N/A,FALSE,"MO (2)"}</definedName>
    <definedName name="SADERA_1" localSheetId="20" hidden="1">{#N/A,#N/A,FALSE,"MO (2)"}</definedName>
    <definedName name="SADERA_1" localSheetId="15" hidden="1">{#N/A,#N/A,FALSE,"MO (2)"}</definedName>
    <definedName name="SADERA_1" localSheetId="12" hidden="1">{#N/A,#N/A,FALSE,"MO (2)"}</definedName>
    <definedName name="SADERA_1" localSheetId="18" hidden="1">{#N/A,#N/A,FALSE,"MO (2)"}</definedName>
    <definedName name="SADERA_1" localSheetId="23" hidden="1">{#N/A,#N/A,FALSE,"MO (2)"}</definedName>
    <definedName name="SADERA_1" localSheetId="16" hidden="1">{#N/A,#N/A,FALSE,"MO (2)"}</definedName>
    <definedName name="SADERA_1" hidden="1">{#N/A,#N/A,FALSE,"MO (2)"}</definedName>
    <definedName name="saderadesa" localSheetId="1" hidden="1">{#N/A,#N/A,FALSE,"MO (2)"}</definedName>
    <definedName name="saderadesa" localSheetId="4" hidden="1">{#N/A,#N/A,FALSE,"MO (2)"}</definedName>
    <definedName name="saderadesa" localSheetId="24" hidden="1">{#N/A,#N/A,FALSE,"MO (2)"}</definedName>
    <definedName name="saderadesa" localSheetId="25" hidden="1">{#N/A,#N/A,FALSE,"MO (2)"}</definedName>
    <definedName name="saderadesa" localSheetId="27" hidden="1">{#N/A,#N/A,FALSE,"MO (2)"}</definedName>
    <definedName name="saderadesa" localSheetId="20" hidden="1">{#N/A,#N/A,FALSE,"MO (2)"}</definedName>
    <definedName name="saderadesa" localSheetId="15" hidden="1">{#N/A,#N/A,FALSE,"MO (2)"}</definedName>
    <definedName name="saderadesa" localSheetId="12" hidden="1">{#N/A,#N/A,FALSE,"MO (2)"}</definedName>
    <definedName name="saderadesa" localSheetId="18" hidden="1">{#N/A,#N/A,FALSE,"MO (2)"}</definedName>
    <definedName name="saderadesa" localSheetId="23" hidden="1">{#N/A,#N/A,FALSE,"MO (2)"}</definedName>
    <definedName name="saderadesa" localSheetId="16" hidden="1">{#N/A,#N/A,FALSE,"MO (2)"}</definedName>
    <definedName name="saderadesa" hidden="1">{#N/A,#N/A,FALSE,"MO (2)"}</definedName>
    <definedName name="saderadesa_1" localSheetId="1" hidden="1">{#N/A,#N/A,FALSE,"MO (2)"}</definedName>
    <definedName name="saderadesa_1" localSheetId="4" hidden="1">{#N/A,#N/A,FALSE,"MO (2)"}</definedName>
    <definedName name="saderadesa_1" localSheetId="24" hidden="1">{#N/A,#N/A,FALSE,"MO (2)"}</definedName>
    <definedName name="saderadesa_1" localSheetId="25" hidden="1">{#N/A,#N/A,FALSE,"MO (2)"}</definedName>
    <definedName name="saderadesa_1" localSheetId="27" hidden="1">{#N/A,#N/A,FALSE,"MO (2)"}</definedName>
    <definedName name="saderadesa_1" localSheetId="20" hidden="1">{#N/A,#N/A,FALSE,"MO (2)"}</definedName>
    <definedName name="saderadesa_1" localSheetId="15" hidden="1">{#N/A,#N/A,FALSE,"MO (2)"}</definedName>
    <definedName name="saderadesa_1" localSheetId="12" hidden="1">{#N/A,#N/A,FALSE,"MO (2)"}</definedName>
    <definedName name="saderadesa_1" localSheetId="18" hidden="1">{#N/A,#N/A,FALSE,"MO (2)"}</definedName>
    <definedName name="saderadesa_1" localSheetId="23" hidden="1">{#N/A,#N/A,FALSE,"MO (2)"}</definedName>
    <definedName name="saderadesa_1" localSheetId="16" hidden="1">{#N/A,#N/A,FALSE,"MO (2)"}</definedName>
    <definedName name="saderadesa_1" hidden="1">{#N/A,#N/A,FALSE,"MO (2)"}</definedName>
    <definedName name="saderasa" localSheetId="1" hidden="1">{#N/A,#N/A,FALSE,"MO (2)"}</definedName>
    <definedName name="saderasa" localSheetId="4" hidden="1">{#N/A,#N/A,FALSE,"MO (2)"}</definedName>
    <definedName name="saderasa" localSheetId="24" hidden="1">{#N/A,#N/A,FALSE,"MO (2)"}</definedName>
    <definedName name="saderasa" localSheetId="25" hidden="1">{#N/A,#N/A,FALSE,"MO (2)"}</definedName>
    <definedName name="saderasa" localSheetId="27" hidden="1">{#N/A,#N/A,FALSE,"MO (2)"}</definedName>
    <definedName name="saderasa" localSheetId="20" hidden="1">{#N/A,#N/A,FALSE,"MO (2)"}</definedName>
    <definedName name="saderasa" localSheetId="15" hidden="1">{#N/A,#N/A,FALSE,"MO (2)"}</definedName>
    <definedName name="saderasa" localSheetId="12" hidden="1">{#N/A,#N/A,FALSE,"MO (2)"}</definedName>
    <definedName name="saderasa" localSheetId="18" hidden="1">{#N/A,#N/A,FALSE,"MO (2)"}</definedName>
    <definedName name="saderasa" localSheetId="23" hidden="1">{#N/A,#N/A,FALSE,"MO (2)"}</definedName>
    <definedName name="saderasa" localSheetId="16" hidden="1">{#N/A,#N/A,FALSE,"MO (2)"}</definedName>
    <definedName name="saderasa" hidden="1">{#N/A,#N/A,FALSE,"MO (2)"}</definedName>
    <definedName name="saderasa_1" localSheetId="1" hidden="1">{#N/A,#N/A,FALSE,"MO (2)"}</definedName>
    <definedName name="saderasa_1" localSheetId="4" hidden="1">{#N/A,#N/A,FALSE,"MO (2)"}</definedName>
    <definedName name="saderasa_1" localSheetId="24" hidden="1">{#N/A,#N/A,FALSE,"MO (2)"}</definedName>
    <definedName name="saderasa_1" localSheetId="25" hidden="1">{#N/A,#N/A,FALSE,"MO (2)"}</definedName>
    <definedName name="saderasa_1" localSheetId="27" hidden="1">{#N/A,#N/A,FALSE,"MO (2)"}</definedName>
    <definedName name="saderasa_1" localSheetId="20" hidden="1">{#N/A,#N/A,FALSE,"MO (2)"}</definedName>
    <definedName name="saderasa_1" localSheetId="15" hidden="1">{#N/A,#N/A,FALSE,"MO (2)"}</definedName>
    <definedName name="saderasa_1" localSheetId="12" hidden="1">{#N/A,#N/A,FALSE,"MO (2)"}</definedName>
    <definedName name="saderasa_1" localSheetId="18" hidden="1">{#N/A,#N/A,FALSE,"MO (2)"}</definedName>
    <definedName name="saderasa_1" localSheetId="23" hidden="1">{#N/A,#N/A,FALSE,"MO (2)"}</definedName>
    <definedName name="saderasa_1" localSheetId="16" hidden="1">{#N/A,#N/A,FALSE,"MO (2)"}</definedName>
    <definedName name="saderasa_1" hidden="1">{#N/A,#N/A,FALSE,"MO (2)"}</definedName>
    <definedName name="saderefe" localSheetId="1" hidden="1">{#N/A,#N/A,FALSE,"MO (2)"}</definedName>
    <definedName name="saderefe" localSheetId="4" hidden="1">{#N/A,#N/A,FALSE,"MO (2)"}</definedName>
    <definedName name="saderefe" localSheetId="24" hidden="1">{#N/A,#N/A,FALSE,"MO (2)"}</definedName>
    <definedName name="saderefe" localSheetId="25" hidden="1">{#N/A,#N/A,FALSE,"MO (2)"}</definedName>
    <definedName name="saderefe" localSheetId="27" hidden="1">{#N/A,#N/A,FALSE,"MO (2)"}</definedName>
    <definedName name="saderefe" localSheetId="20" hidden="1">{#N/A,#N/A,FALSE,"MO (2)"}</definedName>
    <definedName name="saderefe" localSheetId="15" hidden="1">{#N/A,#N/A,FALSE,"MO (2)"}</definedName>
    <definedName name="saderefe" localSheetId="12" hidden="1">{#N/A,#N/A,FALSE,"MO (2)"}</definedName>
    <definedName name="saderefe" localSheetId="18" hidden="1">{#N/A,#N/A,FALSE,"MO (2)"}</definedName>
    <definedName name="saderefe" localSheetId="23" hidden="1">{#N/A,#N/A,FALSE,"MO (2)"}</definedName>
    <definedName name="saderefe" localSheetId="16" hidden="1">{#N/A,#N/A,FALSE,"MO (2)"}</definedName>
    <definedName name="saderefe" hidden="1">{#N/A,#N/A,FALSE,"MO (2)"}</definedName>
    <definedName name="saderefe_1" localSheetId="1" hidden="1">{#N/A,#N/A,FALSE,"MO (2)"}</definedName>
    <definedName name="saderefe_1" localSheetId="4" hidden="1">{#N/A,#N/A,FALSE,"MO (2)"}</definedName>
    <definedName name="saderefe_1" localSheetId="24" hidden="1">{#N/A,#N/A,FALSE,"MO (2)"}</definedName>
    <definedName name="saderefe_1" localSheetId="25" hidden="1">{#N/A,#N/A,FALSE,"MO (2)"}</definedName>
    <definedName name="saderefe_1" localSheetId="27" hidden="1">{#N/A,#N/A,FALSE,"MO (2)"}</definedName>
    <definedName name="saderefe_1" localSheetId="20" hidden="1">{#N/A,#N/A,FALSE,"MO (2)"}</definedName>
    <definedName name="saderefe_1" localSheetId="15" hidden="1">{#N/A,#N/A,FALSE,"MO (2)"}</definedName>
    <definedName name="saderefe_1" localSheetId="12" hidden="1">{#N/A,#N/A,FALSE,"MO (2)"}</definedName>
    <definedName name="saderefe_1" localSheetId="18" hidden="1">{#N/A,#N/A,FALSE,"MO (2)"}</definedName>
    <definedName name="saderefe_1" localSheetId="23" hidden="1">{#N/A,#N/A,FALSE,"MO (2)"}</definedName>
    <definedName name="saderefe_1" localSheetId="16" hidden="1">{#N/A,#N/A,FALSE,"MO (2)"}</definedName>
    <definedName name="saderefe_1" hidden="1">{#N/A,#N/A,FALSE,"MO (2)"}</definedName>
    <definedName name="Saída_Clique" localSheetId="18">#REF!</definedName>
    <definedName name="Saída_Clique">#REF!</definedName>
    <definedName name="salario">#REF!</definedName>
    <definedName name="SALÁRIOMINIMO" localSheetId="15">#REF!</definedName>
    <definedName name="SALÁRIOMINIMO">#REF!</definedName>
    <definedName name="salete" localSheetId="1" hidden="1">{#N/A,#N/A,FALSE,"MO (2)"}</definedName>
    <definedName name="salete" localSheetId="4" hidden="1">{#N/A,#N/A,FALSE,"MO (2)"}</definedName>
    <definedName name="salete" localSheetId="24" hidden="1">{#N/A,#N/A,FALSE,"MO (2)"}</definedName>
    <definedName name="salete" localSheetId="25" hidden="1">{#N/A,#N/A,FALSE,"MO (2)"}</definedName>
    <definedName name="salete" localSheetId="27" hidden="1">{#N/A,#N/A,FALSE,"MO (2)"}</definedName>
    <definedName name="salete" localSheetId="20" hidden="1">{#N/A,#N/A,FALSE,"MO (2)"}</definedName>
    <definedName name="salete" localSheetId="15" hidden="1">{#N/A,#N/A,FALSE,"MO (2)"}</definedName>
    <definedName name="salete" localSheetId="12" hidden="1">{#N/A,#N/A,FALSE,"MO (2)"}</definedName>
    <definedName name="salete" localSheetId="18" hidden="1">{#N/A,#N/A,FALSE,"MO (2)"}</definedName>
    <definedName name="salete" localSheetId="23" hidden="1">{#N/A,#N/A,FALSE,"MO (2)"}</definedName>
    <definedName name="salete" localSheetId="16" hidden="1">{#N/A,#N/A,FALSE,"MO (2)"}</definedName>
    <definedName name="salete" hidden="1">{#N/A,#N/A,FALSE,"MO (2)"}</definedName>
    <definedName name="salete.com" localSheetId="1" hidden="1">{#N/A,#N/A,FALSE,"MO (2)"}</definedName>
    <definedName name="salete.com" localSheetId="4" hidden="1">{#N/A,#N/A,FALSE,"MO (2)"}</definedName>
    <definedName name="salete.com" localSheetId="24" hidden="1">{#N/A,#N/A,FALSE,"MO (2)"}</definedName>
    <definedName name="salete.com" localSheetId="25" hidden="1">{#N/A,#N/A,FALSE,"MO (2)"}</definedName>
    <definedName name="salete.com" localSheetId="27" hidden="1">{#N/A,#N/A,FALSE,"MO (2)"}</definedName>
    <definedName name="salete.com" localSheetId="20" hidden="1">{#N/A,#N/A,FALSE,"MO (2)"}</definedName>
    <definedName name="salete.com" localSheetId="15" hidden="1">{#N/A,#N/A,FALSE,"MO (2)"}</definedName>
    <definedName name="salete.com" localSheetId="12" hidden="1">{#N/A,#N/A,FALSE,"MO (2)"}</definedName>
    <definedName name="salete.com" localSheetId="18" hidden="1">{#N/A,#N/A,FALSE,"MO (2)"}</definedName>
    <definedName name="salete.com" localSheetId="23" hidden="1">{#N/A,#N/A,FALSE,"MO (2)"}</definedName>
    <definedName name="salete.com" localSheetId="16" hidden="1">{#N/A,#N/A,FALSE,"MO (2)"}</definedName>
    <definedName name="salete.com" hidden="1">{#N/A,#N/A,FALSE,"MO (2)"}</definedName>
    <definedName name="salete.com_1" localSheetId="1" hidden="1">{#N/A,#N/A,FALSE,"MO (2)"}</definedName>
    <definedName name="salete.com_1" localSheetId="4" hidden="1">{#N/A,#N/A,FALSE,"MO (2)"}</definedName>
    <definedName name="salete.com_1" localSheetId="24" hidden="1">{#N/A,#N/A,FALSE,"MO (2)"}</definedName>
    <definedName name="salete.com_1" localSheetId="25" hidden="1">{#N/A,#N/A,FALSE,"MO (2)"}</definedName>
    <definedName name="salete.com_1" localSheetId="27" hidden="1">{#N/A,#N/A,FALSE,"MO (2)"}</definedName>
    <definedName name="salete.com_1" localSheetId="20" hidden="1">{#N/A,#N/A,FALSE,"MO (2)"}</definedName>
    <definedName name="salete.com_1" localSheetId="15" hidden="1">{#N/A,#N/A,FALSE,"MO (2)"}</definedName>
    <definedName name="salete.com_1" localSheetId="12" hidden="1">{#N/A,#N/A,FALSE,"MO (2)"}</definedName>
    <definedName name="salete.com_1" localSheetId="18" hidden="1">{#N/A,#N/A,FALSE,"MO (2)"}</definedName>
    <definedName name="salete.com_1" localSheetId="23" hidden="1">{#N/A,#N/A,FALSE,"MO (2)"}</definedName>
    <definedName name="salete.com_1" localSheetId="16" hidden="1">{#N/A,#N/A,FALSE,"MO (2)"}</definedName>
    <definedName name="salete.com_1" hidden="1">{#N/A,#N/A,FALSE,"MO (2)"}</definedName>
    <definedName name="salete_1" localSheetId="1" hidden="1">{#N/A,#N/A,FALSE,"MO (2)"}</definedName>
    <definedName name="salete_1" localSheetId="4" hidden="1">{#N/A,#N/A,FALSE,"MO (2)"}</definedName>
    <definedName name="salete_1" localSheetId="24" hidden="1">{#N/A,#N/A,FALSE,"MO (2)"}</definedName>
    <definedName name="salete_1" localSheetId="25" hidden="1">{#N/A,#N/A,FALSE,"MO (2)"}</definedName>
    <definedName name="salete_1" localSheetId="27" hidden="1">{#N/A,#N/A,FALSE,"MO (2)"}</definedName>
    <definedName name="salete_1" localSheetId="20" hidden="1">{#N/A,#N/A,FALSE,"MO (2)"}</definedName>
    <definedName name="salete_1" localSheetId="15" hidden="1">{#N/A,#N/A,FALSE,"MO (2)"}</definedName>
    <definedName name="salete_1" localSheetId="12" hidden="1">{#N/A,#N/A,FALSE,"MO (2)"}</definedName>
    <definedName name="salete_1" localSheetId="18" hidden="1">{#N/A,#N/A,FALSE,"MO (2)"}</definedName>
    <definedName name="salete_1" localSheetId="23" hidden="1">{#N/A,#N/A,FALSE,"MO (2)"}</definedName>
    <definedName name="salete_1" localSheetId="16" hidden="1">{#N/A,#N/A,FALSE,"MO (2)"}</definedName>
    <definedName name="salete_1" hidden="1">{#N/A,#N/A,FALSE,"MO (2)"}</definedName>
    <definedName name="salete333" localSheetId="1" hidden="1">{#N/A,#N/A,FALSE,"MO (2)"}</definedName>
    <definedName name="salete333" localSheetId="4" hidden="1">{#N/A,#N/A,FALSE,"MO (2)"}</definedName>
    <definedName name="salete333" localSheetId="24" hidden="1">{#N/A,#N/A,FALSE,"MO (2)"}</definedName>
    <definedName name="salete333" localSheetId="25" hidden="1">{#N/A,#N/A,FALSE,"MO (2)"}</definedName>
    <definedName name="salete333" localSheetId="27" hidden="1">{#N/A,#N/A,FALSE,"MO (2)"}</definedName>
    <definedName name="salete333" localSheetId="20" hidden="1">{#N/A,#N/A,FALSE,"MO (2)"}</definedName>
    <definedName name="salete333" localSheetId="15" hidden="1">{#N/A,#N/A,FALSE,"MO (2)"}</definedName>
    <definedName name="salete333" localSheetId="12" hidden="1">{#N/A,#N/A,FALSE,"MO (2)"}</definedName>
    <definedName name="salete333" localSheetId="18" hidden="1">{#N/A,#N/A,FALSE,"MO (2)"}</definedName>
    <definedName name="salete333" localSheetId="23" hidden="1">{#N/A,#N/A,FALSE,"MO (2)"}</definedName>
    <definedName name="salete333" localSheetId="16" hidden="1">{#N/A,#N/A,FALSE,"MO (2)"}</definedName>
    <definedName name="salete333" hidden="1">{#N/A,#N/A,FALSE,"MO (2)"}</definedName>
    <definedName name="salete333_1" localSheetId="1" hidden="1">{#N/A,#N/A,FALSE,"MO (2)"}</definedName>
    <definedName name="salete333_1" localSheetId="4" hidden="1">{#N/A,#N/A,FALSE,"MO (2)"}</definedName>
    <definedName name="salete333_1" localSheetId="24" hidden="1">{#N/A,#N/A,FALSE,"MO (2)"}</definedName>
    <definedName name="salete333_1" localSheetId="25" hidden="1">{#N/A,#N/A,FALSE,"MO (2)"}</definedName>
    <definedName name="salete333_1" localSheetId="27" hidden="1">{#N/A,#N/A,FALSE,"MO (2)"}</definedName>
    <definedName name="salete333_1" localSheetId="20" hidden="1">{#N/A,#N/A,FALSE,"MO (2)"}</definedName>
    <definedName name="salete333_1" localSheetId="15" hidden="1">{#N/A,#N/A,FALSE,"MO (2)"}</definedName>
    <definedName name="salete333_1" localSheetId="12" hidden="1">{#N/A,#N/A,FALSE,"MO (2)"}</definedName>
    <definedName name="salete333_1" localSheetId="18" hidden="1">{#N/A,#N/A,FALSE,"MO (2)"}</definedName>
    <definedName name="salete333_1" localSheetId="23" hidden="1">{#N/A,#N/A,FALSE,"MO (2)"}</definedName>
    <definedName name="salete333_1" localSheetId="16" hidden="1">{#N/A,#N/A,FALSE,"MO (2)"}</definedName>
    <definedName name="salete333_1" hidden="1">{#N/A,#N/A,FALSE,"MO (2)"}</definedName>
    <definedName name="SASA" localSheetId="1" hidden="1">{#N/A,#N/A,FALSE,"MO (2)"}</definedName>
    <definedName name="SASA" localSheetId="4" hidden="1">{#N/A,#N/A,FALSE,"MO (2)"}</definedName>
    <definedName name="SASA" localSheetId="24" hidden="1">{#N/A,#N/A,FALSE,"MO (2)"}</definedName>
    <definedName name="SASA" localSheetId="25" hidden="1">{#N/A,#N/A,FALSE,"MO (2)"}</definedName>
    <definedName name="SASA" localSheetId="27" hidden="1">{#N/A,#N/A,FALSE,"MO (2)"}</definedName>
    <definedName name="SASA" localSheetId="20" hidden="1">{#N/A,#N/A,FALSE,"MO (2)"}</definedName>
    <definedName name="SASA" localSheetId="15" hidden="1">{#N/A,#N/A,FALSE,"MO (2)"}</definedName>
    <definedName name="SASA" localSheetId="12" hidden="1">{#N/A,#N/A,FALSE,"MO (2)"}</definedName>
    <definedName name="SASA" localSheetId="18" hidden="1">{#N/A,#N/A,FALSE,"MO (2)"}</definedName>
    <definedName name="SASA" localSheetId="23" hidden="1">{#N/A,#N/A,FALSE,"MO (2)"}</definedName>
    <definedName name="SASA" localSheetId="16" hidden="1">{#N/A,#N/A,FALSE,"MO (2)"}</definedName>
    <definedName name="SASA" hidden="1">{#N/A,#N/A,FALSE,"MO (2)"}</definedName>
    <definedName name="sasa.com" localSheetId="1" hidden="1">{#N/A,#N/A,FALSE,"MO (2)"}</definedName>
    <definedName name="sasa.com" localSheetId="4" hidden="1">{#N/A,#N/A,FALSE,"MO (2)"}</definedName>
    <definedName name="sasa.com" localSheetId="24" hidden="1">{#N/A,#N/A,FALSE,"MO (2)"}</definedName>
    <definedName name="sasa.com" localSheetId="25" hidden="1">{#N/A,#N/A,FALSE,"MO (2)"}</definedName>
    <definedName name="sasa.com" localSheetId="27" hidden="1">{#N/A,#N/A,FALSE,"MO (2)"}</definedName>
    <definedName name="sasa.com" localSheetId="20" hidden="1">{#N/A,#N/A,FALSE,"MO (2)"}</definedName>
    <definedName name="sasa.com" localSheetId="15" hidden="1">{#N/A,#N/A,FALSE,"MO (2)"}</definedName>
    <definedName name="sasa.com" localSheetId="12" hidden="1">{#N/A,#N/A,FALSE,"MO (2)"}</definedName>
    <definedName name="sasa.com" localSheetId="18" hidden="1">{#N/A,#N/A,FALSE,"MO (2)"}</definedName>
    <definedName name="sasa.com" localSheetId="23" hidden="1">{#N/A,#N/A,FALSE,"MO (2)"}</definedName>
    <definedName name="sasa.com" localSheetId="16" hidden="1">{#N/A,#N/A,FALSE,"MO (2)"}</definedName>
    <definedName name="sasa.com" hidden="1">{#N/A,#N/A,FALSE,"MO (2)"}</definedName>
    <definedName name="sasa.com_1" localSheetId="1" hidden="1">{#N/A,#N/A,FALSE,"MO (2)"}</definedName>
    <definedName name="sasa.com_1" localSheetId="4" hidden="1">{#N/A,#N/A,FALSE,"MO (2)"}</definedName>
    <definedName name="sasa.com_1" localSheetId="24" hidden="1">{#N/A,#N/A,FALSE,"MO (2)"}</definedName>
    <definedName name="sasa.com_1" localSheetId="25" hidden="1">{#N/A,#N/A,FALSE,"MO (2)"}</definedName>
    <definedName name="sasa.com_1" localSheetId="27" hidden="1">{#N/A,#N/A,FALSE,"MO (2)"}</definedName>
    <definedName name="sasa.com_1" localSheetId="20" hidden="1">{#N/A,#N/A,FALSE,"MO (2)"}</definedName>
    <definedName name="sasa.com_1" localSheetId="15" hidden="1">{#N/A,#N/A,FALSE,"MO (2)"}</definedName>
    <definedName name="sasa.com_1" localSheetId="12" hidden="1">{#N/A,#N/A,FALSE,"MO (2)"}</definedName>
    <definedName name="sasa.com_1" localSheetId="18" hidden="1">{#N/A,#N/A,FALSE,"MO (2)"}</definedName>
    <definedName name="sasa.com_1" localSheetId="23" hidden="1">{#N/A,#N/A,FALSE,"MO (2)"}</definedName>
    <definedName name="sasa.com_1" localSheetId="16" hidden="1">{#N/A,#N/A,FALSE,"MO (2)"}</definedName>
    <definedName name="sasa.com_1" hidden="1">{#N/A,#N/A,FALSE,"MO (2)"}</definedName>
    <definedName name="SASA_1" localSheetId="1" hidden="1">{#N/A,#N/A,FALSE,"MO (2)"}</definedName>
    <definedName name="SASA_1" localSheetId="4" hidden="1">{#N/A,#N/A,FALSE,"MO (2)"}</definedName>
    <definedName name="SASA_1" localSheetId="24" hidden="1">{#N/A,#N/A,FALSE,"MO (2)"}</definedName>
    <definedName name="SASA_1" localSheetId="25" hidden="1">{#N/A,#N/A,FALSE,"MO (2)"}</definedName>
    <definedName name="SASA_1" localSheetId="27" hidden="1">{#N/A,#N/A,FALSE,"MO (2)"}</definedName>
    <definedName name="SASA_1" localSheetId="20" hidden="1">{#N/A,#N/A,FALSE,"MO (2)"}</definedName>
    <definedName name="SASA_1" localSheetId="15" hidden="1">{#N/A,#N/A,FALSE,"MO (2)"}</definedName>
    <definedName name="SASA_1" localSheetId="12" hidden="1">{#N/A,#N/A,FALSE,"MO (2)"}</definedName>
    <definedName name="SASA_1" localSheetId="18" hidden="1">{#N/A,#N/A,FALSE,"MO (2)"}</definedName>
    <definedName name="SASA_1" localSheetId="23" hidden="1">{#N/A,#N/A,FALSE,"MO (2)"}</definedName>
    <definedName name="SASA_1" localSheetId="16" hidden="1">{#N/A,#N/A,FALSE,"MO (2)"}</definedName>
    <definedName name="SASA_1" hidden="1">{#N/A,#N/A,FALSE,"MO (2)"}</definedName>
    <definedName name="sasaasa" localSheetId="1" hidden="1">{#N/A,#N/A,FALSE,"MO (2)"}</definedName>
    <definedName name="sasaasa" localSheetId="4" hidden="1">{#N/A,#N/A,FALSE,"MO (2)"}</definedName>
    <definedName name="sasaasa" localSheetId="24" hidden="1">{#N/A,#N/A,FALSE,"MO (2)"}</definedName>
    <definedName name="sasaasa" localSheetId="25" hidden="1">{#N/A,#N/A,FALSE,"MO (2)"}</definedName>
    <definedName name="sasaasa" localSheetId="27" hidden="1">{#N/A,#N/A,FALSE,"MO (2)"}</definedName>
    <definedName name="sasaasa" localSheetId="20" hidden="1">{#N/A,#N/A,FALSE,"MO (2)"}</definedName>
    <definedName name="sasaasa" localSheetId="15" hidden="1">{#N/A,#N/A,FALSE,"MO (2)"}</definedName>
    <definedName name="sasaasa" localSheetId="12" hidden="1">{#N/A,#N/A,FALSE,"MO (2)"}</definedName>
    <definedName name="sasaasa" localSheetId="18" hidden="1">{#N/A,#N/A,FALSE,"MO (2)"}</definedName>
    <definedName name="sasaasa" localSheetId="23" hidden="1">{#N/A,#N/A,FALSE,"MO (2)"}</definedName>
    <definedName name="sasaasa" localSheetId="16" hidden="1">{#N/A,#N/A,FALSE,"MO (2)"}</definedName>
    <definedName name="sasaasa" hidden="1">{#N/A,#N/A,FALSE,"MO (2)"}</definedName>
    <definedName name="sasaasa_1" localSheetId="1" hidden="1">{#N/A,#N/A,FALSE,"MO (2)"}</definedName>
    <definedName name="sasaasa_1" localSheetId="4" hidden="1">{#N/A,#N/A,FALSE,"MO (2)"}</definedName>
    <definedName name="sasaasa_1" localSheetId="24" hidden="1">{#N/A,#N/A,FALSE,"MO (2)"}</definedName>
    <definedName name="sasaasa_1" localSheetId="25" hidden="1">{#N/A,#N/A,FALSE,"MO (2)"}</definedName>
    <definedName name="sasaasa_1" localSheetId="27" hidden="1">{#N/A,#N/A,FALSE,"MO (2)"}</definedName>
    <definedName name="sasaasa_1" localSheetId="20" hidden="1">{#N/A,#N/A,FALSE,"MO (2)"}</definedName>
    <definedName name="sasaasa_1" localSheetId="15" hidden="1">{#N/A,#N/A,FALSE,"MO (2)"}</definedName>
    <definedName name="sasaasa_1" localSheetId="12" hidden="1">{#N/A,#N/A,FALSE,"MO (2)"}</definedName>
    <definedName name="sasaasa_1" localSheetId="18" hidden="1">{#N/A,#N/A,FALSE,"MO (2)"}</definedName>
    <definedName name="sasaasa_1" localSheetId="23" hidden="1">{#N/A,#N/A,FALSE,"MO (2)"}</definedName>
    <definedName name="sasaasa_1" localSheetId="16" hidden="1">{#N/A,#N/A,FALSE,"MO (2)"}</definedName>
    <definedName name="sasaasa_1" hidden="1">{#N/A,#N/A,FALSE,"MO (2)"}</definedName>
    <definedName name="sasadasas" localSheetId="1" hidden="1">{#N/A,#N/A,FALSE,"MO (2)"}</definedName>
    <definedName name="sasadasas" localSheetId="4" hidden="1">{#N/A,#N/A,FALSE,"MO (2)"}</definedName>
    <definedName name="sasadasas" localSheetId="24" hidden="1">{#N/A,#N/A,FALSE,"MO (2)"}</definedName>
    <definedName name="sasadasas" localSheetId="25" hidden="1">{#N/A,#N/A,FALSE,"MO (2)"}</definedName>
    <definedName name="sasadasas" localSheetId="27" hidden="1">{#N/A,#N/A,FALSE,"MO (2)"}</definedName>
    <definedName name="sasadasas" localSheetId="20" hidden="1">{#N/A,#N/A,FALSE,"MO (2)"}</definedName>
    <definedName name="sasadasas" localSheetId="15" hidden="1">{#N/A,#N/A,FALSE,"MO (2)"}</definedName>
    <definedName name="sasadasas" localSheetId="12" hidden="1">{#N/A,#N/A,FALSE,"MO (2)"}</definedName>
    <definedName name="sasadasas" localSheetId="18" hidden="1">{#N/A,#N/A,FALSE,"MO (2)"}</definedName>
    <definedName name="sasadasas" localSheetId="23" hidden="1">{#N/A,#N/A,FALSE,"MO (2)"}</definedName>
    <definedName name="sasadasas" localSheetId="16" hidden="1">{#N/A,#N/A,FALSE,"MO (2)"}</definedName>
    <definedName name="sasadasas" hidden="1">{#N/A,#N/A,FALSE,"MO (2)"}</definedName>
    <definedName name="sasadasas_1" localSheetId="1" hidden="1">{#N/A,#N/A,FALSE,"MO (2)"}</definedName>
    <definedName name="sasadasas_1" localSheetId="4" hidden="1">{#N/A,#N/A,FALSE,"MO (2)"}</definedName>
    <definedName name="sasadasas_1" localSheetId="24" hidden="1">{#N/A,#N/A,FALSE,"MO (2)"}</definedName>
    <definedName name="sasadasas_1" localSheetId="25" hidden="1">{#N/A,#N/A,FALSE,"MO (2)"}</definedName>
    <definedName name="sasadasas_1" localSheetId="27" hidden="1">{#N/A,#N/A,FALSE,"MO (2)"}</definedName>
    <definedName name="sasadasas_1" localSheetId="20" hidden="1">{#N/A,#N/A,FALSE,"MO (2)"}</definedName>
    <definedName name="sasadasas_1" localSheetId="15" hidden="1">{#N/A,#N/A,FALSE,"MO (2)"}</definedName>
    <definedName name="sasadasas_1" localSheetId="12" hidden="1">{#N/A,#N/A,FALSE,"MO (2)"}</definedName>
    <definedName name="sasadasas_1" localSheetId="18" hidden="1">{#N/A,#N/A,FALSE,"MO (2)"}</definedName>
    <definedName name="sasadasas_1" localSheetId="23" hidden="1">{#N/A,#N/A,FALSE,"MO (2)"}</definedName>
    <definedName name="sasadasas_1" localSheetId="16" hidden="1">{#N/A,#N/A,FALSE,"MO (2)"}</definedName>
    <definedName name="sasadasas_1" hidden="1">{#N/A,#N/A,FALSE,"MO (2)"}</definedName>
    <definedName name="SASADE" localSheetId="18" hidden="1">{#N/A,#N/A,FALSE,"MO (2)"}</definedName>
    <definedName name="SASADE" hidden="1">{#N/A,#N/A,FALSE,"MO (2)"}</definedName>
    <definedName name="sasadefadesa" localSheetId="1" hidden="1">{#N/A,#N/A,FALSE,"MO (2)"}</definedName>
    <definedName name="sasadefadesa" localSheetId="4" hidden="1">{#N/A,#N/A,FALSE,"MO (2)"}</definedName>
    <definedName name="sasadefadesa" localSheetId="24" hidden="1">{#N/A,#N/A,FALSE,"MO (2)"}</definedName>
    <definedName name="sasadefadesa" localSheetId="25" hidden="1">{#N/A,#N/A,FALSE,"MO (2)"}</definedName>
    <definedName name="sasadefadesa" localSheetId="27" hidden="1">{#N/A,#N/A,FALSE,"MO (2)"}</definedName>
    <definedName name="sasadefadesa" localSheetId="20" hidden="1">{#N/A,#N/A,FALSE,"MO (2)"}</definedName>
    <definedName name="sasadefadesa" localSheetId="15" hidden="1">{#N/A,#N/A,FALSE,"MO (2)"}</definedName>
    <definedName name="sasadefadesa" localSheetId="12" hidden="1">{#N/A,#N/A,FALSE,"MO (2)"}</definedName>
    <definedName name="sasadefadesa" localSheetId="18" hidden="1">{#N/A,#N/A,FALSE,"MO (2)"}</definedName>
    <definedName name="sasadefadesa" localSheetId="23" hidden="1">{#N/A,#N/A,FALSE,"MO (2)"}</definedName>
    <definedName name="sasadefadesa" localSheetId="16" hidden="1">{#N/A,#N/A,FALSE,"MO (2)"}</definedName>
    <definedName name="sasadefadesa" hidden="1">{#N/A,#N/A,FALSE,"MO (2)"}</definedName>
    <definedName name="sasadefadesa_1" localSheetId="1" hidden="1">{#N/A,#N/A,FALSE,"MO (2)"}</definedName>
    <definedName name="sasadefadesa_1" localSheetId="4" hidden="1">{#N/A,#N/A,FALSE,"MO (2)"}</definedName>
    <definedName name="sasadefadesa_1" localSheetId="24" hidden="1">{#N/A,#N/A,FALSE,"MO (2)"}</definedName>
    <definedName name="sasadefadesa_1" localSheetId="25" hidden="1">{#N/A,#N/A,FALSE,"MO (2)"}</definedName>
    <definedName name="sasadefadesa_1" localSheetId="27" hidden="1">{#N/A,#N/A,FALSE,"MO (2)"}</definedName>
    <definedName name="sasadefadesa_1" localSheetId="20" hidden="1">{#N/A,#N/A,FALSE,"MO (2)"}</definedName>
    <definedName name="sasadefadesa_1" localSheetId="15" hidden="1">{#N/A,#N/A,FALSE,"MO (2)"}</definedName>
    <definedName name="sasadefadesa_1" localSheetId="12" hidden="1">{#N/A,#N/A,FALSE,"MO (2)"}</definedName>
    <definedName name="sasadefadesa_1" localSheetId="18" hidden="1">{#N/A,#N/A,FALSE,"MO (2)"}</definedName>
    <definedName name="sasadefadesa_1" localSheetId="23" hidden="1">{#N/A,#N/A,FALSE,"MO (2)"}</definedName>
    <definedName name="sasadefadesa_1" localSheetId="16" hidden="1">{#N/A,#N/A,FALSE,"MO (2)"}</definedName>
    <definedName name="sasadefadesa_1" hidden="1">{#N/A,#N/A,FALSE,"MO (2)"}</definedName>
    <definedName name="SASASA" localSheetId="1" hidden="1">{#N/A,#N/A,FALSE,"MO (2)"}</definedName>
    <definedName name="SASASA" localSheetId="4" hidden="1">{#N/A,#N/A,FALSE,"MO (2)"}</definedName>
    <definedName name="SASASA" localSheetId="24" hidden="1">{#N/A,#N/A,FALSE,"MO (2)"}</definedName>
    <definedName name="SASASA" localSheetId="25" hidden="1">{#N/A,#N/A,FALSE,"MO (2)"}</definedName>
    <definedName name="SASASA" localSheetId="27" hidden="1">{#N/A,#N/A,FALSE,"MO (2)"}</definedName>
    <definedName name="SASASA" localSheetId="20" hidden="1">{#N/A,#N/A,FALSE,"MO (2)"}</definedName>
    <definedName name="SASASA" localSheetId="15" hidden="1">{#N/A,#N/A,FALSE,"MO (2)"}</definedName>
    <definedName name="SASASA" localSheetId="18" hidden="1">{#N/A,#N/A,FALSE,"MO (2)"}</definedName>
    <definedName name="SASASA" localSheetId="23" hidden="1">{#N/A,#N/A,FALSE,"MO (2)"}</definedName>
    <definedName name="SASASA" hidden="1">{#N/A,#N/A,FALSE,"MO (2)"}</definedName>
    <definedName name="SASASA_1" localSheetId="18" hidden="1">{#N/A,#N/A,FALSE,"MO (2)"}</definedName>
    <definedName name="SASASA_1" hidden="1">{#N/A,#N/A,FALSE,"MO (2)"}</definedName>
    <definedName name="sasda" localSheetId="18" hidden="1">{#N/A,#N/A,TRUE,"Serviços"}</definedName>
    <definedName name="sasda" hidden="1">{#N/A,#N/A,TRUE,"Serviços"}</definedName>
    <definedName name="sasdaa" localSheetId="18" hidden="1">{#N/A,#N/A,TRUE,"Serviços"}</definedName>
    <definedName name="sasdaa" hidden="1">{#N/A,#N/A,TRUE,"Serviços"}</definedName>
    <definedName name="sat" localSheetId="15">#REF!</definedName>
    <definedName name="sat">#REF!</definedName>
    <definedName name="saux" localSheetId="15">#REF!</definedName>
    <definedName name="saux">#REF!</definedName>
    <definedName name="SB" localSheetId="15">#REF!</definedName>
    <definedName name="SB">#REF!</definedName>
    <definedName name="sbg" localSheetId="15">#REF!</definedName>
    <definedName name="sbg">#REF!</definedName>
    <definedName name="sbg_25" localSheetId="15">#REF!</definedName>
    <definedName name="sbg_25">#REF!</definedName>
    <definedName name="SBRP">"'file:///D:/Meus documentos/ANASTÁCIO/SERCEL/BR262990800.xls'#$SERVIÇOS.$#REF!$#REF!"</definedName>
    <definedName name="SBTC" localSheetId="15">#REF!</definedName>
    <definedName name="SBTC">#REF!</definedName>
    <definedName name="SBTC_25" localSheetId="15">#REF!</definedName>
    <definedName name="SBTC_25">#REF!</definedName>
    <definedName name="SCB">#REF!</definedName>
    <definedName name="SCB_13">#REF!</definedName>
    <definedName name="SCB_39">#REF!</definedName>
    <definedName name="SCB_6">#REF!</definedName>
    <definedName name="scon" localSheetId="15">#REF!</definedName>
    <definedName name="scon">#REF!</definedName>
    <definedName name="sdsdsds" localSheetId="18" hidden="1">{#N/A,#N/A,FALSE,"MO (2)"}</definedName>
    <definedName name="sdsdsds" hidden="1">{#N/A,#N/A,FALSE,"MO (2)"}</definedName>
    <definedName name="sdsdsdsx" localSheetId="18" hidden="1">{#N/A,#N/A,FALSE,"MO (2)"}</definedName>
    <definedName name="sdsdsdsx" hidden="1">{#N/A,#N/A,FALSE,"MO (2)"}</definedName>
    <definedName name="se">#REF!</definedName>
    <definedName name="SEG" localSheetId="15">#REF!</definedName>
    <definedName name="SEG">#REF!</definedName>
    <definedName name="Seg_Carna" localSheetId="18">#REF!-48</definedName>
    <definedName name="Seg_Carna">#REF!-48</definedName>
    <definedName name="segm">#REF!</definedName>
    <definedName name="segment" localSheetId="15">#REF!</definedName>
    <definedName name="segment">#REF!</definedName>
    <definedName name="SEGMENTO">#REF!</definedName>
    <definedName name="SEGMTO">#REF!</definedName>
    <definedName name="SELO" localSheetId="15">#REF!</definedName>
    <definedName name="SELO">#REF!</definedName>
    <definedName name="SELOA" localSheetId="15">#REF!</definedName>
    <definedName name="SELOA">#REF!</definedName>
    <definedName name="sencount" hidden="1">1</definedName>
    <definedName name="ser">#REF!</definedName>
    <definedName name="SerP">#REF!</definedName>
    <definedName name="SERR">#REF!</definedName>
    <definedName name="serv">#REF!</definedName>
    <definedName name="Serv_prev" localSheetId="15">#REF!</definedName>
    <definedName name="Serv_prev">#REF!</definedName>
    <definedName name="servDNER">#REF!</definedName>
    <definedName name="servi">#REF!</definedName>
    <definedName name="Serviço" localSheetId="15">#REF!</definedName>
    <definedName name="Serviço">#REF!</definedName>
    <definedName name="serviço1" localSheetId="15">#REF!</definedName>
    <definedName name="serviço1">#REF!</definedName>
    <definedName name="ServiçoD">#REF!</definedName>
    <definedName name="Serviços" localSheetId="15">#REF!</definedName>
    <definedName name="Serviços">#REF!</definedName>
    <definedName name="Serviços_3">#REF!</definedName>
    <definedName name="Serviços_36">#REF!</definedName>
    <definedName name="SET" localSheetId="15">#REF!</definedName>
    <definedName name="SET">#REF!</definedName>
    <definedName name="SETEMBRO" localSheetId="1" hidden="1">{#N/A,#N/A,TRUE,"Serviços"}</definedName>
    <definedName name="SETEMBRO" localSheetId="4" hidden="1">{#N/A,#N/A,TRUE,"Serviços"}</definedName>
    <definedName name="SETEMBRO" localSheetId="24" hidden="1">{#N/A,#N/A,TRUE,"Serviços"}</definedName>
    <definedName name="SETEMBRO" localSheetId="25" hidden="1">{#N/A,#N/A,TRUE,"Serviços"}</definedName>
    <definedName name="SETEMBRO" localSheetId="27" hidden="1">{#N/A,#N/A,TRUE,"Serviços"}</definedName>
    <definedName name="SETEMBRO" localSheetId="20" hidden="1">{#N/A,#N/A,TRUE,"Serviços"}</definedName>
    <definedName name="SETEMBRO" localSheetId="15" hidden="1">{#N/A,#N/A,TRUE,"Serviços"}</definedName>
    <definedName name="SETEMBRO" localSheetId="18" hidden="1">{#N/A,#N/A,TRUE,"Serviços"}</definedName>
    <definedName name="SETEMBRO" hidden="1">{#N/A,#N/A,TRUE,"Serviços"}</definedName>
    <definedName name="SETEMBROO" localSheetId="18" hidden="1">{#N/A,#N/A,TRUE,"Serviços"}</definedName>
    <definedName name="SETEMBROO" hidden="1">{#N/A,#N/A,TRUE,"Serviços"}</definedName>
    <definedName name="SEV.CON" localSheetId="15">#REF!</definedName>
    <definedName name="SEV.CON">#REF!</definedName>
    <definedName name="SEV.EM" localSheetId="15">#REF!</definedName>
    <definedName name="SEV.EM">#REF!</definedName>
    <definedName name="sfsfsfs" localSheetId="1" hidden="1">{#N/A,#N/A,FALSE,"MO (2)"}</definedName>
    <definedName name="sfsfsfs" localSheetId="4" hidden="1">{#N/A,#N/A,FALSE,"MO (2)"}</definedName>
    <definedName name="sfsfsfs" localSheetId="24" hidden="1">{#N/A,#N/A,FALSE,"MO (2)"}</definedName>
    <definedName name="sfsfsfs" localSheetId="25" hidden="1">{#N/A,#N/A,FALSE,"MO (2)"}</definedName>
    <definedName name="sfsfsfs" localSheetId="27" hidden="1">{#N/A,#N/A,FALSE,"MO (2)"}</definedName>
    <definedName name="sfsfsfs" localSheetId="20" hidden="1">{#N/A,#N/A,FALSE,"MO (2)"}</definedName>
    <definedName name="sfsfsfs" localSheetId="15" hidden="1">{#N/A,#N/A,FALSE,"MO (2)"}</definedName>
    <definedName name="sfsfsfs" localSheetId="18" hidden="1">{#N/A,#N/A,FALSE,"MO (2)"}</definedName>
    <definedName name="sfsfsfs" localSheetId="23" hidden="1">{#N/A,#N/A,FALSE,"MO (2)"}</definedName>
    <definedName name="sfsfsfs" localSheetId="16" hidden="1">{#N/A,#N/A,FALSE,"MO (2)"}</definedName>
    <definedName name="sfsfsfs" hidden="1">{#N/A,#N/A,FALSE,"MO (2)"}</definedName>
    <definedName name="SG_01_01" localSheetId="15">#REF!</definedName>
    <definedName name="SG_01_01">#REF!</definedName>
    <definedName name="SG_01_02" localSheetId="15">#REF!</definedName>
    <definedName name="SG_01_02">#REF!</definedName>
    <definedName name="SG_01_03" localSheetId="15">#REF!</definedName>
    <definedName name="SG_01_03">#REF!</definedName>
    <definedName name="SG_01_04" localSheetId="15">#REF!</definedName>
    <definedName name="SG_01_04">#REF!</definedName>
    <definedName name="SG_01_05" localSheetId="15">#REF!</definedName>
    <definedName name="SG_01_05">#REF!</definedName>
    <definedName name="SG_01_06" localSheetId="15">#REF!</definedName>
    <definedName name="SG_01_06">#REF!</definedName>
    <definedName name="SG_01_07" localSheetId="15">#REF!</definedName>
    <definedName name="SG_01_07">#REF!</definedName>
    <definedName name="SG_01_08" localSheetId="15">#REF!</definedName>
    <definedName name="SG_01_08">#REF!</definedName>
    <definedName name="SG_01_09" localSheetId="15">#REF!</definedName>
    <definedName name="SG_01_09">#REF!</definedName>
    <definedName name="SG_01_10" localSheetId="15">#REF!</definedName>
    <definedName name="SG_01_10">#REF!</definedName>
    <definedName name="SG_01_11" localSheetId="15">#REF!</definedName>
    <definedName name="SG_01_11">#REF!</definedName>
    <definedName name="SG_01_12" localSheetId="15">#REF!</definedName>
    <definedName name="SG_01_12">#REF!</definedName>
    <definedName name="SG_01_13" localSheetId="15">#REF!</definedName>
    <definedName name="SG_01_13">#REF!</definedName>
    <definedName name="SG_01_14" localSheetId="15">#REF!</definedName>
    <definedName name="SG_01_14">#REF!</definedName>
    <definedName name="SG_01_15" localSheetId="15">#REF!</definedName>
    <definedName name="SG_01_15">#REF!</definedName>
    <definedName name="SG_01_16" localSheetId="15">#REF!</definedName>
    <definedName name="SG_01_16">#REF!</definedName>
    <definedName name="SG_01_17" localSheetId="15">#REF!</definedName>
    <definedName name="SG_01_17">#REF!</definedName>
    <definedName name="SG_01_18" localSheetId="15">#REF!</definedName>
    <definedName name="SG_01_18">#REF!</definedName>
    <definedName name="SG_01_19" localSheetId="15">#REF!</definedName>
    <definedName name="SG_01_19">#REF!</definedName>
    <definedName name="SG_01_20" localSheetId="15">#REF!</definedName>
    <definedName name="SG_01_20">#REF!</definedName>
    <definedName name="SG_01_21" localSheetId="15">#REF!</definedName>
    <definedName name="SG_01_21">#REF!</definedName>
    <definedName name="SG_01_22" localSheetId="15">#REF!</definedName>
    <definedName name="SG_01_22">#REF!</definedName>
    <definedName name="SG_01_23" localSheetId="15">#REF!</definedName>
    <definedName name="SG_01_23">#REF!</definedName>
    <definedName name="SG_01_24" localSheetId="15">#REF!</definedName>
    <definedName name="SG_01_24">#REF!</definedName>
    <definedName name="SG_01_25" localSheetId="15">#REF!</definedName>
    <definedName name="SG_01_25">#REF!</definedName>
    <definedName name="SG_02_01" localSheetId="15">#REF!</definedName>
    <definedName name="SG_02_01">#REF!</definedName>
    <definedName name="SG_02_02" localSheetId="15">#REF!</definedName>
    <definedName name="SG_02_02">#REF!</definedName>
    <definedName name="SG_02_03" localSheetId="15">#REF!</definedName>
    <definedName name="SG_02_03">#REF!</definedName>
    <definedName name="SG_02_04" localSheetId="15">#REF!</definedName>
    <definedName name="SG_02_04">#REF!</definedName>
    <definedName name="SG_02_05" localSheetId="15">#REF!</definedName>
    <definedName name="SG_02_05">#REF!</definedName>
    <definedName name="SG_02_06" localSheetId="15">#REF!</definedName>
    <definedName name="SG_02_06">#REF!</definedName>
    <definedName name="SG_02_07" localSheetId="15">#REF!</definedName>
    <definedName name="SG_02_07">#REF!</definedName>
    <definedName name="SG_02_08" localSheetId="15">#REF!</definedName>
    <definedName name="SG_02_08">#REF!</definedName>
    <definedName name="SG_02_09" localSheetId="15">#REF!</definedName>
    <definedName name="SG_02_09">#REF!</definedName>
    <definedName name="SG_02_10" localSheetId="15">#REF!</definedName>
    <definedName name="SG_02_10">#REF!</definedName>
    <definedName name="SG_02_11" localSheetId="15">#REF!</definedName>
    <definedName name="SG_02_11">#REF!</definedName>
    <definedName name="SG_02_12" localSheetId="15">#REF!</definedName>
    <definedName name="SG_02_12">#REF!</definedName>
    <definedName name="SG_02_13" localSheetId="15">#REF!</definedName>
    <definedName name="SG_02_13">#REF!</definedName>
    <definedName name="SG_02_14" localSheetId="15">#REF!</definedName>
    <definedName name="SG_02_14">#REF!</definedName>
    <definedName name="SG_02_15" localSheetId="15">#REF!</definedName>
    <definedName name="SG_02_15">#REF!</definedName>
    <definedName name="SG_02_16" localSheetId="15">#REF!</definedName>
    <definedName name="SG_02_16">#REF!</definedName>
    <definedName name="SG_02_17" localSheetId="15">#REF!</definedName>
    <definedName name="SG_02_17">#REF!</definedName>
    <definedName name="SG_02_18" localSheetId="15">#REF!</definedName>
    <definedName name="SG_02_18">#REF!</definedName>
    <definedName name="SG_02_19" localSheetId="15">#REF!</definedName>
    <definedName name="SG_02_19">#REF!</definedName>
    <definedName name="SG_02_20" localSheetId="15">#REF!</definedName>
    <definedName name="SG_02_20">#REF!</definedName>
    <definedName name="SG_02_21" localSheetId="15">#REF!</definedName>
    <definedName name="SG_02_21">#REF!</definedName>
    <definedName name="SG_02_22" localSheetId="15">#REF!</definedName>
    <definedName name="SG_02_22">#REF!</definedName>
    <definedName name="SG_02_23" localSheetId="15">#REF!</definedName>
    <definedName name="SG_02_23">#REF!</definedName>
    <definedName name="SG_02_24" localSheetId="15">#REF!</definedName>
    <definedName name="SG_02_24">#REF!</definedName>
    <definedName name="SG_02_25" localSheetId="15">#REF!</definedName>
    <definedName name="SG_02_25">#REF!</definedName>
    <definedName name="SG_03_01" localSheetId="15">#REF!</definedName>
    <definedName name="SG_03_01">#REF!</definedName>
    <definedName name="SG_03_02" localSheetId="15">#REF!</definedName>
    <definedName name="SG_03_02">#REF!</definedName>
    <definedName name="SG_03_03" localSheetId="15">#REF!</definedName>
    <definedName name="SG_03_03">#REF!</definedName>
    <definedName name="SG_03_04" localSheetId="15">#REF!</definedName>
    <definedName name="SG_03_04">#REF!</definedName>
    <definedName name="SG_03_05" localSheetId="15">#REF!</definedName>
    <definedName name="SG_03_05">#REF!</definedName>
    <definedName name="SG_03_06" localSheetId="15">#REF!</definedName>
    <definedName name="SG_03_06">#REF!</definedName>
    <definedName name="SG_03_07" localSheetId="15">#REF!</definedName>
    <definedName name="SG_03_07">#REF!</definedName>
    <definedName name="SG_03_08" localSheetId="15">#REF!</definedName>
    <definedName name="SG_03_08">#REF!</definedName>
    <definedName name="SG_03_09" localSheetId="15">#REF!</definedName>
    <definedName name="SG_03_09">#REF!</definedName>
    <definedName name="SG_03_10" localSheetId="15">#REF!</definedName>
    <definedName name="SG_03_10">#REF!</definedName>
    <definedName name="SG_03_11" localSheetId="15">#REF!</definedName>
    <definedName name="SG_03_11">#REF!</definedName>
    <definedName name="SG_03_12" localSheetId="15">#REF!</definedName>
    <definedName name="SG_03_12">#REF!</definedName>
    <definedName name="SG_03_13" localSheetId="15">#REF!</definedName>
    <definedName name="SG_03_13">#REF!</definedName>
    <definedName name="SG_03_14" localSheetId="15">#REF!</definedName>
    <definedName name="SG_03_14">#REF!</definedName>
    <definedName name="SG_03_15" localSheetId="15">#REF!</definedName>
    <definedName name="SG_03_15">#REF!</definedName>
    <definedName name="SG_03_16" localSheetId="15">#REF!</definedName>
    <definedName name="SG_03_16">#REF!</definedName>
    <definedName name="SG_03_17" localSheetId="15">#REF!</definedName>
    <definedName name="SG_03_17">#REF!</definedName>
    <definedName name="SG_03_18" localSheetId="15">#REF!</definedName>
    <definedName name="SG_03_18">#REF!</definedName>
    <definedName name="SG_03_19" localSheetId="15">#REF!</definedName>
    <definedName name="SG_03_19">#REF!</definedName>
    <definedName name="SG_03_20" localSheetId="15">#REF!</definedName>
    <definedName name="SG_03_20">#REF!</definedName>
    <definedName name="SG_03_21" localSheetId="15">#REF!</definedName>
    <definedName name="SG_03_21">#REF!</definedName>
    <definedName name="SG_03_22" localSheetId="15">#REF!</definedName>
    <definedName name="SG_03_22">#REF!</definedName>
    <definedName name="SG_03_23" localSheetId="15">#REF!</definedName>
    <definedName name="SG_03_23">#REF!</definedName>
    <definedName name="SG_03_24" localSheetId="15">#REF!</definedName>
    <definedName name="SG_03_24">#REF!</definedName>
    <definedName name="SG_03_25" localSheetId="15">#REF!</definedName>
    <definedName name="SG_03_25">#REF!</definedName>
    <definedName name="SG_04_01" localSheetId="15">#REF!</definedName>
    <definedName name="SG_04_01">#REF!</definedName>
    <definedName name="SG_04_02" localSheetId="15">#REF!</definedName>
    <definedName name="SG_04_02">#REF!</definedName>
    <definedName name="SG_04_03" localSheetId="15">#REF!</definedName>
    <definedName name="SG_04_03">#REF!</definedName>
    <definedName name="SG_04_04" localSheetId="15">#REF!</definedName>
    <definedName name="SG_04_04">#REF!</definedName>
    <definedName name="SG_04_05" localSheetId="15">#REF!</definedName>
    <definedName name="SG_04_05">#REF!</definedName>
    <definedName name="SG_04_06" localSheetId="15">#REF!</definedName>
    <definedName name="SG_04_06">#REF!</definedName>
    <definedName name="SG_04_07" localSheetId="15">#REF!</definedName>
    <definedName name="SG_04_07">#REF!</definedName>
    <definedName name="SG_04_08" localSheetId="15">#REF!</definedName>
    <definedName name="SG_04_08">#REF!</definedName>
    <definedName name="SG_04_09" localSheetId="15">#REF!</definedName>
    <definedName name="SG_04_09">#REF!</definedName>
    <definedName name="SG_04_10" localSheetId="15">#REF!</definedName>
    <definedName name="SG_04_10">#REF!</definedName>
    <definedName name="SG_04_11" localSheetId="15">#REF!</definedName>
    <definedName name="SG_04_11">#REF!</definedName>
    <definedName name="SG_04_12" localSheetId="15">#REF!</definedName>
    <definedName name="SG_04_12">#REF!</definedName>
    <definedName name="SG_04_13" localSheetId="15">#REF!</definedName>
    <definedName name="SG_04_13">#REF!</definedName>
    <definedName name="SG_04_14" localSheetId="15">#REF!</definedName>
    <definedName name="SG_04_14">#REF!</definedName>
    <definedName name="SG_04_15" localSheetId="15">#REF!</definedName>
    <definedName name="SG_04_15">#REF!</definedName>
    <definedName name="SG_04_16" localSheetId="15">#REF!</definedName>
    <definedName name="SG_04_16">#REF!</definedName>
    <definedName name="SG_04_17" localSheetId="15">#REF!</definedName>
    <definedName name="SG_04_17">#REF!</definedName>
    <definedName name="SG_04_18" localSheetId="15">#REF!</definedName>
    <definedName name="SG_04_18">#REF!</definedName>
    <definedName name="SG_04_19" localSheetId="15">#REF!</definedName>
    <definedName name="SG_04_19">#REF!</definedName>
    <definedName name="SG_04_20" localSheetId="15">#REF!</definedName>
    <definedName name="SG_04_20">#REF!</definedName>
    <definedName name="SG_04_21" localSheetId="15">#REF!</definedName>
    <definedName name="SG_04_21">#REF!</definedName>
    <definedName name="SG_04_22" localSheetId="15">#REF!</definedName>
    <definedName name="SG_04_22">#REF!</definedName>
    <definedName name="SG_04_23" localSheetId="15">#REF!</definedName>
    <definedName name="SG_04_23">#REF!</definedName>
    <definedName name="SG_04_24" localSheetId="15">#REF!</definedName>
    <definedName name="SG_04_24">#REF!</definedName>
    <definedName name="SG_04_25" localSheetId="15">#REF!</definedName>
    <definedName name="SG_04_25">#REF!</definedName>
    <definedName name="SG_05_01" localSheetId="15">#REF!</definedName>
    <definedName name="SG_05_01">#REF!</definedName>
    <definedName name="SG_05_02" localSheetId="15">#REF!</definedName>
    <definedName name="SG_05_02">#REF!</definedName>
    <definedName name="SG_05_03" localSheetId="15">#REF!</definedName>
    <definedName name="SG_05_03">#REF!</definedName>
    <definedName name="SG_05_04" localSheetId="15">#REF!</definedName>
    <definedName name="SG_05_04">#REF!</definedName>
    <definedName name="SG_05_05" localSheetId="15">#REF!</definedName>
    <definedName name="SG_05_05">#REF!</definedName>
    <definedName name="SG_05_06" localSheetId="15">#REF!</definedName>
    <definedName name="SG_05_06">#REF!</definedName>
    <definedName name="SG_05_07" localSheetId="15">#REF!</definedName>
    <definedName name="SG_05_07">#REF!</definedName>
    <definedName name="SG_05_08" localSheetId="15">#REF!</definedName>
    <definedName name="SG_05_08">#REF!</definedName>
    <definedName name="SG_05_09" localSheetId="15">#REF!</definedName>
    <definedName name="SG_05_09">#REF!</definedName>
    <definedName name="SG_05_10" localSheetId="15">#REF!</definedName>
    <definedName name="SG_05_10">#REF!</definedName>
    <definedName name="SG_05_11" localSheetId="15">#REF!</definedName>
    <definedName name="SG_05_11">#REF!</definedName>
    <definedName name="SG_05_12" localSheetId="15">#REF!</definedName>
    <definedName name="SG_05_12">#REF!</definedName>
    <definedName name="SG_05_13" localSheetId="15">#REF!</definedName>
    <definedName name="SG_05_13">#REF!</definedName>
    <definedName name="SG_05_14" localSheetId="15">#REF!</definedName>
    <definedName name="SG_05_14">#REF!</definedName>
    <definedName name="SG_05_15" localSheetId="15">#REF!</definedName>
    <definedName name="SG_05_15">#REF!</definedName>
    <definedName name="SG_05_16" localSheetId="15">#REF!</definedName>
    <definedName name="SG_05_16">#REF!</definedName>
    <definedName name="SG_05_17" localSheetId="15">#REF!</definedName>
    <definedName name="SG_05_17">#REF!</definedName>
    <definedName name="SG_05_18" localSheetId="15">#REF!</definedName>
    <definedName name="SG_05_18">#REF!</definedName>
    <definedName name="SG_05_19" localSheetId="15">#REF!</definedName>
    <definedName name="SG_05_19">#REF!</definedName>
    <definedName name="SG_05_20" localSheetId="15">#REF!</definedName>
    <definedName name="SG_05_20">#REF!</definedName>
    <definedName name="SG_05_21" localSheetId="15">#REF!</definedName>
    <definedName name="SG_05_21">#REF!</definedName>
    <definedName name="SG_05_22" localSheetId="15">#REF!</definedName>
    <definedName name="SG_05_22">#REF!</definedName>
    <definedName name="SG_05_23" localSheetId="15">#REF!</definedName>
    <definedName name="SG_05_23">#REF!</definedName>
    <definedName name="SG_05_24" localSheetId="15">#REF!</definedName>
    <definedName name="SG_05_24">#REF!</definedName>
    <definedName name="SG_05_25" localSheetId="15">#REF!</definedName>
    <definedName name="SG_05_25">#REF!</definedName>
    <definedName name="SG_06_01" localSheetId="15">#REF!</definedName>
    <definedName name="SG_06_01">#REF!</definedName>
    <definedName name="SG_06_02" localSheetId="15">#REF!</definedName>
    <definedName name="SG_06_02">#REF!</definedName>
    <definedName name="SG_06_03" localSheetId="15">#REF!</definedName>
    <definedName name="SG_06_03">#REF!</definedName>
    <definedName name="SG_06_04" localSheetId="15">#REF!</definedName>
    <definedName name="SG_06_04">#REF!</definedName>
    <definedName name="SG_06_05" localSheetId="15">#REF!</definedName>
    <definedName name="SG_06_05">#REF!</definedName>
    <definedName name="SG_06_06" localSheetId="15">#REF!</definedName>
    <definedName name="SG_06_06">#REF!</definedName>
    <definedName name="SG_06_07" localSheetId="15">#REF!</definedName>
    <definedName name="SG_06_07">#REF!</definedName>
    <definedName name="SG_06_08" localSheetId="15">#REF!</definedName>
    <definedName name="SG_06_08">#REF!</definedName>
    <definedName name="SG_06_09" localSheetId="15">#REF!</definedName>
    <definedName name="SG_06_09">#REF!</definedName>
    <definedName name="SG_06_10" localSheetId="15">#REF!</definedName>
    <definedName name="SG_06_10">#REF!</definedName>
    <definedName name="SG_06_11" localSheetId="15">#REF!</definedName>
    <definedName name="SG_06_11">#REF!</definedName>
    <definedName name="SG_06_12" localSheetId="15">#REF!</definedName>
    <definedName name="SG_06_12">#REF!</definedName>
    <definedName name="SG_06_13" localSheetId="15">#REF!</definedName>
    <definedName name="SG_06_13">#REF!</definedName>
    <definedName name="SG_06_14" localSheetId="15">#REF!</definedName>
    <definedName name="SG_06_14">#REF!</definedName>
    <definedName name="SG_06_15" localSheetId="15">#REF!</definedName>
    <definedName name="SG_06_15">#REF!</definedName>
    <definedName name="SG_06_16" localSheetId="15">#REF!</definedName>
    <definedName name="SG_06_16">#REF!</definedName>
    <definedName name="SG_06_17" localSheetId="15">#REF!</definedName>
    <definedName name="SG_06_17">#REF!</definedName>
    <definedName name="SG_06_18" localSheetId="15">#REF!</definedName>
    <definedName name="SG_06_18">#REF!</definedName>
    <definedName name="SG_06_19" localSheetId="15">#REF!</definedName>
    <definedName name="SG_06_19">#REF!</definedName>
    <definedName name="SG_06_20" localSheetId="15">#REF!</definedName>
    <definedName name="SG_06_20">#REF!</definedName>
    <definedName name="SG_06_21" localSheetId="15">#REF!</definedName>
    <definedName name="SG_06_21">#REF!</definedName>
    <definedName name="SG_06_22" localSheetId="15">#REF!</definedName>
    <definedName name="SG_06_22">#REF!</definedName>
    <definedName name="SG_06_23" localSheetId="15">#REF!</definedName>
    <definedName name="SG_06_23">#REF!</definedName>
    <definedName name="SG_06_24" localSheetId="15">#REF!</definedName>
    <definedName name="SG_06_24">#REF!</definedName>
    <definedName name="SG_06_25" localSheetId="15">#REF!</definedName>
    <definedName name="SG_06_25">#REF!</definedName>
    <definedName name="SG_07_01" localSheetId="15">#REF!</definedName>
    <definedName name="SG_07_01">#REF!</definedName>
    <definedName name="SG_07_02" localSheetId="15">#REF!</definedName>
    <definedName name="SG_07_02">#REF!</definedName>
    <definedName name="SG_07_03" localSheetId="15">#REF!</definedName>
    <definedName name="SG_07_03">#REF!</definedName>
    <definedName name="SG_07_04" localSheetId="15">#REF!</definedName>
    <definedName name="SG_07_04">#REF!</definedName>
    <definedName name="SG_07_05" localSheetId="15">#REF!</definedName>
    <definedName name="SG_07_05">#REF!</definedName>
    <definedName name="SG_07_06" localSheetId="15">#REF!</definedName>
    <definedName name="SG_07_06">#REF!</definedName>
    <definedName name="SG_07_07" localSheetId="15">#REF!</definedName>
    <definedName name="SG_07_07">#REF!</definedName>
    <definedName name="SG_07_08" localSheetId="15">#REF!</definedName>
    <definedName name="SG_07_08">#REF!</definedName>
    <definedName name="SG_07_09" localSheetId="15">#REF!</definedName>
    <definedName name="SG_07_09">#REF!</definedName>
    <definedName name="SG_07_10" localSheetId="15">#REF!</definedName>
    <definedName name="SG_07_10">#REF!</definedName>
    <definedName name="SG_07_11" localSheetId="15">#REF!</definedName>
    <definedName name="SG_07_11">#REF!</definedName>
    <definedName name="SG_07_12" localSheetId="15">#REF!</definedName>
    <definedName name="SG_07_12">#REF!</definedName>
    <definedName name="SG_07_13" localSheetId="15">#REF!</definedName>
    <definedName name="SG_07_13">#REF!</definedName>
    <definedName name="SG_07_14" localSheetId="15">#REF!</definedName>
    <definedName name="SG_07_14">#REF!</definedName>
    <definedName name="SG_07_15" localSheetId="15">#REF!</definedName>
    <definedName name="SG_07_15">#REF!</definedName>
    <definedName name="SG_07_16" localSheetId="15">#REF!</definedName>
    <definedName name="SG_07_16">#REF!</definedName>
    <definedName name="SG_07_17" localSheetId="15">#REF!</definedName>
    <definedName name="SG_07_17">#REF!</definedName>
    <definedName name="SG_07_18" localSheetId="15">#REF!</definedName>
    <definedName name="SG_07_18">#REF!</definedName>
    <definedName name="SG_07_19" localSheetId="15">#REF!</definedName>
    <definedName name="SG_07_19">#REF!</definedName>
    <definedName name="SG_07_20" localSheetId="15">#REF!</definedName>
    <definedName name="SG_07_20">#REF!</definedName>
    <definedName name="SG_07_21" localSheetId="15">#REF!</definedName>
    <definedName name="SG_07_21">#REF!</definedName>
    <definedName name="SG_07_22" localSheetId="15">#REF!</definedName>
    <definedName name="SG_07_22">#REF!</definedName>
    <definedName name="SG_07_23" localSheetId="15">#REF!</definedName>
    <definedName name="SG_07_23">#REF!</definedName>
    <definedName name="SG_07_24" localSheetId="15">#REF!</definedName>
    <definedName name="SG_07_24">#REF!</definedName>
    <definedName name="SG_07_25" localSheetId="15">#REF!</definedName>
    <definedName name="SG_07_25">#REF!</definedName>
    <definedName name="SG_08_01" localSheetId="15">#REF!</definedName>
    <definedName name="SG_08_01">#REF!</definedName>
    <definedName name="SG_08_02" localSheetId="15">#REF!</definedName>
    <definedName name="SG_08_02">#REF!</definedName>
    <definedName name="SG_08_03" localSheetId="15">#REF!</definedName>
    <definedName name="SG_08_03">#REF!</definedName>
    <definedName name="SG_08_04" localSheetId="15">#REF!</definedName>
    <definedName name="SG_08_04">#REF!</definedName>
    <definedName name="SG_08_05" localSheetId="15">#REF!</definedName>
    <definedName name="SG_08_05">#REF!</definedName>
    <definedName name="SG_08_06" localSheetId="15">#REF!</definedName>
    <definedName name="SG_08_06">#REF!</definedName>
    <definedName name="SG_08_07" localSheetId="15">#REF!</definedName>
    <definedName name="SG_08_07">#REF!</definedName>
    <definedName name="SG_08_08" localSheetId="15">#REF!</definedName>
    <definedName name="SG_08_08">#REF!</definedName>
    <definedName name="SG_08_09" localSheetId="15">#REF!</definedName>
    <definedName name="SG_08_09">#REF!</definedName>
    <definedName name="SG_08_10" localSheetId="15">#REF!</definedName>
    <definedName name="SG_08_10">#REF!</definedName>
    <definedName name="SG_08_11" localSheetId="15">#REF!</definedName>
    <definedName name="SG_08_11">#REF!</definedName>
    <definedName name="SG_08_12" localSheetId="15">#REF!</definedName>
    <definedName name="SG_08_12">#REF!</definedName>
    <definedName name="SG_08_13" localSheetId="15">#REF!</definedName>
    <definedName name="SG_08_13">#REF!</definedName>
    <definedName name="SG_08_14" localSheetId="15">#REF!</definedName>
    <definedName name="SG_08_14">#REF!</definedName>
    <definedName name="SG_08_15" localSheetId="15">#REF!</definedName>
    <definedName name="SG_08_15">#REF!</definedName>
    <definedName name="SG_08_16" localSheetId="15">#REF!</definedName>
    <definedName name="SG_08_16">#REF!</definedName>
    <definedName name="SG_08_17" localSheetId="15">#REF!</definedName>
    <definedName name="SG_08_17">#REF!</definedName>
    <definedName name="SG_08_18" localSheetId="15">#REF!</definedName>
    <definedName name="SG_08_18">#REF!</definedName>
    <definedName name="SG_08_19" localSheetId="15">#REF!</definedName>
    <definedName name="SG_08_19">#REF!</definedName>
    <definedName name="SG_08_20" localSheetId="15">#REF!</definedName>
    <definedName name="SG_08_20">#REF!</definedName>
    <definedName name="SG_08_21" localSheetId="15">#REF!</definedName>
    <definedName name="SG_08_21">#REF!</definedName>
    <definedName name="SG_08_22" localSheetId="15">#REF!</definedName>
    <definedName name="SG_08_22">#REF!</definedName>
    <definedName name="SG_08_23" localSheetId="15">#REF!</definedName>
    <definedName name="SG_08_23">#REF!</definedName>
    <definedName name="SG_08_24" localSheetId="15">#REF!</definedName>
    <definedName name="SG_08_24">#REF!</definedName>
    <definedName name="SG_08_25" localSheetId="15">#REF!</definedName>
    <definedName name="SG_08_25">#REF!</definedName>
    <definedName name="SG_09_01" localSheetId="15">#REF!</definedName>
    <definedName name="SG_09_01">#REF!</definedName>
    <definedName name="SG_09_02" localSheetId="15">#REF!</definedName>
    <definedName name="SG_09_02">#REF!</definedName>
    <definedName name="SG_09_03" localSheetId="15">#REF!</definedName>
    <definedName name="SG_09_03">#REF!</definedName>
    <definedName name="SG_09_04" localSheetId="15">#REF!</definedName>
    <definedName name="SG_09_04">#REF!</definedName>
    <definedName name="SG_09_05" localSheetId="15">#REF!</definedName>
    <definedName name="SG_09_05">#REF!</definedName>
    <definedName name="SG_09_06" localSheetId="15">#REF!</definedName>
    <definedName name="SG_09_06">#REF!</definedName>
    <definedName name="SG_09_07" localSheetId="15">#REF!</definedName>
    <definedName name="SG_09_07">#REF!</definedName>
    <definedName name="SG_09_08" localSheetId="15">#REF!</definedName>
    <definedName name="SG_09_08">#REF!</definedName>
    <definedName name="SG_09_09" localSheetId="15">#REF!</definedName>
    <definedName name="SG_09_09">#REF!</definedName>
    <definedName name="SG_09_10" localSheetId="15">#REF!</definedName>
    <definedName name="SG_09_10">#REF!</definedName>
    <definedName name="SG_09_11" localSheetId="15">#REF!</definedName>
    <definedName name="SG_09_11">#REF!</definedName>
    <definedName name="SG_09_12" localSheetId="15">#REF!</definedName>
    <definedName name="SG_09_12">#REF!</definedName>
    <definedName name="SG_09_13" localSheetId="15">#REF!</definedName>
    <definedName name="SG_09_13">#REF!</definedName>
    <definedName name="SG_09_14" localSheetId="15">#REF!</definedName>
    <definedName name="SG_09_14">#REF!</definedName>
    <definedName name="SG_09_15" localSheetId="15">#REF!</definedName>
    <definedName name="SG_09_15">#REF!</definedName>
    <definedName name="SG_09_16" localSheetId="15">#REF!</definedName>
    <definedName name="SG_09_16">#REF!</definedName>
    <definedName name="SG_09_17" localSheetId="15">#REF!</definedName>
    <definedName name="SG_09_17">#REF!</definedName>
    <definedName name="SG_09_18" localSheetId="15">#REF!</definedName>
    <definedName name="SG_09_18">#REF!</definedName>
    <definedName name="SG_09_19" localSheetId="15">#REF!</definedName>
    <definedName name="SG_09_19">#REF!</definedName>
    <definedName name="SG_09_20" localSheetId="15">#REF!</definedName>
    <definedName name="SG_09_20">#REF!</definedName>
    <definedName name="SG_09_21" localSheetId="15">#REF!</definedName>
    <definedName name="SG_09_21">#REF!</definedName>
    <definedName name="SG_09_22" localSheetId="15">#REF!</definedName>
    <definedName name="SG_09_22">#REF!</definedName>
    <definedName name="SG_09_23" localSheetId="15">#REF!</definedName>
    <definedName name="SG_09_23">#REF!</definedName>
    <definedName name="SG_09_24" localSheetId="15">#REF!</definedName>
    <definedName name="SG_09_24">#REF!</definedName>
    <definedName name="SG_09_25" localSheetId="15">#REF!</definedName>
    <definedName name="SG_09_25">#REF!</definedName>
    <definedName name="SG_10_01" localSheetId="15">#REF!</definedName>
    <definedName name="SG_10_01">#REF!</definedName>
    <definedName name="SG_10_02" localSheetId="15">#REF!</definedName>
    <definedName name="SG_10_02">#REF!</definedName>
    <definedName name="SG_10_03" localSheetId="15">#REF!</definedName>
    <definedName name="SG_10_03">#REF!</definedName>
    <definedName name="SG_10_04" localSheetId="15">#REF!</definedName>
    <definedName name="SG_10_04">#REF!</definedName>
    <definedName name="SG_10_05" localSheetId="15">#REF!</definedName>
    <definedName name="SG_10_05">#REF!</definedName>
    <definedName name="SG_10_06" localSheetId="15">#REF!</definedName>
    <definedName name="SG_10_06">#REF!</definedName>
    <definedName name="SG_10_07" localSheetId="15">#REF!</definedName>
    <definedName name="SG_10_07">#REF!</definedName>
    <definedName name="SG_10_08" localSheetId="15">#REF!</definedName>
    <definedName name="SG_10_08">#REF!</definedName>
    <definedName name="SG_10_09" localSheetId="15">#REF!</definedName>
    <definedName name="SG_10_09">#REF!</definedName>
    <definedName name="SG_10_10" localSheetId="15">#REF!</definedName>
    <definedName name="SG_10_10">#REF!</definedName>
    <definedName name="SG_10_11" localSheetId="15">#REF!</definedName>
    <definedName name="SG_10_11">#REF!</definedName>
    <definedName name="SG_10_12" localSheetId="15">#REF!</definedName>
    <definedName name="SG_10_12">#REF!</definedName>
    <definedName name="SG_10_13" localSheetId="15">#REF!</definedName>
    <definedName name="SG_10_13">#REF!</definedName>
    <definedName name="SG_10_14" localSheetId="15">#REF!</definedName>
    <definedName name="SG_10_14">#REF!</definedName>
    <definedName name="SG_10_15" localSheetId="15">#REF!</definedName>
    <definedName name="SG_10_15">#REF!</definedName>
    <definedName name="SG_10_16" localSheetId="15">#REF!</definedName>
    <definedName name="SG_10_16">#REF!</definedName>
    <definedName name="SG_10_17" localSheetId="15">#REF!</definedName>
    <definedName name="SG_10_17">#REF!</definedName>
    <definedName name="SG_10_18" localSheetId="15">#REF!</definedName>
    <definedName name="SG_10_18">#REF!</definedName>
    <definedName name="SG_10_19" localSheetId="15">#REF!</definedName>
    <definedName name="SG_10_19">#REF!</definedName>
    <definedName name="SG_10_20" localSheetId="15">#REF!</definedName>
    <definedName name="SG_10_20">#REF!</definedName>
    <definedName name="SG_10_21" localSheetId="15">#REF!</definedName>
    <definedName name="SG_10_21">#REF!</definedName>
    <definedName name="SG_10_22" localSheetId="15">#REF!</definedName>
    <definedName name="SG_10_22">#REF!</definedName>
    <definedName name="SG_10_23" localSheetId="15">#REF!</definedName>
    <definedName name="SG_10_23">#REF!</definedName>
    <definedName name="SG_10_24" localSheetId="15">#REF!</definedName>
    <definedName name="SG_10_24">#REF!</definedName>
    <definedName name="SG_10_25" localSheetId="15">#REF!</definedName>
    <definedName name="SG_10_25">#REF!</definedName>
    <definedName name="SG_11_01" localSheetId="15">#REF!</definedName>
    <definedName name="SG_11_01">#REF!</definedName>
    <definedName name="SG_11_02" localSheetId="15">#REF!</definedName>
    <definedName name="SG_11_02">#REF!</definedName>
    <definedName name="SG_11_03" localSheetId="15">#REF!</definedName>
    <definedName name="SG_11_03">#REF!</definedName>
    <definedName name="SG_11_04" localSheetId="15">#REF!</definedName>
    <definedName name="SG_11_04">#REF!</definedName>
    <definedName name="SG_11_05" localSheetId="15">#REF!</definedName>
    <definedName name="SG_11_05">#REF!</definedName>
    <definedName name="SG_11_06" localSheetId="15">#REF!</definedName>
    <definedName name="SG_11_06">#REF!</definedName>
    <definedName name="SG_11_07" localSheetId="15">#REF!</definedName>
    <definedName name="SG_11_07">#REF!</definedName>
    <definedName name="SG_11_08" localSheetId="15">#REF!</definedName>
    <definedName name="SG_11_08">#REF!</definedName>
    <definedName name="SG_11_09" localSheetId="15">#REF!</definedName>
    <definedName name="SG_11_09">#REF!</definedName>
    <definedName name="SG_11_10" localSheetId="15">#REF!</definedName>
    <definedName name="SG_11_10">#REF!</definedName>
    <definedName name="SG_11_11" localSheetId="15">#REF!</definedName>
    <definedName name="SG_11_11">#REF!</definedName>
    <definedName name="SG_11_12" localSheetId="15">#REF!</definedName>
    <definedName name="SG_11_12">#REF!</definedName>
    <definedName name="SG_11_13" localSheetId="15">#REF!</definedName>
    <definedName name="SG_11_13">#REF!</definedName>
    <definedName name="SG_11_14" localSheetId="15">#REF!</definedName>
    <definedName name="SG_11_14">#REF!</definedName>
    <definedName name="SG_11_15" localSheetId="15">#REF!</definedName>
    <definedName name="SG_11_15">#REF!</definedName>
    <definedName name="SG_11_16" localSheetId="15">#REF!</definedName>
    <definedName name="SG_11_16">#REF!</definedName>
    <definedName name="SG_11_17" localSheetId="15">#REF!</definedName>
    <definedName name="SG_11_17">#REF!</definedName>
    <definedName name="SG_11_18" localSheetId="15">#REF!</definedName>
    <definedName name="SG_11_18">#REF!</definedName>
    <definedName name="SG_11_19" localSheetId="15">#REF!</definedName>
    <definedName name="SG_11_19">#REF!</definedName>
    <definedName name="SG_11_20" localSheetId="15">#REF!</definedName>
    <definedName name="SG_11_20">#REF!</definedName>
    <definedName name="SG_11_21" localSheetId="15">#REF!</definedName>
    <definedName name="SG_11_21">#REF!</definedName>
    <definedName name="SG_11_22" localSheetId="15">#REF!</definedName>
    <definedName name="SG_11_22">#REF!</definedName>
    <definedName name="SG_11_23" localSheetId="15">#REF!</definedName>
    <definedName name="SG_11_23">#REF!</definedName>
    <definedName name="SG_11_24" localSheetId="15">#REF!</definedName>
    <definedName name="SG_11_24">#REF!</definedName>
    <definedName name="SG_11_25" localSheetId="15">#REF!</definedName>
    <definedName name="SG_11_25">#REF!</definedName>
    <definedName name="SG_12_01" localSheetId="15">#REF!</definedName>
    <definedName name="SG_12_01">#REF!</definedName>
    <definedName name="SG_12_02" localSheetId="15">#REF!</definedName>
    <definedName name="SG_12_02">#REF!</definedName>
    <definedName name="SG_12_03" localSheetId="15">#REF!</definedName>
    <definedName name="SG_12_03">#REF!</definedName>
    <definedName name="SG_12_04" localSheetId="15">#REF!</definedName>
    <definedName name="SG_12_04">#REF!</definedName>
    <definedName name="SG_12_05" localSheetId="15">#REF!</definedName>
    <definedName name="SG_12_05">#REF!</definedName>
    <definedName name="SG_12_06" localSheetId="15">#REF!</definedName>
    <definedName name="SG_12_06">#REF!</definedName>
    <definedName name="SG_12_07" localSheetId="15">#REF!</definedName>
    <definedName name="SG_12_07">#REF!</definedName>
    <definedName name="SG_12_08" localSheetId="15">#REF!</definedName>
    <definedName name="SG_12_08">#REF!</definedName>
    <definedName name="SG_12_09" localSheetId="15">#REF!</definedName>
    <definedName name="SG_12_09">#REF!</definedName>
    <definedName name="SG_12_10" localSheetId="15">#REF!</definedName>
    <definedName name="SG_12_10">#REF!</definedName>
    <definedName name="SG_12_11" localSheetId="15">#REF!</definedName>
    <definedName name="SG_12_11">#REF!</definedName>
    <definedName name="SG_12_12" localSheetId="15">#REF!</definedName>
    <definedName name="SG_12_12">#REF!</definedName>
    <definedName name="SG_12_13" localSheetId="15">#REF!</definedName>
    <definedName name="SG_12_13">#REF!</definedName>
    <definedName name="SG_12_14" localSheetId="15">#REF!</definedName>
    <definedName name="SG_12_14">#REF!</definedName>
    <definedName name="SG_12_15" localSheetId="15">#REF!</definedName>
    <definedName name="SG_12_15">#REF!</definedName>
    <definedName name="SG_12_16" localSheetId="15">#REF!</definedName>
    <definedName name="SG_12_16">#REF!</definedName>
    <definedName name="SG_12_17" localSheetId="15">#REF!</definedName>
    <definedName name="SG_12_17">#REF!</definedName>
    <definedName name="SG_12_18" localSheetId="15">#REF!</definedName>
    <definedName name="SG_12_18">#REF!</definedName>
    <definedName name="SG_12_19" localSheetId="15">#REF!</definedName>
    <definedName name="SG_12_19">#REF!</definedName>
    <definedName name="SG_12_20" localSheetId="15">#REF!</definedName>
    <definedName name="SG_12_20">#REF!</definedName>
    <definedName name="SG_12_21" localSheetId="15">#REF!</definedName>
    <definedName name="SG_12_21">#REF!</definedName>
    <definedName name="SG_12_22" localSheetId="15">#REF!</definedName>
    <definedName name="SG_12_22">#REF!</definedName>
    <definedName name="SG_12_23" localSheetId="15">#REF!</definedName>
    <definedName name="SG_12_23">#REF!</definedName>
    <definedName name="SG_12_24" localSheetId="15">#REF!</definedName>
    <definedName name="SG_12_24">#REF!</definedName>
    <definedName name="SG_12_25" localSheetId="15">#REF!</definedName>
    <definedName name="SG_12_25">#REF!</definedName>
    <definedName name="SG_13_01" localSheetId="15">#REF!</definedName>
    <definedName name="SG_13_01">#REF!</definedName>
    <definedName name="SG_13_02" localSheetId="15">#REF!</definedName>
    <definedName name="SG_13_02">#REF!</definedName>
    <definedName name="SG_13_03" localSheetId="15">#REF!</definedName>
    <definedName name="SG_13_03">#REF!</definedName>
    <definedName name="SG_13_04" localSheetId="15">#REF!</definedName>
    <definedName name="SG_13_04">#REF!</definedName>
    <definedName name="SG_13_05" localSheetId="15">#REF!</definedName>
    <definedName name="SG_13_05">#REF!</definedName>
    <definedName name="SG_13_06" localSheetId="15">#REF!</definedName>
    <definedName name="SG_13_06">#REF!</definedName>
    <definedName name="SG_13_07" localSheetId="15">#REF!</definedName>
    <definedName name="SG_13_07">#REF!</definedName>
    <definedName name="SG_13_08" localSheetId="15">#REF!</definedName>
    <definedName name="SG_13_08">#REF!</definedName>
    <definedName name="SG_13_09" localSheetId="15">#REF!</definedName>
    <definedName name="SG_13_09">#REF!</definedName>
    <definedName name="SG_13_10" localSheetId="15">#REF!</definedName>
    <definedName name="SG_13_10">#REF!</definedName>
    <definedName name="SG_13_11" localSheetId="15">#REF!</definedName>
    <definedName name="SG_13_11">#REF!</definedName>
    <definedName name="SG_13_12" localSheetId="15">#REF!</definedName>
    <definedName name="SG_13_12">#REF!</definedName>
    <definedName name="SG_13_13" localSheetId="15">#REF!</definedName>
    <definedName name="SG_13_13">#REF!</definedName>
    <definedName name="SG_13_14" localSheetId="15">#REF!</definedName>
    <definedName name="SG_13_14">#REF!</definedName>
    <definedName name="SG_13_15" localSheetId="15">#REF!</definedName>
    <definedName name="SG_13_15">#REF!</definedName>
    <definedName name="SG_13_16" localSheetId="15">#REF!</definedName>
    <definedName name="SG_13_16">#REF!</definedName>
    <definedName name="SG_13_17" localSheetId="15">#REF!</definedName>
    <definedName name="SG_13_17">#REF!</definedName>
    <definedName name="SG_13_18" localSheetId="15">#REF!</definedName>
    <definedName name="SG_13_18">#REF!</definedName>
    <definedName name="SG_13_19" localSheetId="15">#REF!</definedName>
    <definedName name="SG_13_19">#REF!</definedName>
    <definedName name="SG_13_20" localSheetId="15">#REF!</definedName>
    <definedName name="SG_13_20">#REF!</definedName>
    <definedName name="SG_13_21" localSheetId="15">#REF!</definedName>
    <definedName name="SG_13_21">#REF!</definedName>
    <definedName name="SG_13_22" localSheetId="15">#REF!</definedName>
    <definedName name="SG_13_22">#REF!</definedName>
    <definedName name="SG_13_23" localSheetId="15">#REF!</definedName>
    <definedName name="SG_13_23">#REF!</definedName>
    <definedName name="SG_13_24" localSheetId="15">#REF!</definedName>
    <definedName name="SG_13_24">#REF!</definedName>
    <definedName name="SG_13_25" localSheetId="15">#REF!</definedName>
    <definedName name="SG_13_25">#REF!</definedName>
    <definedName name="SG_14_01" localSheetId="15">#REF!</definedName>
    <definedName name="SG_14_01">#REF!</definedName>
    <definedName name="SG_14_02" localSheetId="15">#REF!</definedName>
    <definedName name="SG_14_02">#REF!</definedName>
    <definedName name="SG_14_03" localSheetId="15">#REF!</definedName>
    <definedName name="SG_14_03">#REF!</definedName>
    <definedName name="SG_14_04" localSheetId="15">#REF!</definedName>
    <definedName name="SG_14_04">#REF!</definedName>
    <definedName name="SG_14_05" localSheetId="15">#REF!</definedName>
    <definedName name="SG_14_05">#REF!</definedName>
    <definedName name="SG_14_06" localSheetId="15">#REF!</definedName>
    <definedName name="SG_14_06">#REF!</definedName>
    <definedName name="SG_14_07" localSheetId="15">#REF!</definedName>
    <definedName name="SG_14_07">#REF!</definedName>
    <definedName name="SG_14_08" localSheetId="15">#REF!</definedName>
    <definedName name="SG_14_08">#REF!</definedName>
    <definedName name="SG_14_09" localSheetId="15">#REF!</definedName>
    <definedName name="SG_14_09">#REF!</definedName>
    <definedName name="SG_14_10" localSheetId="15">#REF!</definedName>
    <definedName name="SG_14_10">#REF!</definedName>
    <definedName name="SG_14_11" localSheetId="15">#REF!</definedName>
    <definedName name="SG_14_11">#REF!</definedName>
    <definedName name="SG_14_12" localSheetId="15">#REF!</definedName>
    <definedName name="SG_14_12">#REF!</definedName>
    <definedName name="SG_14_13" localSheetId="15">#REF!</definedName>
    <definedName name="SG_14_13">#REF!</definedName>
    <definedName name="SG_14_14" localSheetId="15">#REF!</definedName>
    <definedName name="SG_14_14">#REF!</definedName>
    <definedName name="SG_14_15" localSheetId="15">#REF!</definedName>
    <definedName name="SG_14_15">#REF!</definedName>
    <definedName name="SG_14_16" localSheetId="15">#REF!</definedName>
    <definedName name="SG_14_16">#REF!</definedName>
    <definedName name="SG_14_17" localSheetId="15">#REF!</definedName>
    <definedName name="SG_14_17">#REF!</definedName>
    <definedName name="SG_14_18" localSheetId="15">#REF!</definedName>
    <definedName name="SG_14_18">#REF!</definedName>
    <definedName name="SG_14_19" localSheetId="15">#REF!</definedName>
    <definedName name="SG_14_19">#REF!</definedName>
    <definedName name="SG_14_20" localSheetId="15">#REF!</definedName>
    <definedName name="SG_14_20">#REF!</definedName>
    <definedName name="SG_14_21" localSheetId="15">#REF!</definedName>
    <definedName name="SG_14_21">#REF!</definedName>
    <definedName name="SG_14_22" localSheetId="15">#REF!</definedName>
    <definedName name="SG_14_22">#REF!</definedName>
    <definedName name="SG_14_23" localSheetId="15">#REF!</definedName>
    <definedName name="SG_14_23">#REF!</definedName>
    <definedName name="SG_14_24" localSheetId="15">#REF!</definedName>
    <definedName name="SG_14_24">#REF!</definedName>
    <definedName name="SG_14_25" localSheetId="15">#REF!</definedName>
    <definedName name="SG_14_25">#REF!</definedName>
    <definedName name="SG_15_01" localSheetId="15">#REF!</definedName>
    <definedName name="SG_15_01">#REF!</definedName>
    <definedName name="SG_15_02" localSheetId="15">#REF!</definedName>
    <definedName name="SG_15_02">#REF!</definedName>
    <definedName name="SG_15_03" localSheetId="15">#REF!</definedName>
    <definedName name="SG_15_03">#REF!</definedName>
    <definedName name="SG_15_04" localSheetId="15">#REF!</definedName>
    <definedName name="SG_15_04">#REF!</definedName>
    <definedName name="SG_15_05" localSheetId="15">#REF!</definedName>
    <definedName name="SG_15_05">#REF!</definedName>
    <definedName name="SG_15_06" localSheetId="15">#REF!</definedName>
    <definedName name="SG_15_06">#REF!</definedName>
    <definedName name="SG_15_07" localSheetId="15">#REF!</definedName>
    <definedName name="SG_15_07">#REF!</definedName>
    <definedName name="SG_15_08" localSheetId="15">#REF!</definedName>
    <definedName name="SG_15_08">#REF!</definedName>
    <definedName name="SG_15_09" localSheetId="15">#REF!</definedName>
    <definedName name="SG_15_09">#REF!</definedName>
    <definedName name="SG_15_10" localSheetId="15">#REF!</definedName>
    <definedName name="SG_15_10">#REF!</definedName>
    <definedName name="SG_15_11" localSheetId="15">#REF!</definedName>
    <definedName name="SG_15_11">#REF!</definedName>
    <definedName name="SG_15_12" localSheetId="15">#REF!</definedName>
    <definedName name="SG_15_12">#REF!</definedName>
    <definedName name="SG_15_13" localSheetId="15">#REF!</definedName>
    <definedName name="SG_15_13">#REF!</definedName>
    <definedName name="SG_15_14" localSheetId="15">#REF!</definedName>
    <definedName name="SG_15_14">#REF!</definedName>
    <definedName name="SG_15_15" localSheetId="15">#REF!</definedName>
    <definedName name="SG_15_15">#REF!</definedName>
    <definedName name="SG_15_16" localSheetId="15">#REF!</definedName>
    <definedName name="SG_15_16">#REF!</definedName>
    <definedName name="SG_15_17" localSheetId="15">#REF!</definedName>
    <definedName name="SG_15_17">#REF!</definedName>
    <definedName name="SG_15_18" localSheetId="15">#REF!</definedName>
    <definedName name="SG_15_18">#REF!</definedName>
    <definedName name="SG_15_19" localSheetId="15">#REF!</definedName>
    <definedName name="SG_15_19">#REF!</definedName>
    <definedName name="SG_15_20" localSheetId="15">#REF!</definedName>
    <definedName name="SG_15_20">#REF!</definedName>
    <definedName name="SG_15_21" localSheetId="15">#REF!</definedName>
    <definedName name="SG_15_21">#REF!</definedName>
    <definedName name="SG_15_22" localSheetId="15">#REF!</definedName>
    <definedName name="SG_15_22">#REF!</definedName>
    <definedName name="SG_15_23" localSheetId="15">#REF!</definedName>
    <definedName name="SG_15_23">#REF!</definedName>
    <definedName name="SG_15_24" localSheetId="15">#REF!</definedName>
    <definedName name="SG_15_24">#REF!</definedName>
    <definedName name="SG_15_25" localSheetId="15">#REF!</definedName>
    <definedName name="SG_15_25">#REF!</definedName>
    <definedName name="SG_16_01" localSheetId="15">#REF!</definedName>
    <definedName name="SG_16_01">#REF!</definedName>
    <definedName name="SG_16_02" localSheetId="15">#REF!</definedName>
    <definedName name="SG_16_02">#REF!</definedName>
    <definedName name="SG_16_03" localSheetId="15">#REF!</definedName>
    <definedName name="SG_16_03">#REF!</definedName>
    <definedName name="SG_16_04" localSheetId="15">#REF!</definedName>
    <definedName name="SG_16_04">#REF!</definedName>
    <definedName name="SG_16_05" localSheetId="15">#REF!</definedName>
    <definedName name="SG_16_05">#REF!</definedName>
    <definedName name="SG_16_06" localSheetId="15">#REF!</definedName>
    <definedName name="SG_16_06">#REF!</definedName>
    <definedName name="SG_16_07" localSheetId="15">#REF!</definedName>
    <definedName name="SG_16_07">#REF!</definedName>
    <definedName name="SG_16_08" localSheetId="15">#REF!</definedName>
    <definedName name="SG_16_08">#REF!</definedName>
    <definedName name="SG_16_09" localSheetId="15">#REF!</definedName>
    <definedName name="SG_16_09">#REF!</definedName>
    <definedName name="SG_16_10" localSheetId="15">#REF!</definedName>
    <definedName name="SG_16_10">#REF!</definedName>
    <definedName name="SG_16_11" localSheetId="15">#REF!</definedName>
    <definedName name="SG_16_11">#REF!</definedName>
    <definedName name="SG_16_12" localSheetId="15">#REF!</definedName>
    <definedName name="SG_16_12">#REF!</definedName>
    <definedName name="SG_16_13" localSheetId="15">#REF!</definedName>
    <definedName name="SG_16_13">#REF!</definedName>
    <definedName name="SG_16_14" localSheetId="15">#REF!</definedName>
    <definedName name="SG_16_14">#REF!</definedName>
    <definedName name="SG_16_15" localSheetId="15">#REF!</definedName>
    <definedName name="SG_16_15">#REF!</definedName>
    <definedName name="SG_16_16" localSheetId="15">#REF!</definedName>
    <definedName name="SG_16_16">#REF!</definedName>
    <definedName name="SG_16_17" localSheetId="15">#REF!</definedName>
    <definedName name="SG_16_17">#REF!</definedName>
    <definedName name="SG_16_18" localSheetId="15">#REF!</definedName>
    <definedName name="SG_16_18">#REF!</definedName>
    <definedName name="SG_16_19" localSheetId="15">#REF!</definedName>
    <definedName name="SG_16_19">#REF!</definedName>
    <definedName name="SG_16_20" localSheetId="15">#REF!</definedName>
    <definedName name="SG_16_20">#REF!</definedName>
    <definedName name="SG_16_21" localSheetId="15">#REF!</definedName>
    <definedName name="SG_16_21">#REF!</definedName>
    <definedName name="SG_16_22" localSheetId="15">#REF!</definedName>
    <definedName name="SG_16_22">#REF!</definedName>
    <definedName name="SG_16_23" localSheetId="15">#REF!</definedName>
    <definedName name="SG_16_23">#REF!</definedName>
    <definedName name="SG_16_24" localSheetId="15">#REF!</definedName>
    <definedName name="SG_16_24">#REF!</definedName>
    <definedName name="SG_16_25" localSheetId="15">#REF!</definedName>
    <definedName name="SG_16_25">#REF!</definedName>
    <definedName name="SG_17_01" localSheetId="15">#REF!</definedName>
    <definedName name="SG_17_01">#REF!</definedName>
    <definedName name="SG_17_02" localSheetId="15">#REF!</definedName>
    <definedName name="SG_17_02">#REF!</definedName>
    <definedName name="SG_17_03" localSheetId="15">#REF!</definedName>
    <definedName name="SG_17_03">#REF!</definedName>
    <definedName name="SG_17_04" localSheetId="15">#REF!</definedName>
    <definedName name="SG_17_04">#REF!</definedName>
    <definedName name="SG_17_05" localSheetId="15">#REF!</definedName>
    <definedName name="SG_17_05">#REF!</definedName>
    <definedName name="SG_17_06" localSheetId="15">#REF!</definedName>
    <definedName name="SG_17_06">#REF!</definedName>
    <definedName name="SG_17_07" localSheetId="15">#REF!</definedName>
    <definedName name="SG_17_07">#REF!</definedName>
    <definedName name="SG_17_08" localSheetId="15">#REF!</definedName>
    <definedName name="SG_17_08">#REF!</definedName>
    <definedName name="SG_17_09" localSheetId="15">#REF!</definedName>
    <definedName name="SG_17_09">#REF!</definedName>
    <definedName name="SG_17_10" localSheetId="15">#REF!</definedName>
    <definedName name="SG_17_10">#REF!</definedName>
    <definedName name="SG_17_11" localSheetId="15">#REF!</definedName>
    <definedName name="SG_17_11">#REF!</definedName>
    <definedName name="SG_17_12" localSheetId="15">#REF!</definedName>
    <definedName name="SG_17_12">#REF!</definedName>
    <definedName name="SG_17_13" localSheetId="15">#REF!</definedName>
    <definedName name="SG_17_13">#REF!</definedName>
    <definedName name="SG_17_14" localSheetId="15">#REF!</definedName>
    <definedName name="SG_17_14">#REF!</definedName>
    <definedName name="SG_17_15" localSheetId="15">#REF!</definedName>
    <definedName name="SG_17_15">#REF!</definedName>
    <definedName name="SG_17_16" localSheetId="15">#REF!</definedName>
    <definedName name="SG_17_16">#REF!</definedName>
    <definedName name="SG_17_17" localSheetId="15">#REF!</definedName>
    <definedName name="SG_17_17">#REF!</definedName>
    <definedName name="SG_17_18" localSheetId="15">#REF!</definedName>
    <definedName name="SG_17_18">#REF!</definedName>
    <definedName name="SG_17_19" localSheetId="15">#REF!</definedName>
    <definedName name="SG_17_19">#REF!</definedName>
    <definedName name="SG_17_20" localSheetId="15">#REF!</definedName>
    <definedName name="SG_17_20">#REF!</definedName>
    <definedName name="SG_17_21" localSheetId="15">#REF!</definedName>
    <definedName name="SG_17_21">#REF!</definedName>
    <definedName name="SG_17_22" localSheetId="15">#REF!</definedName>
    <definedName name="SG_17_22">#REF!</definedName>
    <definedName name="SG_17_23" localSheetId="15">#REF!</definedName>
    <definedName name="SG_17_23">#REF!</definedName>
    <definedName name="SG_17_24" localSheetId="15">#REF!</definedName>
    <definedName name="SG_17_24">#REF!</definedName>
    <definedName name="SG_17_25" localSheetId="15">#REF!</definedName>
    <definedName name="SG_17_25">#REF!</definedName>
    <definedName name="SG_18_01" localSheetId="15">#REF!</definedName>
    <definedName name="SG_18_01">#REF!</definedName>
    <definedName name="SG_18_02" localSheetId="15">#REF!</definedName>
    <definedName name="SG_18_02">#REF!</definedName>
    <definedName name="SG_18_03" localSheetId="15">#REF!</definedName>
    <definedName name="SG_18_03">#REF!</definedName>
    <definedName name="SG_18_04" localSheetId="15">#REF!</definedName>
    <definedName name="SG_18_04">#REF!</definedName>
    <definedName name="SG_18_05" localSheetId="15">#REF!</definedName>
    <definedName name="SG_18_05">#REF!</definedName>
    <definedName name="SG_18_06" localSheetId="15">#REF!</definedName>
    <definedName name="SG_18_06">#REF!</definedName>
    <definedName name="SG_18_07" localSheetId="15">#REF!</definedName>
    <definedName name="SG_18_07">#REF!</definedName>
    <definedName name="SG_18_08" localSheetId="15">#REF!</definedName>
    <definedName name="SG_18_08">#REF!</definedName>
    <definedName name="SG_18_09" localSheetId="15">#REF!</definedName>
    <definedName name="SG_18_09">#REF!</definedName>
    <definedName name="SG_18_10" localSheetId="15">#REF!</definedName>
    <definedName name="SG_18_10">#REF!</definedName>
    <definedName name="SG_18_11" localSheetId="15">#REF!</definedName>
    <definedName name="SG_18_11">#REF!</definedName>
    <definedName name="SG_18_12" localSheetId="15">#REF!</definedName>
    <definedName name="SG_18_12">#REF!</definedName>
    <definedName name="SG_18_13" localSheetId="15">#REF!</definedName>
    <definedName name="SG_18_13">#REF!</definedName>
    <definedName name="SG_18_14" localSheetId="15">#REF!</definedName>
    <definedName name="SG_18_14">#REF!</definedName>
    <definedName name="SG_18_15" localSheetId="15">#REF!</definedName>
    <definedName name="SG_18_15">#REF!</definedName>
    <definedName name="SG_18_16" localSheetId="15">#REF!</definedName>
    <definedName name="SG_18_16">#REF!</definedName>
    <definedName name="SG_18_17" localSheetId="15">#REF!</definedName>
    <definedName name="SG_18_17">#REF!</definedName>
    <definedName name="SG_18_18" localSheetId="15">#REF!</definedName>
    <definedName name="SG_18_18">#REF!</definedName>
    <definedName name="SG_18_19" localSheetId="15">#REF!</definedName>
    <definedName name="SG_18_19">#REF!</definedName>
    <definedName name="SG_18_20" localSheetId="15">#REF!</definedName>
    <definedName name="SG_18_20">#REF!</definedName>
    <definedName name="SG_18_21" localSheetId="15">#REF!</definedName>
    <definedName name="SG_18_21">#REF!</definedName>
    <definedName name="SG_18_22" localSheetId="15">#REF!</definedName>
    <definedName name="SG_18_22">#REF!</definedName>
    <definedName name="SG_18_23" localSheetId="15">#REF!</definedName>
    <definedName name="SG_18_23">#REF!</definedName>
    <definedName name="SG_18_24" localSheetId="15">#REF!</definedName>
    <definedName name="SG_18_24">#REF!</definedName>
    <definedName name="SG_18_25" localSheetId="15">#REF!</definedName>
    <definedName name="SG_18_25">#REF!</definedName>
    <definedName name="SG_19_01" localSheetId="15">#REF!</definedName>
    <definedName name="SG_19_01">#REF!</definedName>
    <definedName name="SG_19_02" localSheetId="15">#REF!</definedName>
    <definedName name="SG_19_02">#REF!</definedName>
    <definedName name="SG_19_03" localSheetId="15">#REF!</definedName>
    <definedName name="SG_19_03">#REF!</definedName>
    <definedName name="SG_19_04" localSheetId="15">#REF!</definedName>
    <definedName name="SG_19_04">#REF!</definedName>
    <definedName name="SG_19_05" localSheetId="15">#REF!</definedName>
    <definedName name="SG_19_05">#REF!</definedName>
    <definedName name="SG_19_06" localSheetId="15">#REF!</definedName>
    <definedName name="SG_19_06">#REF!</definedName>
    <definedName name="SG_19_07" localSheetId="15">#REF!</definedName>
    <definedName name="SG_19_07">#REF!</definedName>
    <definedName name="SG_19_08" localSheetId="15">#REF!</definedName>
    <definedName name="SG_19_08">#REF!</definedName>
    <definedName name="SG_19_09" localSheetId="15">#REF!</definedName>
    <definedName name="SG_19_09">#REF!</definedName>
    <definedName name="SG_19_10" localSheetId="15">#REF!</definedName>
    <definedName name="SG_19_10">#REF!</definedName>
    <definedName name="SG_19_11" localSheetId="15">#REF!</definedName>
    <definedName name="SG_19_11">#REF!</definedName>
    <definedName name="SG_19_12" localSheetId="15">#REF!</definedName>
    <definedName name="SG_19_12">#REF!</definedName>
    <definedName name="SG_19_13" localSheetId="15">#REF!</definedName>
    <definedName name="SG_19_13">#REF!</definedName>
    <definedName name="SG_19_14" localSheetId="15">#REF!</definedName>
    <definedName name="SG_19_14">#REF!</definedName>
    <definedName name="SG_19_15" localSheetId="15">#REF!</definedName>
    <definedName name="SG_19_15">#REF!</definedName>
    <definedName name="SG_19_16" localSheetId="15">#REF!</definedName>
    <definedName name="SG_19_16">#REF!</definedName>
    <definedName name="SG_19_17" localSheetId="15">#REF!</definedName>
    <definedName name="SG_19_17">#REF!</definedName>
    <definedName name="SG_19_18" localSheetId="15">#REF!</definedName>
    <definedName name="SG_19_18">#REF!</definedName>
    <definedName name="SG_19_19" localSheetId="15">#REF!</definedName>
    <definedName name="SG_19_19">#REF!</definedName>
    <definedName name="SG_19_20" localSheetId="15">#REF!</definedName>
    <definedName name="SG_19_20">#REF!</definedName>
    <definedName name="SG_19_21" localSheetId="15">#REF!</definedName>
    <definedName name="SG_19_21">#REF!</definedName>
    <definedName name="SG_19_22" localSheetId="15">#REF!</definedName>
    <definedName name="SG_19_22">#REF!</definedName>
    <definedName name="SG_19_23" localSheetId="15">#REF!</definedName>
    <definedName name="SG_19_23">#REF!</definedName>
    <definedName name="SG_19_24" localSheetId="15">#REF!</definedName>
    <definedName name="SG_19_24">#REF!</definedName>
    <definedName name="SG_19_25" localSheetId="15">#REF!</definedName>
    <definedName name="SG_19_25">#REF!</definedName>
    <definedName name="SG_20_01" localSheetId="15">#REF!</definedName>
    <definedName name="SG_20_01">#REF!</definedName>
    <definedName name="SG_20_02" localSheetId="15">#REF!</definedName>
    <definedName name="SG_20_02">#REF!</definedName>
    <definedName name="SG_20_03" localSheetId="15">#REF!</definedName>
    <definedName name="SG_20_03">#REF!</definedName>
    <definedName name="SG_20_04" localSheetId="15">#REF!</definedName>
    <definedName name="SG_20_04">#REF!</definedName>
    <definedName name="SG_20_05" localSheetId="15">#REF!</definedName>
    <definedName name="SG_20_05">#REF!</definedName>
    <definedName name="SG_20_06" localSheetId="15">#REF!</definedName>
    <definedName name="SG_20_06">#REF!</definedName>
    <definedName name="SG_20_07" localSheetId="15">#REF!</definedName>
    <definedName name="SG_20_07">#REF!</definedName>
    <definedName name="SG_20_08" localSheetId="15">#REF!</definedName>
    <definedName name="SG_20_08">#REF!</definedName>
    <definedName name="SG_20_09" localSheetId="15">#REF!</definedName>
    <definedName name="SG_20_09">#REF!</definedName>
    <definedName name="SG_20_10" localSheetId="15">#REF!</definedName>
    <definedName name="SG_20_10">#REF!</definedName>
    <definedName name="SG_20_11" localSheetId="15">#REF!</definedName>
    <definedName name="SG_20_11">#REF!</definedName>
    <definedName name="SG_20_12" localSheetId="15">#REF!</definedName>
    <definedName name="SG_20_12">#REF!</definedName>
    <definedName name="SG_20_13" localSheetId="15">#REF!</definedName>
    <definedName name="SG_20_13">#REF!</definedName>
    <definedName name="SG_20_14" localSheetId="15">#REF!</definedName>
    <definedName name="SG_20_14">#REF!</definedName>
    <definedName name="SG_20_15" localSheetId="15">#REF!</definedName>
    <definedName name="SG_20_15">#REF!</definedName>
    <definedName name="SG_20_16" localSheetId="15">#REF!</definedName>
    <definedName name="SG_20_16">#REF!</definedName>
    <definedName name="SG_20_17" localSheetId="15">#REF!</definedName>
    <definedName name="SG_20_17">#REF!</definedName>
    <definedName name="SG_20_18" localSheetId="15">#REF!</definedName>
    <definedName name="SG_20_18">#REF!</definedName>
    <definedName name="SG_20_19" localSheetId="15">#REF!</definedName>
    <definedName name="SG_20_19">#REF!</definedName>
    <definedName name="SG_20_20" localSheetId="15">#REF!</definedName>
    <definedName name="SG_20_20">#REF!</definedName>
    <definedName name="SG_20_21" localSheetId="15">#REF!</definedName>
    <definedName name="SG_20_21">#REF!</definedName>
    <definedName name="SG_20_22" localSheetId="15">#REF!</definedName>
    <definedName name="SG_20_22">#REF!</definedName>
    <definedName name="SG_20_23" localSheetId="15">#REF!</definedName>
    <definedName name="SG_20_23">#REF!</definedName>
    <definedName name="SG_20_24" localSheetId="15">#REF!</definedName>
    <definedName name="SG_20_24">#REF!</definedName>
    <definedName name="SG_20_25" localSheetId="15">#REF!</definedName>
    <definedName name="SG_20_25">#REF!</definedName>
    <definedName name="SG_21_01" localSheetId="15">#REF!</definedName>
    <definedName name="SG_21_01">#REF!</definedName>
    <definedName name="SG_21_02" localSheetId="15">#REF!</definedName>
    <definedName name="SG_21_02">#REF!</definedName>
    <definedName name="SG_21_03" localSheetId="15">#REF!</definedName>
    <definedName name="SG_21_03">#REF!</definedName>
    <definedName name="SG_21_04" localSheetId="15">#REF!</definedName>
    <definedName name="SG_21_04">#REF!</definedName>
    <definedName name="SG_21_05" localSheetId="15">#REF!</definedName>
    <definedName name="SG_21_05">#REF!</definedName>
    <definedName name="SG_21_06" localSheetId="15">#REF!</definedName>
    <definedName name="SG_21_06">#REF!</definedName>
    <definedName name="SG_21_07" localSheetId="15">#REF!</definedName>
    <definedName name="SG_21_07">#REF!</definedName>
    <definedName name="SG_21_08" localSheetId="15">#REF!</definedName>
    <definedName name="SG_21_08">#REF!</definedName>
    <definedName name="SG_21_09" localSheetId="15">#REF!</definedName>
    <definedName name="SG_21_09">#REF!</definedName>
    <definedName name="SG_21_10" localSheetId="15">#REF!</definedName>
    <definedName name="SG_21_10">#REF!</definedName>
    <definedName name="SG_21_11" localSheetId="15">#REF!</definedName>
    <definedName name="SG_21_11">#REF!</definedName>
    <definedName name="SG_21_12" localSheetId="15">#REF!</definedName>
    <definedName name="SG_21_12">#REF!</definedName>
    <definedName name="SG_21_13" localSheetId="15">#REF!</definedName>
    <definedName name="SG_21_13">#REF!</definedName>
    <definedName name="SG_21_14" localSheetId="15">#REF!</definedName>
    <definedName name="SG_21_14">#REF!</definedName>
    <definedName name="SG_21_15" localSheetId="15">#REF!</definedName>
    <definedName name="SG_21_15">#REF!</definedName>
    <definedName name="SG_21_16" localSheetId="15">#REF!</definedName>
    <definedName name="SG_21_16">#REF!</definedName>
    <definedName name="SG_21_17" localSheetId="15">#REF!</definedName>
    <definedName name="SG_21_17">#REF!</definedName>
    <definedName name="SG_21_18" localSheetId="15">#REF!</definedName>
    <definedName name="SG_21_18">#REF!</definedName>
    <definedName name="SG_21_19" localSheetId="15">#REF!</definedName>
    <definedName name="SG_21_19">#REF!</definedName>
    <definedName name="SG_21_20" localSheetId="15">#REF!</definedName>
    <definedName name="SG_21_20">#REF!</definedName>
    <definedName name="SG_21_21" localSheetId="15">#REF!</definedName>
    <definedName name="SG_21_21">#REF!</definedName>
    <definedName name="SG_21_22" localSheetId="15">#REF!</definedName>
    <definedName name="SG_21_22">#REF!</definedName>
    <definedName name="SG_21_23" localSheetId="15">#REF!</definedName>
    <definedName name="SG_21_23">#REF!</definedName>
    <definedName name="SG_21_24" localSheetId="15">#REF!</definedName>
    <definedName name="SG_21_24">#REF!</definedName>
    <definedName name="SG_21_25" localSheetId="15">#REF!</definedName>
    <definedName name="SG_21_25">#REF!</definedName>
    <definedName name="SG_22_01" localSheetId="15">#REF!</definedName>
    <definedName name="SG_22_01">#REF!</definedName>
    <definedName name="SG_22_02" localSheetId="15">#REF!</definedName>
    <definedName name="SG_22_02">#REF!</definedName>
    <definedName name="SG_22_03" localSheetId="15">#REF!</definedName>
    <definedName name="SG_22_03">#REF!</definedName>
    <definedName name="SG_22_04" localSheetId="15">#REF!</definedName>
    <definedName name="SG_22_04">#REF!</definedName>
    <definedName name="SG_22_05" localSheetId="15">#REF!</definedName>
    <definedName name="SG_22_05">#REF!</definedName>
    <definedName name="SG_22_06" localSheetId="15">#REF!</definedName>
    <definedName name="SG_22_06">#REF!</definedName>
    <definedName name="SG_22_07" localSheetId="15">#REF!</definedName>
    <definedName name="SG_22_07">#REF!</definedName>
    <definedName name="SG_22_08" localSheetId="15">#REF!</definedName>
    <definedName name="SG_22_08">#REF!</definedName>
    <definedName name="SG_22_09" localSheetId="15">#REF!</definedName>
    <definedName name="SG_22_09">#REF!</definedName>
    <definedName name="SG_22_10" localSheetId="15">#REF!</definedName>
    <definedName name="SG_22_10">#REF!</definedName>
    <definedName name="SG_22_11" localSheetId="15">#REF!</definedName>
    <definedName name="SG_22_11">#REF!</definedName>
    <definedName name="SG_22_12" localSheetId="15">#REF!</definedName>
    <definedName name="SG_22_12">#REF!</definedName>
    <definedName name="SG_22_13" localSheetId="15">#REF!</definedName>
    <definedName name="SG_22_13">#REF!</definedName>
    <definedName name="SG_22_14" localSheetId="15">#REF!</definedName>
    <definedName name="SG_22_14">#REF!</definedName>
    <definedName name="SG_22_15" localSheetId="15">#REF!</definedName>
    <definedName name="SG_22_15">#REF!</definedName>
    <definedName name="SG_22_16" localSheetId="15">#REF!</definedName>
    <definedName name="SG_22_16">#REF!</definedName>
    <definedName name="SG_22_17" localSheetId="15">#REF!</definedName>
    <definedName name="SG_22_17">#REF!</definedName>
    <definedName name="SG_22_18" localSheetId="15">#REF!</definedName>
    <definedName name="SG_22_18">#REF!</definedName>
    <definedName name="SG_22_19" localSheetId="15">#REF!</definedName>
    <definedName name="SG_22_19">#REF!</definedName>
    <definedName name="SG_22_20" localSheetId="15">#REF!</definedName>
    <definedName name="SG_22_20">#REF!</definedName>
    <definedName name="SG_22_21" localSheetId="15">#REF!</definedName>
    <definedName name="SG_22_21">#REF!</definedName>
    <definedName name="SG_22_22" localSheetId="15">#REF!</definedName>
    <definedName name="SG_22_22">#REF!</definedName>
    <definedName name="SG_22_23" localSheetId="15">#REF!</definedName>
    <definedName name="SG_22_23">#REF!</definedName>
    <definedName name="SG_22_24" localSheetId="15">#REF!</definedName>
    <definedName name="SG_22_24">#REF!</definedName>
    <definedName name="SG_22_25" localSheetId="15">#REF!</definedName>
    <definedName name="SG_22_25">#REF!</definedName>
    <definedName name="SG_23_01" localSheetId="15">#REF!</definedName>
    <definedName name="SG_23_01">#REF!</definedName>
    <definedName name="SG_23_02" localSheetId="15">#REF!</definedName>
    <definedName name="SG_23_02">#REF!</definedName>
    <definedName name="SG_23_03" localSheetId="15">#REF!</definedName>
    <definedName name="SG_23_03">#REF!</definedName>
    <definedName name="SG_23_04" localSheetId="15">#REF!</definedName>
    <definedName name="SG_23_04">#REF!</definedName>
    <definedName name="SG_23_05" localSheetId="15">#REF!</definedName>
    <definedName name="SG_23_05">#REF!</definedName>
    <definedName name="SG_23_06" localSheetId="15">#REF!</definedName>
    <definedName name="SG_23_06">#REF!</definedName>
    <definedName name="SG_23_07" localSheetId="15">#REF!</definedName>
    <definedName name="SG_23_07">#REF!</definedName>
    <definedName name="SG_23_08" localSheetId="15">#REF!</definedName>
    <definedName name="SG_23_08">#REF!</definedName>
    <definedName name="SG_23_09" localSheetId="15">#REF!</definedName>
    <definedName name="SG_23_09">#REF!</definedName>
    <definedName name="SG_23_10" localSheetId="15">#REF!</definedName>
    <definedName name="SG_23_10">#REF!</definedName>
    <definedName name="SG_23_11" localSheetId="15">#REF!</definedName>
    <definedName name="SG_23_11">#REF!</definedName>
    <definedName name="SG_23_12" localSheetId="15">#REF!</definedName>
    <definedName name="SG_23_12">#REF!</definedName>
    <definedName name="SG_23_13" localSheetId="15">#REF!</definedName>
    <definedName name="SG_23_13">#REF!</definedName>
    <definedName name="SG_23_14" localSheetId="15">#REF!</definedName>
    <definedName name="SG_23_14">#REF!</definedName>
    <definedName name="SG_23_15" localSheetId="15">#REF!</definedName>
    <definedName name="SG_23_15">#REF!</definedName>
    <definedName name="SG_23_16" localSheetId="15">#REF!</definedName>
    <definedName name="SG_23_16">#REF!</definedName>
    <definedName name="SG_23_17" localSheetId="15">#REF!</definedName>
    <definedName name="SG_23_17">#REF!</definedName>
    <definedName name="SG_23_18" localSheetId="15">#REF!</definedName>
    <definedName name="SG_23_18">#REF!</definedName>
    <definedName name="SG_23_19" localSheetId="15">#REF!</definedName>
    <definedName name="SG_23_19">#REF!</definedName>
    <definedName name="SG_23_20" localSheetId="15">#REF!</definedName>
    <definedName name="SG_23_20">#REF!</definedName>
    <definedName name="SG_23_21" localSheetId="15">#REF!</definedName>
    <definedName name="SG_23_21">#REF!</definedName>
    <definedName name="SG_23_22" localSheetId="15">#REF!</definedName>
    <definedName name="SG_23_22">#REF!</definedName>
    <definedName name="SG_23_23" localSheetId="15">#REF!</definedName>
    <definedName name="SG_23_23">#REF!</definedName>
    <definedName name="SG_23_24" localSheetId="15">#REF!</definedName>
    <definedName name="SG_23_24">#REF!</definedName>
    <definedName name="SG_23_25" localSheetId="15">#REF!</definedName>
    <definedName name="SG_23_25">#REF!</definedName>
    <definedName name="SG_24_01" localSheetId="15">#REF!</definedName>
    <definedName name="SG_24_01">#REF!</definedName>
    <definedName name="SG_24_02" localSheetId="15">#REF!</definedName>
    <definedName name="SG_24_02">#REF!</definedName>
    <definedName name="SG_24_03" localSheetId="15">#REF!</definedName>
    <definedName name="SG_24_03">#REF!</definedName>
    <definedName name="SG_24_04" localSheetId="15">#REF!</definedName>
    <definedName name="SG_24_04">#REF!</definedName>
    <definedName name="SG_24_05" localSheetId="15">#REF!</definedName>
    <definedName name="SG_24_05">#REF!</definedName>
    <definedName name="SG_24_06" localSheetId="15">#REF!</definedName>
    <definedName name="SG_24_06">#REF!</definedName>
    <definedName name="SG_24_07" localSheetId="15">#REF!</definedName>
    <definedName name="SG_24_07">#REF!</definedName>
    <definedName name="SG_24_08" localSheetId="15">#REF!</definedName>
    <definedName name="SG_24_08">#REF!</definedName>
    <definedName name="SG_24_09" localSheetId="15">#REF!</definedName>
    <definedName name="SG_24_09">#REF!</definedName>
    <definedName name="SG_24_10" localSheetId="15">#REF!</definedName>
    <definedName name="SG_24_10">#REF!</definedName>
    <definedName name="SG_24_11" localSheetId="15">#REF!</definedName>
    <definedName name="SG_24_11">#REF!</definedName>
    <definedName name="SG_24_12" localSheetId="15">#REF!</definedName>
    <definedName name="SG_24_12">#REF!</definedName>
    <definedName name="SG_24_13" localSheetId="15">#REF!</definedName>
    <definedName name="SG_24_13">#REF!</definedName>
    <definedName name="SG_24_14" localSheetId="15">#REF!</definedName>
    <definedName name="SG_24_14">#REF!</definedName>
    <definedName name="SG_24_15" localSheetId="15">#REF!</definedName>
    <definedName name="SG_24_15">#REF!</definedName>
    <definedName name="SG_24_16" localSheetId="15">#REF!</definedName>
    <definedName name="SG_24_16">#REF!</definedName>
    <definedName name="SG_24_17" localSheetId="15">#REF!</definedName>
    <definedName name="SG_24_17">#REF!</definedName>
    <definedName name="SG_24_18" localSheetId="15">#REF!</definedName>
    <definedName name="SG_24_18">#REF!</definedName>
    <definedName name="SG_24_19" localSheetId="15">#REF!</definedName>
    <definedName name="SG_24_19">#REF!</definedName>
    <definedName name="SG_24_20" localSheetId="15">#REF!</definedName>
    <definedName name="SG_24_20">#REF!</definedName>
    <definedName name="SG_24_21" localSheetId="15">#REF!</definedName>
    <definedName name="SG_24_21">#REF!</definedName>
    <definedName name="SG_24_22" localSheetId="15">#REF!</definedName>
    <definedName name="SG_24_22">#REF!</definedName>
    <definedName name="SG_24_23" localSheetId="15">#REF!</definedName>
    <definedName name="SG_24_23">#REF!</definedName>
    <definedName name="SG_24_24" localSheetId="15">#REF!</definedName>
    <definedName name="SG_24_24">#REF!</definedName>
    <definedName name="SG_24_25" localSheetId="15">#REF!</definedName>
    <definedName name="SG_24_25">#REF!</definedName>
    <definedName name="SG_25_01" localSheetId="15">#REF!</definedName>
    <definedName name="SG_25_01">#REF!</definedName>
    <definedName name="SG_25_02" localSheetId="15">#REF!</definedName>
    <definedName name="SG_25_02">#REF!</definedName>
    <definedName name="SG_25_03" localSheetId="15">#REF!</definedName>
    <definedName name="SG_25_03">#REF!</definedName>
    <definedName name="SG_25_04" localSheetId="15">#REF!</definedName>
    <definedName name="SG_25_04">#REF!</definedName>
    <definedName name="SG_25_05" localSheetId="15">#REF!</definedName>
    <definedName name="SG_25_05">#REF!</definedName>
    <definedName name="SG_25_06" localSheetId="15">#REF!</definedName>
    <definedName name="SG_25_06">#REF!</definedName>
    <definedName name="SG_25_07" localSheetId="15">#REF!</definedName>
    <definedName name="SG_25_07">#REF!</definedName>
    <definedName name="SG_25_08" localSheetId="15">#REF!</definedName>
    <definedName name="SG_25_08">#REF!</definedName>
    <definedName name="SG_25_09" localSheetId="15">#REF!</definedName>
    <definedName name="SG_25_09">#REF!</definedName>
    <definedName name="SG_25_10" localSheetId="15">#REF!</definedName>
    <definedName name="SG_25_10">#REF!</definedName>
    <definedName name="SG_25_11" localSheetId="15">#REF!</definedName>
    <definedName name="SG_25_11">#REF!</definedName>
    <definedName name="SG_25_12" localSheetId="15">#REF!</definedName>
    <definedName name="SG_25_12">#REF!</definedName>
    <definedName name="SG_25_13" localSheetId="15">#REF!</definedName>
    <definedName name="SG_25_13">#REF!</definedName>
    <definedName name="SG_25_14" localSheetId="15">#REF!</definedName>
    <definedName name="SG_25_14">#REF!</definedName>
    <definedName name="SG_25_15" localSheetId="15">#REF!</definedName>
    <definedName name="SG_25_15">#REF!</definedName>
    <definedName name="SG_25_16" localSheetId="15">#REF!</definedName>
    <definedName name="SG_25_16">#REF!</definedName>
    <definedName name="SG_25_17" localSheetId="15">#REF!</definedName>
    <definedName name="SG_25_17">#REF!</definedName>
    <definedName name="SG_25_18" localSheetId="15">#REF!</definedName>
    <definedName name="SG_25_18">#REF!</definedName>
    <definedName name="SG_25_19" localSheetId="15">#REF!</definedName>
    <definedName name="SG_25_19">#REF!</definedName>
    <definedName name="SG_25_20" localSheetId="15">#REF!</definedName>
    <definedName name="SG_25_20">#REF!</definedName>
    <definedName name="SG_25_21" localSheetId="15">#REF!</definedName>
    <definedName name="SG_25_21">#REF!</definedName>
    <definedName name="SG_25_22" localSheetId="15">#REF!</definedName>
    <definedName name="SG_25_22">#REF!</definedName>
    <definedName name="SG_25_23" localSheetId="15">#REF!</definedName>
    <definedName name="SG_25_23">#REF!</definedName>
    <definedName name="SG_25_24" localSheetId="15">#REF!</definedName>
    <definedName name="SG_25_24">#REF!</definedName>
    <definedName name="SG_25_25" localSheetId="15">#REF!</definedName>
    <definedName name="SG_25_25">#REF!</definedName>
    <definedName name="sicronov03">#REF!</definedName>
    <definedName name="SIH" localSheetId="15">#REF!</definedName>
    <definedName name="SIH">#REF!</definedName>
    <definedName name="SIN">#REF!</definedName>
    <definedName name="sinal" localSheetId="15">#REF!</definedName>
    <definedName name="sinal">#REF!</definedName>
    <definedName name="SINALI" localSheetId="15">#REF!</definedName>
    <definedName name="SINALI">#REF!</definedName>
    <definedName name="sinaliz_vert" localSheetId="15">#REF!</definedName>
    <definedName name="sinaliz_vert">#REF!</definedName>
    <definedName name="sinalizacao" localSheetId="15">#REF!</definedName>
    <definedName name="sinalizacao">#REF!</definedName>
    <definedName name="SINTETICO" localSheetId="18" hidden="1">{#N/A,#N/A,TRUE,"TER  EXT";#N/A,#N/A,TRUE,"TER  EXT";#N/A,#N/A,TRUE,"LAT  ESQ";#N/A,#N/A,TRUE,"FRONTAL";#N/A,#N/A,TRUE,"POST";#N/A,#N/A,TRUE,"LAT  DIR"}</definedName>
    <definedName name="SINTETICO" hidden="1">{#N/A,#N/A,TRUE,"TER  EXT";#N/A,#N/A,TRUE,"TER  EXT";#N/A,#N/A,TRUE,"LAT  ESQ";#N/A,#N/A,TRUE,"FRONTAL";#N/A,#N/A,TRUE,"POST";#N/A,#N/A,TRUE,"LAT  DIR"}</definedName>
    <definedName name="SIV" localSheetId="15">#REF!</definedName>
    <definedName name="SIV">#REF!</definedName>
    <definedName name="SJ">#REF!</definedName>
    <definedName name="SM" localSheetId="15">#REF!</definedName>
    <definedName name="SM">#REF!</definedName>
    <definedName name="SMC">#REF!</definedName>
    <definedName name="SMW">"$#REF!.$J$36"</definedName>
    <definedName name="SMWA">"$#REF!.$J$35"</definedName>
    <definedName name="SOLO">#REF!</definedName>
    <definedName name="SOLOREM_20">#REF!</definedName>
    <definedName name="SOLPIR">#REF!</definedName>
    <definedName name="solver_lin" hidden="1">0</definedName>
    <definedName name="solver_num" hidden="1">0</definedName>
    <definedName name="solver_opt" localSheetId="4" hidden="1">#REF!</definedName>
    <definedName name="solver_opt" localSheetId="15" hidden="1">#REF!</definedName>
    <definedName name="solver_opt" hidden="1">#REF!</definedName>
    <definedName name="solver_rel1" hidden="1">3</definedName>
    <definedName name="solver_rhs1" hidden="1">0</definedName>
    <definedName name="solver_tmp" hidden="1">0</definedName>
    <definedName name="solver_typ" hidden="1">1</definedName>
    <definedName name="solver_val" hidden="1">0</definedName>
    <definedName name="SOMA1">#REF!</definedName>
    <definedName name="SOMA2">#REF!</definedName>
    <definedName name="SOMA3">#REF!</definedName>
    <definedName name="SOMA4">#REF!</definedName>
    <definedName name="SOMA5">#REF!</definedName>
    <definedName name="SomaMedAtual" localSheetId="15">SUM(IF(#REF!=#REF!,IF(#REF!=#REF!,#REF!)))</definedName>
    <definedName name="SomaMedAtual">SUM(IF(#REF!=#REF!,IF(#REF!=#REF!,#REF!)))</definedName>
    <definedName name="Sorriso" localSheetId="15">#REF!</definedName>
    <definedName name="Sorriso">#REF!</definedName>
    <definedName name="SRROO">#REF!</definedName>
    <definedName name="srsdgqge" localSheetId="15">#REF!</definedName>
    <definedName name="srsdgqge">#REF!</definedName>
    <definedName name="SRV" localSheetId="1" hidden="1">#REF!</definedName>
    <definedName name="SRV" localSheetId="2" hidden="1">#REF!</definedName>
    <definedName name="SRV" localSheetId="3" hidden="1">#REF!</definedName>
    <definedName name="SRV" localSheetId="4" hidden="1">#REF!</definedName>
    <definedName name="SRV" localSheetId="5" hidden="1">#REF!</definedName>
    <definedName name="SRV" localSheetId="6" hidden="1">#REF!</definedName>
    <definedName name="SRV" localSheetId="24" hidden="1">#REF!</definedName>
    <definedName name="SRV" localSheetId="25" hidden="1">#REF!</definedName>
    <definedName name="SRV" localSheetId="27" hidden="1">#REF!</definedName>
    <definedName name="SRV" localSheetId="20" hidden="1">#REF!</definedName>
    <definedName name="SRV" localSheetId="15" hidden="1">#REF!</definedName>
    <definedName name="SRV" localSheetId="22" hidden="1">#REF!</definedName>
    <definedName name="SRV" hidden="1">#REF!</definedName>
    <definedName name="SS" localSheetId="1" hidden="1">{#N/A,#N/A,FALSE,"MO (2)"}</definedName>
    <definedName name="SS" localSheetId="4" hidden="1">{#N/A,#N/A,FALSE,"MO (2)"}</definedName>
    <definedName name="SS" localSheetId="24" hidden="1">{#N/A,#N/A,FALSE,"MO (2)"}</definedName>
    <definedName name="SS" localSheetId="25" hidden="1">{#N/A,#N/A,FALSE,"MO (2)"}</definedName>
    <definedName name="SS" localSheetId="27" hidden="1">{#N/A,#N/A,FALSE,"MO (2)"}</definedName>
    <definedName name="SS" localSheetId="20" hidden="1">{#N/A,#N/A,FALSE,"MO (2)"}</definedName>
    <definedName name="SS" localSheetId="15" hidden="1">{#N/A,#N/A,FALSE,"MO (2)"}</definedName>
    <definedName name="SS" localSheetId="12" hidden="1">{#N/A,#N/A,FALSE,"MO (2)"}</definedName>
    <definedName name="SS" localSheetId="18" hidden="1">{#N/A,#N/A,FALSE,"MO (2)"}</definedName>
    <definedName name="SS" localSheetId="23" hidden="1">{#N/A,#N/A,FALSE,"MO (2)"}</definedName>
    <definedName name="SS" localSheetId="16" hidden="1">{#N/A,#N/A,FALSE,"MO (2)"}</definedName>
    <definedName name="SS" hidden="1">{#N/A,#N/A,FALSE,"MO (2)"}</definedName>
    <definedName name="SS_1" localSheetId="1" hidden="1">{#N/A,#N/A,FALSE,"MO (2)"}</definedName>
    <definedName name="SS_1" localSheetId="4" hidden="1">{#N/A,#N/A,FALSE,"MO (2)"}</definedName>
    <definedName name="SS_1" localSheetId="24" hidden="1">{#N/A,#N/A,FALSE,"MO (2)"}</definedName>
    <definedName name="SS_1" localSheetId="25" hidden="1">{#N/A,#N/A,FALSE,"MO (2)"}</definedName>
    <definedName name="SS_1" localSheetId="27" hidden="1">{#N/A,#N/A,FALSE,"MO (2)"}</definedName>
    <definedName name="SS_1" localSheetId="20" hidden="1">{#N/A,#N/A,FALSE,"MO (2)"}</definedName>
    <definedName name="SS_1" localSheetId="15" hidden="1">{#N/A,#N/A,FALSE,"MO (2)"}</definedName>
    <definedName name="SS_1" localSheetId="12" hidden="1">{#N/A,#N/A,FALSE,"MO (2)"}</definedName>
    <definedName name="SS_1" localSheetId="18" hidden="1">{#N/A,#N/A,FALSE,"MO (2)"}</definedName>
    <definedName name="SS_1" localSheetId="23" hidden="1">{#N/A,#N/A,FALSE,"MO (2)"}</definedName>
    <definedName name="SS_1" localSheetId="16" hidden="1">{#N/A,#N/A,FALSE,"MO (2)"}</definedName>
    <definedName name="SS_1" hidden="1">{#N/A,#N/A,FALSE,"MO (2)"}</definedName>
    <definedName name="SSS" localSheetId="1" hidden="1">{#N/A,#N/A,FALSE,"MO (2)"}</definedName>
    <definedName name="SSS" localSheetId="4" hidden="1">{#N/A,#N/A,FALSE,"MO (2)"}</definedName>
    <definedName name="SSS" localSheetId="24" hidden="1">{#N/A,#N/A,FALSE,"MO (2)"}</definedName>
    <definedName name="SSS" localSheetId="25" hidden="1">{#N/A,#N/A,FALSE,"MO (2)"}</definedName>
    <definedName name="SSS" localSheetId="27" hidden="1">{#N/A,#N/A,FALSE,"MO (2)"}</definedName>
    <definedName name="SSS" localSheetId="20" hidden="1">{#N/A,#N/A,FALSE,"MO (2)"}</definedName>
    <definedName name="SSS" localSheetId="15" hidden="1">{#N/A,#N/A,FALSE,"MO (2)"}</definedName>
    <definedName name="SSS" localSheetId="12" hidden="1">{#N/A,#N/A,FALSE,"MO (2)"}</definedName>
    <definedName name="SSS" localSheetId="18" hidden="1">{#N/A,#N/A,FALSE,"MO (2)"}</definedName>
    <definedName name="SSS" localSheetId="23" hidden="1">{#N/A,#N/A,FALSE,"MO (2)"}</definedName>
    <definedName name="SSS" localSheetId="16" hidden="1">{#N/A,#N/A,FALSE,"MO (2)"}</definedName>
    <definedName name="SSS" hidden="1">{#N/A,#N/A,FALSE,"MO (2)"}</definedName>
    <definedName name="SSS_1" localSheetId="1" hidden="1">{#N/A,#N/A,FALSE,"MO (2)"}</definedName>
    <definedName name="SSS_1" localSheetId="4" hidden="1">{#N/A,#N/A,FALSE,"MO (2)"}</definedName>
    <definedName name="SSS_1" localSheetId="24" hidden="1">{#N/A,#N/A,FALSE,"MO (2)"}</definedName>
    <definedName name="SSS_1" localSheetId="25" hidden="1">{#N/A,#N/A,FALSE,"MO (2)"}</definedName>
    <definedName name="SSS_1" localSheetId="27" hidden="1">{#N/A,#N/A,FALSE,"MO (2)"}</definedName>
    <definedName name="SSS_1" localSheetId="20" hidden="1">{#N/A,#N/A,FALSE,"MO (2)"}</definedName>
    <definedName name="SSS_1" localSheetId="15" hidden="1">{#N/A,#N/A,FALSE,"MO (2)"}</definedName>
    <definedName name="SSS_1" localSheetId="12" hidden="1">{#N/A,#N/A,FALSE,"MO (2)"}</definedName>
    <definedName name="SSS_1" localSheetId="18" hidden="1">{#N/A,#N/A,FALSE,"MO (2)"}</definedName>
    <definedName name="SSS_1" localSheetId="23" hidden="1">{#N/A,#N/A,FALSE,"MO (2)"}</definedName>
    <definedName name="SSS_1" localSheetId="16" hidden="1">{#N/A,#N/A,FALSE,"MO (2)"}</definedName>
    <definedName name="SSS_1" hidden="1">{#N/A,#N/A,FALSE,"MO (2)"}</definedName>
    <definedName name="sssss" localSheetId="15">#REF!</definedName>
    <definedName name="sssss">#REF!</definedName>
    <definedName name="ssssss" localSheetId="18" hidden="1">{#N/A,#N/A,FALSE,"MO (2)"}</definedName>
    <definedName name="ssssss" hidden="1">{#N/A,#N/A,FALSE,"MO (2)"}</definedName>
    <definedName name="sssssssssssssssssssss" localSheetId="1" hidden="1">{#N/A,#N/A,TRUE,"Plan1"}</definedName>
    <definedName name="sssssssssssssssssssss" localSheetId="4" hidden="1">{#N/A,#N/A,TRUE,"Plan1"}</definedName>
    <definedName name="sssssssssssssssssssss" localSheetId="24" hidden="1">{#N/A,#N/A,TRUE,"Plan1"}</definedName>
    <definedName name="sssssssssssssssssssss" localSheetId="25" hidden="1">{#N/A,#N/A,TRUE,"Plan1"}</definedName>
    <definedName name="sssssssssssssssssssss" localSheetId="27" hidden="1">{#N/A,#N/A,TRUE,"Plan1"}</definedName>
    <definedName name="sssssssssssssssssssss" localSheetId="20" hidden="1">{#N/A,#N/A,TRUE,"Plan1"}</definedName>
    <definedName name="sssssssssssssssssssss" localSheetId="15" hidden="1">{#N/A,#N/A,TRUE,"Plan1"}</definedName>
    <definedName name="sssssssssssssssssssss" localSheetId="18" hidden="1">{#N/A,#N/A,TRUE,"Plan1"}</definedName>
    <definedName name="sssssssssssssssssssss" hidden="1">{#N/A,#N/A,TRUE,"Plan1"}</definedName>
    <definedName name="sssssssssssssssssssss_1" localSheetId="18" hidden="1">{#N/A,#N/A,TRUE,"Plan1"}</definedName>
    <definedName name="sssssssssssssssssssss_1" hidden="1">{#N/A,#N/A,TRUE,"Plan1"}</definedName>
    <definedName name="ST" localSheetId="15">#REF!</definedName>
    <definedName name="ST">#REF!</definedName>
    <definedName name="STR">#REF!</definedName>
    <definedName name="STR_13">#REF!</definedName>
    <definedName name="STR_39">#REF!</definedName>
    <definedName name="STR_6">#REF!</definedName>
    <definedName name="SUB">#REF!</definedName>
    <definedName name="SUB_TRECHO" localSheetId="15">#REF!</definedName>
    <definedName name="SUB_TRECHO">#REF!</definedName>
    <definedName name="Subt" localSheetId="15">#REF!</definedName>
    <definedName name="Subt">#REF!</definedName>
    <definedName name="SUBT1">"$#REF!.$B$#REF!"</definedName>
    <definedName name="subtrec" localSheetId="15">#REF!</definedName>
    <definedName name="subtrec">#REF!</definedName>
    <definedName name="subtrech" localSheetId="15">#REF!</definedName>
    <definedName name="subtrech">#REF!</definedName>
    <definedName name="subtrecho" localSheetId="15">#REF!</definedName>
    <definedName name="subtrecho">#REF!</definedName>
    <definedName name="SUBTRECHO1">#REF!</definedName>
    <definedName name="SUP_MAR94" localSheetId="15">#REF!</definedName>
    <definedName name="SUP_MAR94">#REF!</definedName>
    <definedName name="superstrutura" localSheetId="15">#REF!</definedName>
    <definedName name="superstrutura">#REF!</definedName>
    <definedName name="svsicro2">#REF!</definedName>
    <definedName name="sxcc" localSheetId="18" hidden="1">{#N/A,#N/A,FALSE,"SS";#N/A,#N/A,FALSE,"TER1";#N/A,#N/A,FALSE,"TER2";#N/A,#N/A,FALSE,"TER3";#N/A,#N/A,FALSE,"TP1";#N/A,#N/A,FALSE,"TP2";#N/A,#N/A,FALSE,"TP3";#N/A,#N/A,FALSE,"DI1";#N/A,#N/A,FALSE,"DI2";#N/A,#N/A,FALSE,"DI3";#N/A,#N/A,FALSE,"DS1";#N/A,#N/A,FALSE,"DS2";#N/A,#N/A,FALSE,"CM"}</definedName>
    <definedName name="sxcc" hidden="1">{#N/A,#N/A,FALSE,"SS";#N/A,#N/A,FALSE,"TER1";#N/A,#N/A,FALSE,"TER2";#N/A,#N/A,FALSE,"TER3";#N/A,#N/A,FALSE,"TP1";#N/A,#N/A,FALSE,"TP2";#N/A,#N/A,FALSE,"TP3";#N/A,#N/A,FALSE,"DI1";#N/A,#N/A,FALSE,"DI2";#N/A,#N/A,FALSE,"DI3";#N/A,#N/A,FALSE,"DS1";#N/A,#N/A,FALSE,"DS2";#N/A,#N/A,FALSE,"CM"}</definedName>
    <definedName name="T" localSheetId="15">#REF!</definedName>
    <definedName name="T">#REF!</definedName>
    <definedName name="T.314">#REF!</definedName>
    <definedName name="T.315">#REF!</definedName>
    <definedName name="T.401">#REF!</definedName>
    <definedName name="T.501">#REF!</definedName>
    <definedName name="T.601">#REF!</definedName>
    <definedName name="T.602">#REF!</definedName>
    <definedName name="T.603">#REF!</definedName>
    <definedName name="T.604">#REF!</definedName>
    <definedName name="T.605">#REF!</definedName>
    <definedName name="T.701">#REF!</definedName>
    <definedName name="T_25">#N/A</definedName>
    <definedName name="T_med">#REF!</definedName>
    <definedName name="TA" localSheetId="15">#REF!</definedName>
    <definedName name="TA">#REF!</definedName>
    <definedName name="Tab_Serv." localSheetId="15">#REF!</definedName>
    <definedName name="Tab_Serv.">#REF!</definedName>
    <definedName name="Tab_Serviços" localSheetId="15">#REF!</definedName>
    <definedName name="Tab_Serviços">#REF!</definedName>
    <definedName name="tab092003_1">0</definedName>
    <definedName name="tab092003_10">0</definedName>
    <definedName name="tab092003_11">0</definedName>
    <definedName name="tab092003_12">0</definedName>
    <definedName name="tab092003_13">0</definedName>
    <definedName name="tab092003_14">0</definedName>
    <definedName name="tab092003_15">0</definedName>
    <definedName name="tab092003_16">0</definedName>
    <definedName name="tab092003_17">0</definedName>
    <definedName name="tab092003_18">0</definedName>
    <definedName name="tab092003_19">0</definedName>
    <definedName name="tab092003_2">0</definedName>
    <definedName name="tab092003_20">0</definedName>
    <definedName name="tab092003_21">0</definedName>
    <definedName name="tab092003_22">0</definedName>
    <definedName name="tab092003_23">0</definedName>
    <definedName name="tab092003_24">0</definedName>
    <definedName name="tab092003_25">0</definedName>
    <definedName name="tab092003_26">0</definedName>
    <definedName name="tab092003_27">0</definedName>
    <definedName name="tab092003_28">0</definedName>
    <definedName name="tab092003_3">0</definedName>
    <definedName name="tab092003_4">0</definedName>
    <definedName name="tab092003_5">0</definedName>
    <definedName name="tab092003_6">0</definedName>
    <definedName name="tab092003_7">0</definedName>
    <definedName name="tab092003_8">0</definedName>
    <definedName name="tab092003_9">0</definedName>
    <definedName name="tabela" localSheetId="15">#REF!</definedName>
    <definedName name="tabela">#REF!</definedName>
    <definedName name="tabela_1">0</definedName>
    <definedName name="tabela_10">0</definedName>
    <definedName name="tabela_11">0</definedName>
    <definedName name="tabela_12">0</definedName>
    <definedName name="tabela_13">0</definedName>
    <definedName name="tabela_14">0</definedName>
    <definedName name="tabela_15">0</definedName>
    <definedName name="tabela_16">0</definedName>
    <definedName name="tabela_17">0</definedName>
    <definedName name="tabela_18">0</definedName>
    <definedName name="tabela_19">0</definedName>
    <definedName name="tabela_2">0</definedName>
    <definedName name="tabela_20">0</definedName>
    <definedName name="tabela_21">0</definedName>
    <definedName name="tabela_22">0</definedName>
    <definedName name="tabela_23">0</definedName>
    <definedName name="tabela_24">0</definedName>
    <definedName name="tabela_25">0</definedName>
    <definedName name="tabela_26">0</definedName>
    <definedName name="tabela_27">0</definedName>
    <definedName name="tabela_28">0</definedName>
    <definedName name="tabela_29">0</definedName>
    <definedName name="tabela_3">0</definedName>
    <definedName name="tabela_30">0</definedName>
    <definedName name="tabela_31">0</definedName>
    <definedName name="tabela_32">0</definedName>
    <definedName name="tabela_33">0</definedName>
    <definedName name="tabela_34">0</definedName>
    <definedName name="tabela_35">0</definedName>
    <definedName name="tabela_36">0</definedName>
    <definedName name="tabela_37">0</definedName>
    <definedName name="tabela_38">0</definedName>
    <definedName name="tabela_39">0</definedName>
    <definedName name="tabela_4">0</definedName>
    <definedName name="tabela_40">0</definedName>
    <definedName name="tabela_41">0</definedName>
    <definedName name="tabela_42">0</definedName>
    <definedName name="tabela_43">0</definedName>
    <definedName name="tabela_44">0</definedName>
    <definedName name="tabela_45">0</definedName>
    <definedName name="tabela_46">0</definedName>
    <definedName name="tabela_47">0</definedName>
    <definedName name="tabela_48">0</definedName>
    <definedName name="tabela_49">0</definedName>
    <definedName name="tabela_5">0</definedName>
    <definedName name="tabela_50">0</definedName>
    <definedName name="tabela_51">0</definedName>
    <definedName name="tabela_52">0</definedName>
    <definedName name="tabela_53">0</definedName>
    <definedName name="tabela_54">0</definedName>
    <definedName name="tabela_55">0</definedName>
    <definedName name="tabela_56">0</definedName>
    <definedName name="tabela_57">0</definedName>
    <definedName name="tabela_58">0</definedName>
    <definedName name="tabela_59">0</definedName>
    <definedName name="tabela_6">0</definedName>
    <definedName name="tabela_60">0</definedName>
    <definedName name="tabela_7">0</definedName>
    <definedName name="tabela_8">0</definedName>
    <definedName name="tabela_9">0</definedName>
    <definedName name="tabela_de_mão_de_obra">#REF!</definedName>
    <definedName name="tabela_de_materiais">#REF!</definedName>
    <definedName name="TabelaConsol" localSheetId="15">#REF!</definedName>
    <definedName name="TabelaConsol">#REF!</definedName>
    <definedName name="TabelaDistribuiçãoDeMassas" localSheetId="15">#REF!</definedName>
    <definedName name="TabelaDistribuiçãoDeMassas">#REF!</definedName>
    <definedName name="TabelaSicro" localSheetId="15">#REF!</definedName>
    <definedName name="TabelaSicro">#REF!</definedName>
    <definedName name="TableName">"Dummy"</definedName>
    <definedName name="TABMAT">#REF!</definedName>
    <definedName name="tabserv">#REF!</definedName>
    <definedName name="TABUA">#REF!</definedName>
    <definedName name="Tachas" localSheetId="1" hidden="1">{#N/A,#N/A,TRUE,"Plan1"}</definedName>
    <definedName name="Tachas" localSheetId="4" hidden="1">{#N/A,#N/A,TRUE,"Plan1"}</definedName>
    <definedName name="Tachas" localSheetId="24" hidden="1">{#N/A,#N/A,TRUE,"Plan1"}</definedName>
    <definedName name="Tachas" localSheetId="25" hidden="1">{#N/A,#N/A,TRUE,"Plan1"}</definedName>
    <definedName name="Tachas" localSheetId="27" hidden="1">{#N/A,#N/A,TRUE,"Plan1"}</definedName>
    <definedName name="Tachas" localSheetId="20" hidden="1">{#N/A,#N/A,TRUE,"Plan1"}</definedName>
    <definedName name="Tachas" localSheetId="15" hidden="1">{#N/A,#N/A,TRUE,"Plan1"}</definedName>
    <definedName name="Tachas" localSheetId="18" hidden="1">{#N/A,#N/A,TRUE,"Plan1"}</definedName>
    <definedName name="Tachas" localSheetId="23" hidden="1">{#N/A,#N/A,TRUE,"Plan1"}</definedName>
    <definedName name="Tachas" hidden="1">{#N/A,#N/A,TRUE,"Plan1"}</definedName>
    <definedName name="Tachas_1" localSheetId="18" hidden="1">{#N/A,#N/A,TRUE,"Plan1"}</definedName>
    <definedName name="Tachas_1" hidden="1">{#N/A,#N/A,TRUE,"Plan1"}</definedName>
    <definedName name="tachinhas" localSheetId="15">#REF!</definedName>
    <definedName name="tachinhas">#REF!</definedName>
    <definedName name="tachões" localSheetId="15">#REF!</definedName>
    <definedName name="tachões">#REF!</definedName>
    <definedName name="Tanque_lavar_roupa" localSheetId="15">#REF!</definedName>
    <definedName name="Tanque_lavar_roupa">#REF!</definedName>
    <definedName name="Tanque_premoldado" localSheetId="15">#REF!</definedName>
    <definedName name="Tanque_premoldado">#REF!</definedName>
    <definedName name="taxa_cap" localSheetId="15">#REF!</definedName>
    <definedName name="taxa_cap">#REF!</definedName>
    <definedName name="TaxaJuros" localSheetId="15">#REF!</definedName>
    <definedName name="TaxaJuros">#REF!</definedName>
    <definedName name="TB" localSheetId="15">#REF!</definedName>
    <definedName name="TB">#REF!</definedName>
    <definedName name="TB_13">#REF!</definedName>
    <definedName name="TB_39">#REF!</definedName>
    <definedName name="TB_6">#REF!</definedName>
    <definedName name="TBA" localSheetId="15">#REF!</definedName>
    <definedName name="TBA">#REF!</definedName>
    <definedName name="TBT" localSheetId="15">#REF!</definedName>
    <definedName name="TBT">#REF!</definedName>
    <definedName name="TBW">"$#REF!.$E$33"</definedName>
    <definedName name="TBWA">"$#REF!.$E$32"</definedName>
    <definedName name="TCAP50">#REF!</definedName>
    <definedName name="TCAP50SJ">#REF!</definedName>
    <definedName name="TCAR">#REF!</definedName>
    <definedName name="TCB">"$#REF!.$G$31"</definedName>
    <definedName name="TCB10M3">"$#REF!.$K$#REF!"</definedName>
    <definedName name="TCB5M3">"$#REF!.$J$32"</definedName>
    <definedName name="TCBMBUQ">"$#REF!.$K$32"</definedName>
    <definedName name="TCBR158">#REF!</definedName>
    <definedName name="TCBW">"$#REF!.$G$33"</definedName>
    <definedName name="TCBWA">"$#REF!.$G$32"</definedName>
    <definedName name="TCC">"$#REF!.$G$44"</definedName>
    <definedName name="TCC4T" localSheetId="15">#REF!</definedName>
    <definedName name="TCC4T">#REF!</definedName>
    <definedName name="TCC4TCONCR">"$#REF!.$I$32"</definedName>
    <definedName name="TCC4TFORMA">"$#REF!.$H$31"</definedName>
    <definedName name="TCCBRMZ">"$#REF!.$M$28"</definedName>
    <definedName name="TCCW">"$#REF!.$G$46"</definedName>
    <definedName name="TCCWA">"$#REF!.$G$45"</definedName>
    <definedName name="TCM30SJ">#REF!</definedName>
    <definedName name="TD" localSheetId="15">#REF!</definedName>
    <definedName name="TD">#REF!</definedName>
    <definedName name="TE" localSheetId="15">#REF!</definedName>
    <definedName name="TE">#REF!</definedName>
    <definedName name="TEA" localSheetId="15">#REF!</definedName>
    <definedName name="TEA">#REF!</definedName>
    <definedName name="TEB">"$#REF!.$G$16"</definedName>
    <definedName name="TEBW">"$#REF!.$G$18"</definedName>
    <definedName name="TEBWA">"$#REF!.$G$17"</definedName>
    <definedName name="TECD">"$#REF!.$K$39"</definedName>
    <definedName name="TECD97">"$#REF!.$K$80"</definedName>
    <definedName name="TEMULFLEX">#REF!</definedName>
    <definedName name="TEMULFLEXCG">#REF!</definedName>
    <definedName name="Teor">#REF!</definedName>
    <definedName name="Teor_25">#REF!</definedName>
    <definedName name="Teor_26">#REF!</definedName>
    <definedName name="Teor_28">#REF!</definedName>
    <definedName name="Teor_29">#REF!</definedName>
    <definedName name="Teor_31">#REF!</definedName>
    <definedName name="Teor1">#REF!</definedName>
    <definedName name="ter" localSheetId="15">#REF!</definedName>
    <definedName name="ter">#REF!</definedName>
    <definedName name="Ter_Carna" localSheetId="18">#REF!-47</definedName>
    <definedName name="Ter_Carna">#REF!-47</definedName>
    <definedName name="TER_MAR94" localSheetId="15">#REF!</definedName>
    <definedName name="TER_MAR94">#REF!</definedName>
    <definedName name="TERFAIXALD" localSheetId="15">#REF!</definedName>
    <definedName name="TERFAIXALD">#REF!</definedName>
    <definedName name="TERFAIXALE" localSheetId="15">#REF!</definedName>
    <definedName name="TERFAIXALE">#REF!</definedName>
    <definedName name="TERP">"$#REF!.$P$34"</definedName>
    <definedName name="terra" localSheetId="15">#REF!</definedName>
    <definedName name="terra">#REF!</definedName>
    <definedName name="Terra2" localSheetId="15">#REF!</definedName>
    <definedName name="Terra2">#REF!</definedName>
    <definedName name="TERRAP">#REF!</definedName>
    <definedName name="terraplenagem" localSheetId="15">#REF!</definedName>
    <definedName name="terraplenagem">#REF!</definedName>
    <definedName name="TES" localSheetId="15">#REF!</definedName>
    <definedName name="TES">#REF!</definedName>
    <definedName name="TESM">"$#REF!.$Q$34"</definedName>
    <definedName name="teste" localSheetId="15">#REF!</definedName>
    <definedName name="teste">#REF!</definedName>
    <definedName name="teste1" localSheetId="15">#REF!</definedName>
    <definedName name="teste1">#REF!</definedName>
    <definedName name="teste2" localSheetId="15">#REF!</definedName>
    <definedName name="teste2">#REF!</definedName>
    <definedName name="teste237" localSheetId="15">#REF!</definedName>
    <definedName name="teste237">#REF!</definedName>
    <definedName name="teste3" localSheetId="15">#REF!</definedName>
    <definedName name="teste3">#REF!</definedName>
    <definedName name="TETB">"$#REF!.$H$30"</definedName>
    <definedName name="TETB97">"$#REF!.$H$70"</definedName>
    <definedName name="TF" localSheetId="15">#REF!</definedName>
    <definedName name="TF">#REF!</definedName>
    <definedName name="thiago" localSheetId="18" hidden="1">{#N/A,#N/A,FALSE,"MO (2)"}</definedName>
    <definedName name="thiago" hidden="1">{#N/A,#N/A,FALSE,"MO (2)"}</definedName>
    <definedName name="tiago" localSheetId="15">#REF!</definedName>
    <definedName name="tiago">#REF!</definedName>
    <definedName name="TIPO_BDI">#REF!</definedName>
    <definedName name="TIPOORCAMENTO" localSheetId="4" hidden="1">IF(VALUE(#REF!)=2,"Licitado","Proposto")</definedName>
    <definedName name="TIPOORCAMENTO" localSheetId="15" hidden="1">IF(VALUE(#REF!)=2,"Licitado","Proposto")</definedName>
    <definedName name="TIPOORCAMENTO" hidden="1">IF(VALUE(#REF!)=2,"Licitado","Proposto")</definedName>
    <definedName name="tit">#REF!,#REF!,#REF!,#REF!</definedName>
    <definedName name="Título">#REF!</definedName>
    <definedName name="_xlnm.Print_Titles" localSheetId="25">'DREN. REDE'!$1:$2</definedName>
    <definedName name="_xlnm.Print_Titles" localSheetId="27">'DREN. SARJETA'!$1:$2</definedName>
    <definedName name="_xlnm.Print_Titles" localSheetId="12">ORÇAMENTO!$1:$8</definedName>
    <definedName name="_xlnm.Print_Titles" localSheetId="23">'SIN. HORIZONTAL '!$1:$6</definedName>
    <definedName name="TLC4T">"$#REF!.$K$#REF!"</definedName>
    <definedName name="TLCB5">#REF!</definedName>
    <definedName name="TLMB">#REF!</definedName>
    <definedName name="TLMR">"$#REF!.$K$#REF!"</definedName>
    <definedName name="tmat" localSheetId="15">#REF!</definedName>
    <definedName name="tmat">#REF!</definedName>
    <definedName name="TOT" localSheetId="1" hidden="1">#REF!</definedName>
    <definedName name="TOT" localSheetId="2" hidden="1">#REF!</definedName>
    <definedName name="TOT" localSheetId="3" hidden="1">#REF!</definedName>
    <definedName name="TOT" localSheetId="4" hidden="1">#REF!</definedName>
    <definedName name="TOT" localSheetId="5" hidden="1">#REF!</definedName>
    <definedName name="TOT" localSheetId="6" hidden="1">#REF!</definedName>
    <definedName name="TOT" localSheetId="24" hidden="1">#REF!</definedName>
    <definedName name="TOT" localSheetId="25" hidden="1">#REF!</definedName>
    <definedName name="TOT" localSheetId="27" hidden="1">#REF!</definedName>
    <definedName name="TOT" localSheetId="20" hidden="1">#REF!</definedName>
    <definedName name="TOT" localSheetId="15" hidden="1">#REF!</definedName>
    <definedName name="TOT" localSheetId="22" hidden="1">#REF!</definedName>
    <definedName name="TOT" hidden="1">#REF!</definedName>
    <definedName name="tota">#REF!</definedName>
    <definedName name="TOTAL" localSheetId="15">#REF!</definedName>
    <definedName name="TOTAL">#REF!</definedName>
    <definedName name="TOTAL_GERAL" localSheetId="15">#REF!</definedName>
    <definedName name="TOTAL_GERAL">#REF!</definedName>
    <definedName name="TOTAL_RESUMO" localSheetId="15">#REF!</definedName>
    <definedName name="TOTAL_RESUMO">#REF!</definedName>
    <definedName name="total1">#REF!</definedName>
    <definedName name="TotalEventos" localSheetId="15">SUM(LIMPEZA!TotalPorEvento)</definedName>
    <definedName name="TotalEventos" localSheetId="18">SUM(TotalPorEvento)</definedName>
    <definedName name="TotalEventos">SUM(TotalPorEvento)</definedName>
    <definedName name="totalob">#REF!</definedName>
    <definedName name="TotalPorEvento" localSheetId="15">#REF!:OFFSET(#REF!,-1,0)</definedName>
    <definedName name="TotalPorEvento">#REF!:OFFSET(#REF!,-1,0)</definedName>
    <definedName name="TOTALRP">#REF!</definedName>
    <definedName name="TOTALRP_20">#REF!</definedName>
    <definedName name="TOTALRP_21">#REF!</definedName>
    <definedName name="TOTALSAIBRO" localSheetId="15">#REF!</definedName>
    <definedName name="TOTALSAIBRO">#REF!</definedName>
    <definedName name="TOTALTB_20">#REF!</definedName>
    <definedName name="TOTALTB_21">#REF!</definedName>
    <definedName name="totcro">#REF!</definedName>
    <definedName name="totee_3" localSheetId="15">#REF!</definedName>
    <definedName name="totee_3">#REF!</definedName>
    <definedName name="totee1" localSheetId="15">#REF!</definedName>
    <definedName name="totee1">#REF!</definedName>
    <definedName name="totee2" localSheetId="15">#REF!</definedName>
    <definedName name="totee2">#REF!</definedName>
    <definedName name="TOTMAT_EE1" localSheetId="15">#REF!</definedName>
    <definedName name="TOTMAT_EE1">#REF!</definedName>
    <definedName name="TOTMAT_EE2" localSheetId="15">#REF!</definedName>
    <definedName name="TOTMAT_EE2">#REF!</definedName>
    <definedName name="TOTMAT_EE3" localSheetId="15">#REF!</definedName>
    <definedName name="TOTMAT_EE3">#REF!</definedName>
    <definedName name="totmsa" localSheetId="15">#REF!</definedName>
    <definedName name="totmsa">#REF!</definedName>
    <definedName name="totmsa2" localSheetId="15">#REF!</definedName>
    <definedName name="totmsa2">#REF!</definedName>
    <definedName name="TOTSER_EE1" localSheetId="15">#REF!</definedName>
    <definedName name="TOTSER_EE1">#REF!</definedName>
    <definedName name="TOTSER_EE2" localSheetId="15">#REF!</definedName>
    <definedName name="TOTSER_EE2">#REF!</definedName>
    <definedName name="TOTSER_EE3" localSheetId="15">#REF!</definedName>
    <definedName name="TOTSER_EE3">#REF!</definedName>
    <definedName name="totsma" localSheetId="15">#REF!</definedName>
    <definedName name="totsma">#REF!</definedName>
    <definedName name="TPM" localSheetId="15">#REF!</definedName>
    <definedName name="TPM">#REF!</definedName>
    <definedName name="TPM_25" localSheetId="15">#REF!</definedName>
    <definedName name="TPM_25">#REF!</definedName>
    <definedName name="TPTE_FRIO">#REF!</definedName>
    <definedName name="TPTE_QUENTE">#REF!</definedName>
    <definedName name="TR">#REF!</definedName>
    <definedName name="TR_13">#REF!</definedName>
    <definedName name="TR_39">#REF!</definedName>
    <definedName name="TR_6">#REF!</definedName>
    <definedName name="TR5C" localSheetId="15">#REF!</definedName>
    <definedName name="TR5C">#REF!</definedName>
    <definedName name="TRABALHO">"$#REF!.$H$5:$H$84"</definedName>
    <definedName name="TrabAnual" localSheetId="15">#REF!</definedName>
    <definedName name="TrabAnual">#REF!</definedName>
    <definedName name="TRAF" localSheetId="15">#REF!</definedName>
    <definedName name="TRAF">#REF!</definedName>
    <definedName name="TRAF_25" localSheetId="15">#REF!</definedName>
    <definedName name="TRAF_25">#REF!</definedName>
    <definedName name="TRÂNS_SEG_EMISS2" localSheetId="15">#REF!</definedName>
    <definedName name="TRÂNS_SEG_EMISS2">#REF!</definedName>
    <definedName name="TRÂNS_SEG_EMISS3" localSheetId="15">#REF!</definedName>
    <definedName name="TRÂNS_SEG_EMISS3">#REF!</definedName>
    <definedName name="TRÂNS_SEGU" localSheetId="15">#REF!</definedName>
    <definedName name="TRÂNS_SEGU">#REF!</definedName>
    <definedName name="TRÂNS_SEGURANÇA" localSheetId="15">#REF!</definedName>
    <definedName name="TRÂNS_SEGURANÇA">#REF!</definedName>
    <definedName name="TRANSP_LOC_CARROC_PAV" localSheetId="15">#REF!</definedName>
    <definedName name="TRANSP_LOC_CARROC_PAV">#REF!</definedName>
    <definedName name="TRANSP_LOC_EQUIP" localSheetId="15">#REF!</definedName>
    <definedName name="TRANSP_LOC_EQUIP">#REF!</definedName>
    <definedName name="TRANSP_LOC_PAV" localSheetId="15">#REF!</definedName>
    <definedName name="TRANSP_LOC_PAV">#REF!</definedName>
    <definedName name="transp_massa" localSheetId="15">#REF!</definedName>
    <definedName name="transp_massa">#REF!</definedName>
    <definedName name="transporte" localSheetId="15">#REF!</definedName>
    <definedName name="transporte">#REF!</definedName>
    <definedName name="Transporte_Brita_TSD" localSheetId="18" hidden="1">{#N/A,#N/A,TRUE,"Plan1"}</definedName>
    <definedName name="Transporte_Brita_TSD" hidden="1">{#N/A,#N/A,TRUE,"Plan1"}</definedName>
    <definedName name="Transportes">#REF!</definedName>
    <definedName name="TRAV_EMISS3_S" localSheetId="15">#REF!</definedName>
    <definedName name="TRAV_EMISS3_S">#REF!</definedName>
    <definedName name="TRCAP20">"$#REF!.$I$27"</definedName>
    <definedName name="TRCM30">"$#REF!.$I$28"</definedName>
    <definedName name="trec" localSheetId="15">#REF!</definedName>
    <definedName name="trec">#REF!</definedName>
    <definedName name="trech" localSheetId="15">#REF!</definedName>
    <definedName name="trech">#REF!</definedName>
    <definedName name="TRECHO">#REF!</definedName>
    <definedName name="TRECHO1">#REF!</definedName>
    <definedName name="TRECHOA" localSheetId="15">#REF!</definedName>
    <definedName name="TRECHOA">#REF!</definedName>
    <definedName name="Trilhas" localSheetId="15">#REF!</definedName>
    <definedName name="Trilhas">#REF!</definedName>
    <definedName name="TRL1C">#REF!</definedName>
    <definedName name="TRL1CCG">#REF!</definedName>
    <definedName name="TRM1C">#REF!</definedName>
    <definedName name="TRM1CCG">#REF!</definedName>
    <definedName name="TRP" localSheetId="15">#REF!</definedName>
    <definedName name="TRP">#REF!</definedName>
    <definedName name="TRR1C">#REF!</definedName>
    <definedName name="TRR1CCG">#REF!</definedName>
    <definedName name="TRR1CP">#REF!</definedName>
    <definedName name="TRR1CPCG">#REF!</definedName>
    <definedName name="TRR2C">#REF!</definedName>
    <definedName name="TRR2CCG">#REF!</definedName>
    <definedName name="trre6">#REF!</definedName>
    <definedName name="TRRM1C">"$#REF!.$I$30"</definedName>
    <definedName name="TRRR1C">"$#REF!.$I$29"</definedName>
    <definedName name="TRT" localSheetId="15">#REF!</definedName>
    <definedName name="TRT">#REF!</definedName>
    <definedName name="ts" localSheetId="15">#REF!</definedName>
    <definedName name="ts">#REF!</definedName>
    <definedName name="TS2C">"'file:///D:/Meus documentos/ANASTÁCIO/SERCEL/BR262990800.xls'#$TLMB.$#REF!$#REF!"</definedName>
    <definedName name="TSD" localSheetId="15">#REF!</definedName>
    <definedName name="TSD">#REF!</definedName>
    <definedName name="tsd.a" localSheetId="15">#REF!</definedName>
    <definedName name="tsd.a">#REF!</definedName>
    <definedName name="TSs" localSheetId="15">#REF!</definedName>
    <definedName name="TSs">#REF!</definedName>
    <definedName name="tss.a" localSheetId="15">#REF!</definedName>
    <definedName name="tss.a">#REF!</definedName>
    <definedName name="tt">#N/A</definedName>
    <definedName name="tt_25">#N/A</definedName>
    <definedName name="tt1_25">#N/A</definedName>
    <definedName name="ttra" localSheetId="15">#REF!</definedName>
    <definedName name="ttra">#REF!</definedName>
    <definedName name="TTT" localSheetId="15">#REF!</definedName>
    <definedName name="TTT">#REF!</definedName>
    <definedName name="TUBO" localSheetId="15">#REF!</definedName>
    <definedName name="TUBO">#REF!</definedName>
    <definedName name="TUBOA" localSheetId="15">#REF!</definedName>
    <definedName name="TUBOA">#REF!</definedName>
    <definedName name="tubopav" localSheetId="15">#REF!</definedName>
    <definedName name="tubopav">#REF!</definedName>
    <definedName name="TUNNELLINER">#REF!</definedName>
    <definedName name="TX_Micro">#REF!</definedName>
    <definedName name="TX_RR1C">#REF!</definedName>
    <definedName name="TX_SBS6050">#REF!</definedName>
    <definedName name="TxCresc">#REF!</definedName>
    <definedName name="TYUIO" localSheetId="1" hidden="1">{#N/A,#N/A,TRUE,"Serviços"}</definedName>
    <definedName name="TYUIO" localSheetId="4" hidden="1">{#N/A,#N/A,TRUE,"Serviços"}</definedName>
    <definedName name="TYUIO" localSheetId="24" hidden="1">{#N/A,#N/A,TRUE,"Serviços"}</definedName>
    <definedName name="TYUIO" localSheetId="25" hidden="1">{#N/A,#N/A,TRUE,"Serviços"}</definedName>
    <definedName name="TYUIO" localSheetId="27" hidden="1">{#N/A,#N/A,TRUE,"Serviços"}</definedName>
    <definedName name="TYUIO" localSheetId="20" hidden="1">{#N/A,#N/A,TRUE,"Serviços"}</definedName>
    <definedName name="TYUIO" localSheetId="15" hidden="1">{#N/A,#N/A,TRUE,"Serviços"}</definedName>
    <definedName name="TYUIO" localSheetId="18" hidden="1">{#N/A,#N/A,TRUE,"Serviços"}</definedName>
    <definedName name="TYUIO" hidden="1">{#N/A,#N/A,TRUE,"Serviços"}</definedName>
    <definedName name="TYUIOO" localSheetId="18" hidden="1">{#N/A,#N/A,TRUE,"Serviços"}</definedName>
    <definedName name="TYUIOO" hidden="1">{#N/A,#N/A,TRUE,"Serviços"}</definedName>
    <definedName name="UF">#REF!</definedName>
    <definedName name="UIO" localSheetId="15">#REF!</definedName>
    <definedName name="UIO">#REF!</definedName>
    <definedName name="UN" localSheetId="15">#REF!</definedName>
    <definedName name="UN">#REF!</definedName>
    <definedName name="Und">#N/A</definedName>
    <definedName name="Und_26">NA()</definedName>
    <definedName name="Und_27">NA()</definedName>
    <definedName name="unid.2" localSheetId="15">#REF!</definedName>
    <definedName name="unid.2">#REF!</definedName>
    <definedName name="unidade">#REF!</definedName>
    <definedName name="Unidade1" localSheetId="15">#REF!</definedName>
    <definedName name="Unidade1">#REF!</definedName>
    <definedName name="UnidAux" hidden="1">#N/A</definedName>
    <definedName name="UNIT" localSheetId="15">#REF!</definedName>
    <definedName name="UNIT">#REF!</definedName>
    <definedName name="URV_MAR94" localSheetId="15">#REF!</definedName>
    <definedName name="URV_MAR94">#REF!</definedName>
    <definedName name="USA">#REF!</definedName>
    <definedName name="USINA" localSheetId="15">#REF!</definedName>
    <definedName name="USINA">#REF!</definedName>
    <definedName name="Usina_Brita" localSheetId="15">#REF!</definedName>
    <definedName name="Usina_Brita">#REF!</definedName>
    <definedName name="USINACANT_PISTA">#REF!</definedName>
    <definedName name="Usinagem" localSheetId="18" hidden="1">{#N/A,#N/A,FALSE,"MO (2)"}</definedName>
    <definedName name="Usinagem" hidden="1">{#N/A,#N/A,FALSE,"MO (2)"}</definedName>
    <definedName name="uuu" localSheetId="18" hidden="1">{#N/A,#N/A,TRUE,"Serviços"}</definedName>
    <definedName name="uuu" hidden="1">{#N/A,#N/A,TRUE,"Serviços"}</definedName>
    <definedName name="V">#REF!</definedName>
    <definedName name="VACAP">"$#REF!.$D$38"</definedName>
    <definedName name="VACM">"$#REF!.$D$37"</definedName>
    <definedName name="vala.ca" localSheetId="15">#REF!</definedName>
    <definedName name="vala.ca">#REF!</definedName>
    <definedName name="VAM" localSheetId="15">#REF!</definedName>
    <definedName name="VAM">#REF!</definedName>
    <definedName name="VAMM" localSheetId="15">#REF!</definedName>
    <definedName name="VAMM">#REF!</definedName>
    <definedName name="VARM">"$#REF!.$D$36"</definedName>
    <definedName name="VARR">"$#REF!.$D$34"</definedName>
    <definedName name="VAVRC" localSheetId="15">#REF!</definedName>
    <definedName name="VAVRC">#REF!</definedName>
    <definedName name="Vazio1">#REF!</definedName>
    <definedName name="VAZIO2">#REF!</definedName>
    <definedName name="Vazios">#REF!</definedName>
    <definedName name="Vazios_25">#REF!</definedName>
    <definedName name="Vazios_26">#REF!</definedName>
    <definedName name="Vazios_28">#REF!</definedName>
    <definedName name="Vazios_29">#REF!</definedName>
    <definedName name="Vazios_31">#REF!</definedName>
    <definedName name="VCRT">#REF!</definedName>
    <definedName name="verde" localSheetId="15">#REF!</definedName>
    <definedName name="verde">#REF!</definedName>
    <definedName name="verde_25" localSheetId="15">#REF!</definedName>
    <definedName name="verde_25">#REF!</definedName>
    <definedName name="verdepav" localSheetId="15">#REF!</definedName>
    <definedName name="verdepav">#REF!</definedName>
    <definedName name="verdepav_25" localSheetId="15">#REF!</definedName>
    <definedName name="verdepav_25">#REF!</definedName>
    <definedName name="Verga" localSheetId="15">#REF!</definedName>
    <definedName name="Verga">#REF!</definedName>
    <definedName name="VERSAO">#REF!</definedName>
    <definedName name="vfv" localSheetId="18" hidden="1">{#N/A,#N/A,TRUE,"Plan1"}</definedName>
    <definedName name="vfv" hidden="1">{#N/A,#N/A,TRUE,"Plan1"}</definedName>
    <definedName name="VidaAnos" localSheetId="15">#REF!</definedName>
    <definedName name="VidaAnos">#REF!</definedName>
    <definedName name="Vidahoras" localSheetId="15">#REF!</definedName>
    <definedName name="Vidahoras">#REF!</definedName>
    <definedName name="VIDROS">#N/A</definedName>
    <definedName name="Vilmar12" localSheetId="15">#REF!</definedName>
    <definedName name="Vilmar12">#REF!</definedName>
    <definedName name="VLM">"$#REF!.$#REF!$#REF!"</definedName>
    <definedName name="VLPI">"$#REF!.$#REF!$#REF!"</definedName>
    <definedName name="VLREAJ">"$#REF!.$#REF!$#REF!"</definedName>
    <definedName name="vm" localSheetId="18" hidden="1">{#N/A,#N/A,FALSE,"MO (2)"}</definedName>
    <definedName name="vm" hidden="1">{#N/A,#N/A,FALSE,"MO (2)"}</definedName>
    <definedName name="VOL_MASSA" localSheetId="15">#REF!</definedName>
    <definedName name="VOL_MASSA">#REF!</definedName>
    <definedName name="volsubl" localSheetId="15">#REF!</definedName>
    <definedName name="volsubl">#REF!</definedName>
    <definedName name="VPI">#REF!</definedName>
    <definedName name="vpmensal">#REF!</definedName>
    <definedName name="VR">#REF!</definedName>
    <definedName name="VREAJ">#REF!</definedName>
    <definedName name="VSR">#REF!</definedName>
    <definedName name="vvv" localSheetId="1" hidden="1">{#N/A,#N/A,FALSE,"MO (2)"}</definedName>
    <definedName name="vvv" localSheetId="4" hidden="1">{#N/A,#N/A,FALSE,"MO (2)"}</definedName>
    <definedName name="vvv" localSheetId="24" hidden="1">{#N/A,#N/A,FALSE,"MO (2)"}</definedName>
    <definedName name="vvv" localSheetId="25" hidden="1">{#N/A,#N/A,FALSE,"MO (2)"}</definedName>
    <definedName name="vvv" localSheetId="27" hidden="1">{#N/A,#N/A,FALSE,"MO (2)"}</definedName>
    <definedName name="vvv" localSheetId="20" hidden="1">{#N/A,#N/A,FALSE,"MO (2)"}</definedName>
    <definedName name="vvv" localSheetId="15" hidden="1">{#N/A,#N/A,FALSE,"MO (2)"}</definedName>
    <definedName name="vvv" localSheetId="12" hidden="1">{#N/A,#N/A,FALSE,"MO (2)"}</definedName>
    <definedName name="vvv" localSheetId="18" hidden="1">{#N/A,#N/A,FALSE,"MO (2)"}</definedName>
    <definedName name="vvv" localSheetId="23" hidden="1">{#N/A,#N/A,FALSE,"MO (2)"}</definedName>
    <definedName name="vvv" localSheetId="16" hidden="1">{#N/A,#N/A,FALSE,"MO (2)"}</definedName>
    <definedName name="vvv" hidden="1">{#N/A,#N/A,FALSE,"MO (2)"}</definedName>
    <definedName name="vvv_1" localSheetId="1" hidden="1">{#N/A,#N/A,FALSE,"MO (2)"}</definedName>
    <definedName name="vvv_1" localSheetId="4" hidden="1">{#N/A,#N/A,FALSE,"MO (2)"}</definedName>
    <definedName name="vvv_1" localSheetId="24" hidden="1">{#N/A,#N/A,FALSE,"MO (2)"}</definedName>
    <definedName name="vvv_1" localSheetId="25" hidden="1">{#N/A,#N/A,FALSE,"MO (2)"}</definedName>
    <definedName name="vvv_1" localSheetId="27" hidden="1">{#N/A,#N/A,FALSE,"MO (2)"}</definedName>
    <definedName name="vvv_1" localSheetId="20" hidden="1">{#N/A,#N/A,FALSE,"MO (2)"}</definedName>
    <definedName name="vvv_1" localSheetId="15" hidden="1">{#N/A,#N/A,FALSE,"MO (2)"}</definedName>
    <definedName name="vvv_1" localSheetId="12" hidden="1">{#N/A,#N/A,FALSE,"MO (2)"}</definedName>
    <definedName name="vvv_1" localSheetId="18" hidden="1">{#N/A,#N/A,FALSE,"MO (2)"}</definedName>
    <definedName name="vvv_1" localSheetId="23" hidden="1">{#N/A,#N/A,FALSE,"MO (2)"}</definedName>
    <definedName name="vvv_1" localSheetId="16" hidden="1">{#N/A,#N/A,FALSE,"MO (2)"}</definedName>
    <definedName name="vvv_1" hidden="1">{#N/A,#N/A,FALSE,"MO (2)"}</definedName>
    <definedName name="w" localSheetId="15">#REF!</definedName>
    <definedName name="w">#REF!</definedName>
    <definedName name="Waypoints" localSheetId="15">#REF!</definedName>
    <definedName name="Waypoints">#REF!</definedName>
    <definedName name="we">#REF!</definedName>
    <definedName name="WEN" localSheetId="15">#REF!</definedName>
    <definedName name="WEN">#REF!</definedName>
    <definedName name="wer">#N/A</definedName>
    <definedName name="wew">#N/A</definedName>
    <definedName name="wew_38">#N/A</definedName>
    <definedName name="wewewew" localSheetId="18" hidden="1">{#N/A,#N/A,FALSE,"MO (2)"}</definedName>
    <definedName name="wewewew" hidden="1">{#N/A,#N/A,FALSE,"MO (2)"}</definedName>
    <definedName name="WEWR">#N/A</definedName>
    <definedName name="WEWRWR">#N/A</definedName>
    <definedName name="WEWRWR_1">#N/A</definedName>
    <definedName name="WEWRWR_10">#N/A</definedName>
    <definedName name="WEWRWR_12">#N/A</definedName>
    <definedName name="WEWRWR_13">#N/A</definedName>
    <definedName name="WEWRWR_14">#N/A</definedName>
    <definedName name="WEWRWR_19">#N/A</definedName>
    <definedName name="WEWRWR_2">#N/A</definedName>
    <definedName name="WEWRWR_20" localSheetId="18">#REF!</definedName>
    <definedName name="WEWRWR_20">#REF!</definedName>
    <definedName name="WEWRWR_21">#N/A</definedName>
    <definedName name="WEWRWR_22">#N/A</definedName>
    <definedName name="WEWRWR_23">#N/A</definedName>
    <definedName name="WEWRWR_24">#N/A</definedName>
    <definedName name="WEWRWR_25">#N/A</definedName>
    <definedName name="WEWRWR_26">#N/A</definedName>
    <definedName name="WEWRWR_27">#N/A</definedName>
    <definedName name="WEWRWR_28">#N/A</definedName>
    <definedName name="WEWRWR_29">#N/A</definedName>
    <definedName name="WEWRWR_3">#N/A</definedName>
    <definedName name="WEWRWR_30">#N/A</definedName>
    <definedName name="WEWRWR_31">#N/A</definedName>
    <definedName name="WEWRWR_32">#N/A</definedName>
    <definedName name="WEWRWR_33">#N/A</definedName>
    <definedName name="WEWRWR_34">#N/A</definedName>
    <definedName name="WEWRWR_35">#N/A</definedName>
    <definedName name="WEWRWR_36">#N/A</definedName>
    <definedName name="WEWRWR_37">#N/A</definedName>
    <definedName name="WEWRWR_38">#N/A</definedName>
    <definedName name="WEWRWR_39">#N/A</definedName>
    <definedName name="WEWRWR_4">#N/A</definedName>
    <definedName name="WEWRWR_40">#N/A</definedName>
    <definedName name="WEWRWR_41">#N/A</definedName>
    <definedName name="WEWRWR_42">#N/A</definedName>
    <definedName name="WEWRWR_43">#N/A</definedName>
    <definedName name="WEWRWR_44">#N/A</definedName>
    <definedName name="WEWRWR_45">#N/A</definedName>
    <definedName name="WEWRWR_46">#N/A</definedName>
    <definedName name="WEWRWR_47">#N/A</definedName>
    <definedName name="WEWRWR_48">#N/A</definedName>
    <definedName name="WEWRWR_5">#N/A</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#N/A</definedName>
    <definedName name="WEWRWR_59">#N/A</definedName>
    <definedName name="WEWRWR_6">#N/A</definedName>
    <definedName name="WEWRWR_60">#N/A</definedName>
    <definedName name="WEWRWR_61">#N/A</definedName>
    <definedName name="WEWRWR_62">#N/A</definedName>
    <definedName name="WEWRWR_63">#N/A</definedName>
    <definedName name="WEWRWR_64">#N/A</definedName>
    <definedName name="WEWRWR_65">#N/A</definedName>
    <definedName name="WEWRWR_66">#N/A</definedName>
    <definedName name="WEWRWR_67">#N/A</definedName>
    <definedName name="WEWRWR_68">#N/A</definedName>
    <definedName name="WEWRWR_69">#N/A</definedName>
    <definedName name="WEWRWR_7">#N/A</definedName>
    <definedName name="WEWRWR_70">#N/A</definedName>
    <definedName name="WEWRWR_71">#N/A</definedName>
    <definedName name="WEWRWR_72">#N/A</definedName>
    <definedName name="WEWRWR_8">#N/A</definedName>
    <definedName name="WEWRWR_9">#N/A</definedName>
    <definedName name="wrn.ACABINT." localSheetId="18"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18"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COLETAS._.DE._.EQUIPAMENTOS." localSheetId="18" hidden="1">{#N/A,#N/A,FALSE,"EQUIPAMENTOS"}</definedName>
    <definedName name="wrn.COLETAS._.DE._.EQUIPAMENTOS." hidden="1">{#N/A,#N/A,FALSE,"EQUIPAMENTOS"}</definedName>
    <definedName name="wrn.COLETAS._.DE._.MATERIAIS." localSheetId="18" hidden="1">{#N/A,#N/A,FALSE,"SOTREQ"}</definedName>
    <definedName name="wrn.COLETAS._.DE._.MATERIAIS." hidden="1">{#N/A,#N/A,FALSE,"SOTREQ"}</definedName>
    <definedName name="wrn.COMP._.EQUIP." localSheetId="18" hidden="1">{#N/A,#N/A,FALSE,"EQUIPAMENTOS"}</definedName>
    <definedName name="wrn.COMP._.EQUIP." hidden="1">{#N/A,#N/A,FALSE,"EQUIPAMENTOS"}</definedName>
    <definedName name="wrn.COMP._.MATERIAIS." localSheetId="18" hidden="1">{#N/A,#N/A,FALSE,"MATERIAIS"}</definedName>
    <definedName name="wrn.COMP._.MATERIAIS." hidden="1">{#N/A,#N/A,FALSE,"MATERIAIS"}</definedName>
    <definedName name="wrn.FACHADA." localSheetId="18" hidden="1">{#N/A,#N/A,TRUE,"TER  EXT";#N/A,#N/A,TRUE,"TER  EXT";#N/A,#N/A,TRUE,"LAT  ESQ";#N/A,#N/A,TRUE,"FRONTAL";#N/A,#N/A,TRUE,"POST";#N/A,#N/A,TRUE,"LAT  DIR"}</definedName>
    <definedName name="wrn.FACHADA." hidden="1">{#N/A,#N/A,TRUE,"TER  EXT";#N/A,#N/A,TRUE,"TER  EXT";#N/A,#N/A,TRUE,"LAT  ESQ";#N/A,#N/A,TRUE,"FRONTAL";#N/A,#N/A,TRUE,"POST";#N/A,#N/A,TRUE,"LAT  DIR"}</definedName>
    <definedName name="wrn.GERAL." localSheetId="18" hidden="1">{#N/A,#N/A,FALSE,"ET-CAPA";#N/A,#N/A,FALSE,"ET-PAG1";#N/A,#N/A,FALSE,"ET-PAG2";#N/A,#N/A,FALSE,"ET-PAG3";#N/A,#N/A,FALSE,"ET-PAG4";#N/A,#N/A,FALSE,"ET-PAG5"}</definedName>
    <definedName name="wrn.GERAL." hidden="1">{#N/A,#N/A,FALSE,"ET-CAPA";#N/A,#N/A,FALSE,"ET-PAG1";#N/A,#N/A,FALSE,"ET-PAG2";#N/A,#N/A,FALSE,"ET-PAG3";#N/A,#N/A,FALSE,"ET-PAG4";#N/A,#N/A,FALSE,"ET-PAG5"}</definedName>
    <definedName name="wrn.LEVFER." localSheetId="18" hidden="1">{#N/A,#N/A,FALSE,"LEVFER V2 P";#N/A,#N/A,FALSE,"LEVFER V2 P10%"}</definedName>
    <definedName name="wrn.LEVFER." hidden="1">{#N/A,#N/A,FALSE,"LEVFER V2 P";#N/A,#N/A,FALSE,"LEVFER V2 P10%"}</definedName>
    <definedName name="wrn.mo2." localSheetId="1" hidden="1">{#N/A,#N/A,FALSE,"MO (2)"}</definedName>
    <definedName name="wrn.mo2." localSheetId="4" hidden="1">{#N/A,#N/A,FALSE,"MO (2)"}</definedName>
    <definedName name="wrn.mo2." localSheetId="24" hidden="1">{#N/A,#N/A,FALSE,"MO (2)"}</definedName>
    <definedName name="wrn.mo2." localSheetId="25" hidden="1">{#N/A,#N/A,FALSE,"MO (2)"}</definedName>
    <definedName name="wrn.mo2." localSheetId="27" hidden="1">{#N/A,#N/A,FALSE,"MO (2)"}</definedName>
    <definedName name="wrn.mo2." localSheetId="20" hidden="1">{#N/A,#N/A,FALSE,"MO (2)"}</definedName>
    <definedName name="wrn.mo2." localSheetId="15" hidden="1">{#N/A,#N/A,FALSE,"MO (2)"}</definedName>
    <definedName name="wrn.mo2." localSheetId="12" hidden="1">{#N/A,#N/A,FALSE,"MO (2)"}</definedName>
    <definedName name="wrn.mo2." localSheetId="18" hidden="1">{#N/A,#N/A,FALSE,"MO (2)"}</definedName>
    <definedName name="wrn.mo2." localSheetId="23" hidden="1">{#N/A,#N/A,FALSE,"MO (2)"}</definedName>
    <definedName name="wrn.mo2." localSheetId="16" hidden="1">{#N/A,#N/A,FALSE,"MO (2)"}</definedName>
    <definedName name="wrn.mo2." hidden="1">{#N/A,#N/A,FALSE,"MO (2)"}</definedName>
    <definedName name="wrn.mo2._1" localSheetId="1" hidden="1">{#N/A,#N/A,FALSE,"MO (2)"}</definedName>
    <definedName name="wrn.mo2._1" localSheetId="4" hidden="1">{#N/A,#N/A,FALSE,"MO (2)"}</definedName>
    <definedName name="wrn.mo2._1" localSheetId="24" hidden="1">{#N/A,#N/A,FALSE,"MO (2)"}</definedName>
    <definedName name="wrn.mo2._1" localSheetId="25" hidden="1">{#N/A,#N/A,FALSE,"MO (2)"}</definedName>
    <definedName name="wrn.mo2._1" localSheetId="27" hidden="1">{#N/A,#N/A,FALSE,"MO (2)"}</definedName>
    <definedName name="wrn.mo2._1" localSheetId="20" hidden="1">{#N/A,#N/A,FALSE,"MO (2)"}</definedName>
    <definedName name="wrn.mo2._1" localSheetId="15" hidden="1">{#N/A,#N/A,FALSE,"MO (2)"}</definedName>
    <definedName name="wrn.mo2._1" localSheetId="12" hidden="1">{#N/A,#N/A,FALSE,"MO (2)"}</definedName>
    <definedName name="wrn.mo2._1" localSheetId="18" hidden="1">{#N/A,#N/A,FALSE,"MO (2)"}</definedName>
    <definedName name="wrn.mo2._1" localSheetId="23" hidden="1">{#N/A,#N/A,FALSE,"MO (2)"}</definedName>
    <definedName name="wrn.mo2._1" localSheetId="16" hidden="1">{#N/A,#N/A,FALSE,"MO (2)"}</definedName>
    <definedName name="wrn.mo2._1" hidden="1">{#N/A,#N/A,FALSE,"MO (2)"}</definedName>
    <definedName name="wrn.Orçamento." localSheetId="1" hidden="1">{#N/A,#N/A,FALSE,"Planilha";#N/A,#N/A,FALSE,"Resumo";#N/A,#N/A,FALSE,"Fisico";#N/A,#N/A,FALSE,"Financeiro";#N/A,#N/A,FALSE,"Financeiro"}</definedName>
    <definedName name="wrn.Orçamento." localSheetId="4" hidden="1">{#N/A,#N/A,FALSE,"Planilha";#N/A,#N/A,FALSE,"Resumo";#N/A,#N/A,FALSE,"Fisico";#N/A,#N/A,FALSE,"Financeiro";#N/A,#N/A,FALSE,"Financeiro"}</definedName>
    <definedName name="wrn.Orçamento." localSheetId="24" hidden="1">{#N/A,#N/A,FALSE,"Planilha";#N/A,#N/A,FALSE,"Resumo";#N/A,#N/A,FALSE,"Fisico";#N/A,#N/A,FALSE,"Financeiro";#N/A,#N/A,FALSE,"Financeiro"}</definedName>
    <definedName name="wrn.Orçamento." localSheetId="25" hidden="1">{#N/A,#N/A,FALSE,"Planilha";#N/A,#N/A,FALSE,"Resumo";#N/A,#N/A,FALSE,"Fisico";#N/A,#N/A,FALSE,"Financeiro";#N/A,#N/A,FALSE,"Financeiro"}</definedName>
    <definedName name="wrn.Orçamento." localSheetId="27" hidden="1">{#N/A,#N/A,FALSE,"Planilha";#N/A,#N/A,FALSE,"Resumo";#N/A,#N/A,FALSE,"Fisico";#N/A,#N/A,FALSE,"Financeiro";#N/A,#N/A,FALSE,"Financeiro"}</definedName>
    <definedName name="wrn.Orçamento." localSheetId="20" hidden="1">{#N/A,#N/A,FALSE,"Planilha";#N/A,#N/A,FALSE,"Resumo";#N/A,#N/A,FALSE,"Fisico";#N/A,#N/A,FALSE,"Financeiro";#N/A,#N/A,FALSE,"Financeiro"}</definedName>
    <definedName name="wrn.Orçamento." localSheetId="15" hidden="1">{#N/A,#N/A,FALSE,"Planilha";#N/A,#N/A,FALSE,"Resumo";#N/A,#N/A,FALSE,"Fisico";#N/A,#N/A,FALSE,"Financeiro";#N/A,#N/A,FALSE,"Financeiro"}</definedName>
    <definedName name="wrn.Orçamento." localSheetId="18" hidden="1">{#N/A,#N/A,FALSE,"Planilha";#N/A,#N/A,FALSE,"Resumo";#N/A,#N/A,FALSE,"Fisico";#N/A,#N/A,FALSE,"Financeiro";#N/A,#N/A,FALSE,"Financeiro"}</definedName>
    <definedName name="wrn.Orçamento." localSheetId="23" hidden="1">{#N/A,#N/A,FALSE,"Planilha";#N/A,#N/A,FALSE,"Resumo";#N/A,#N/A,FALSE,"Fisico";#N/A,#N/A,FALSE,"Financeiro";#N/A,#N/A,FALSE,"Financeiro"}</definedName>
    <definedName name="wrn.Orçamento." localSheetId="16"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18"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PLANILHAS." localSheetId="18" hidden="1">{#N/A,#N/A,FALSE,"PL. LT 01 - TO134";#N/A,#N/A,FALSE,"PL. LT 02 - TO255";#N/A,#N/A,FALSE,"PL. LT 03 - TO255";#N/A,#N/A,FALSE,"PL. LT 04 - TO374";#N/A,#N/A,FALSE,"PL. LT 05 - TO050";#N/A,#N/A,FALSE,"PL. LT 06 - TO050";#N/A,#N/A,FALSE,"PL. LT 07 - TO280";#N/A,#N/A,FALSE,"PL. LT 08 - TO280";#N/A,#N/A,FALSE,"PL. LT 09 - TO280";#N/A,#N/A,FALSE,"PL. LT 10 - TO373";#N/A,#N/A,FALSE,"PL. LT 11 - TO373";#N/A,#N/A,FALSE,"PL LT 12 - TO373";#N/A,#N/A,FALSE,"PL LT 13 - TO050";#N/A,#N/A,FALSE,"PL LT 14 - TO050";#N/A,#N/A,FALSE,"PL LT 15 - TO050";#N/A,#N/A,FALSE,"PL LT 16 - TO255"}</definedName>
    <definedName name="wrn.PLANILHAS." hidden="1">{#N/A,#N/A,FALSE,"PL. LT 01 - TO134";#N/A,#N/A,FALSE,"PL. LT 02 - TO255";#N/A,#N/A,FALSE,"PL. LT 03 - TO255";#N/A,#N/A,FALSE,"PL. LT 04 - TO374";#N/A,#N/A,FALSE,"PL. LT 05 - TO050";#N/A,#N/A,FALSE,"PL. LT 06 - TO050";#N/A,#N/A,FALSE,"PL. LT 07 - TO280";#N/A,#N/A,FALSE,"PL. LT 08 - TO280";#N/A,#N/A,FALSE,"PL. LT 09 - TO280";#N/A,#N/A,FALSE,"PL. LT 10 - TO373";#N/A,#N/A,FALSE,"PL. LT 11 - TO373";#N/A,#N/A,FALSE,"PL LT 12 - TO373";#N/A,#N/A,FALSE,"PL LT 13 - TO050";#N/A,#N/A,FALSE,"PL LT 14 - TO050";#N/A,#N/A,FALSE,"PL LT 15 - TO050";#N/A,#N/A,FALSE,"PL LT 16 - TO255"}</definedName>
    <definedName name="wrn.PNEUS." localSheetId="18" hidden="1">{#N/A,#N/A,FALSE,"EQUIPAMENTOS"}</definedName>
    <definedName name="wrn.PNEUS." hidden="1">{#N/A,#N/A,FALSE,"EQUIPAMENTOS"}</definedName>
    <definedName name="wrn.relext." localSheetId="1" hidden="1">{#N/A,#N/A,TRUE,"Plan1"}</definedName>
    <definedName name="wrn.relext." localSheetId="4" hidden="1">{#N/A,#N/A,TRUE,"Plan1"}</definedName>
    <definedName name="wrn.relext." localSheetId="24" hidden="1">{#N/A,#N/A,TRUE,"Plan1"}</definedName>
    <definedName name="wrn.relext." localSheetId="25" hidden="1">{#N/A,#N/A,TRUE,"Plan1"}</definedName>
    <definedName name="wrn.relext." localSheetId="27" hidden="1">{#N/A,#N/A,TRUE,"Plan1"}</definedName>
    <definedName name="wrn.relext." localSheetId="20" hidden="1">{#N/A,#N/A,TRUE,"Plan1"}</definedName>
    <definedName name="wrn.relext." localSheetId="15" hidden="1">{#N/A,#N/A,TRUE,"Plan1"}</definedName>
    <definedName name="wrn.relext." localSheetId="12" hidden="1">{#N/A,#N/A,TRUE,"Plan1"}</definedName>
    <definedName name="wrn.relext." localSheetId="18" hidden="1">{#N/A,#N/A,TRUE,"Plan1"}</definedName>
    <definedName name="wrn.relext." localSheetId="23" hidden="1">{#N/A,#N/A,TRUE,"Plan1"}</definedName>
    <definedName name="wrn.relext." localSheetId="16" hidden="1">{#N/A,#N/A,TRUE,"Plan1"}</definedName>
    <definedName name="wrn.relext." hidden="1">{#N/A,#N/A,TRUE,"Plan1"}</definedName>
    <definedName name="wrn.relext._1" localSheetId="1" hidden="1">{#N/A,#N/A,TRUE,"Plan1"}</definedName>
    <definedName name="wrn.relext._1" localSheetId="4" hidden="1">{#N/A,#N/A,TRUE,"Plan1"}</definedName>
    <definedName name="wrn.relext._1" localSheetId="24" hidden="1">{#N/A,#N/A,TRUE,"Plan1"}</definedName>
    <definedName name="wrn.relext._1" localSheetId="25" hidden="1">{#N/A,#N/A,TRUE,"Plan1"}</definedName>
    <definedName name="wrn.relext._1" localSheetId="27" hidden="1">{#N/A,#N/A,TRUE,"Plan1"}</definedName>
    <definedName name="wrn.relext._1" localSheetId="20" hidden="1">{#N/A,#N/A,TRUE,"Plan1"}</definedName>
    <definedName name="wrn.relext._1" localSheetId="15" hidden="1">{#N/A,#N/A,TRUE,"Plan1"}</definedName>
    <definedName name="wrn.relext._1" localSheetId="12" hidden="1">{#N/A,#N/A,TRUE,"Plan1"}</definedName>
    <definedName name="wrn.relext._1" localSheetId="18" hidden="1">{#N/A,#N/A,TRUE,"Plan1"}</definedName>
    <definedName name="wrn.relext._1" localSheetId="23" hidden="1">{#N/A,#N/A,TRUE,"Plan1"}</definedName>
    <definedName name="wrn.relext._1" localSheetId="16" hidden="1">{#N/A,#N/A,TRUE,"Plan1"}</definedName>
    <definedName name="wrn.relext._1" hidden="1">{#N/A,#N/A,TRUE,"Plan1"}</definedName>
    <definedName name="wrn.SBBE." localSheetId="18" hidden="1">{#N/A,#N/A,FALSE,"Plan1"}</definedName>
    <definedName name="wrn.SBBE." hidden="1">{#N/A,#N/A,FALSE,"Plan1"}</definedName>
    <definedName name="wrn.SERV._.PAVTO." localSheetId="18"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Tipo." localSheetId="1" hidden="1">{#N/A,#N/A,TRUE,"Serviços"}</definedName>
    <definedName name="wrn.Tipo." localSheetId="4" hidden="1">{#N/A,#N/A,TRUE,"Serviços"}</definedName>
    <definedName name="wrn.Tipo." localSheetId="24" hidden="1">{#N/A,#N/A,TRUE,"Serviços"}</definedName>
    <definedName name="wrn.Tipo." localSheetId="25" hidden="1">{#N/A,#N/A,TRUE,"Serviços"}</definedName>
    <definedName name="wrn.Tipo." localSheetId="27" hidden="1">{#N/A,#N/A,TRUE,"Serviços"}</definedName>
    <definedName name="wrn.Tipo." localSheetId="20" hidden="1">{#N/A,#N/A,TRUE,"Serviços"}</definedName>
    <definedName name="wrn.Tipo." localSheetId="15" hidden="1">{#N/A,#N/A,TRUE,"Serviços"}</definedName>
    <definedName name="wrn.Tipo." localSheetId="18" hidden="1">{#N/A,#N/A,TRUE,"Serviços"}</definedName>
    <definedName name="wrn.Tipo." hidden="1">{#N/A,#N/A,TRUE,"Serviços"}</definedName>
    <definedName name="wrn.Tipo.." localSheetId="18" hidden="1">{#N/A,#N/A,TRUE,"Serviços"}</definedName>
    <definedName name="wrn.Tipo.." hidden="1">{#N/A,#N/A,TRUE,"Serviços"}</definedName>
    <definedName name="ww">"'file:///Y:/ENGENHARIA/Deise Aoki/PATOS - OK/PATOS 05-09-2007-ok/Laptop - Arquivos/DNIT/PATOs/Rondonópolis/PATO_BR-364_km_000_ao_km_11290_LICITAÇÃO MAIO DE 2007.xls'#$reg_mec_fx_dm_.$#REF!$#REF!:$#REF!$#REF!"</definedName>
    <definedName name="ww_27" localSheetId="15">#REF!</definedName>
    <definedName name="ww_27">#REF!</definedName>
    <definedName name="ww_28" localSheetId="15">#REF!</definedName>
    <definedName name="ww_28">#REF!</definedName>
    <definedName name="ww_29" localSheetId="15">#REF!</definedName>
    <definedName name="ww_29">#REF!</definedName>
    <definedName name="wwwww" localSheetId="18" hidden="1">{#N/A,#N/A,FALSE,"MO (2)"}</definedName>
    <definedName name="wwwww" hidden="1">{#N/A,#N/A,FALSE,"MO (2)"}</definedName>
    <definedName name="wwwwww" localSheetId="18" hidden="1">{#N/A,#N/A,FALSE,"MO (2)"}</definedName>
    <definedName name="wwwwww" hidden="1">{#N/A,#N/A,FALSE,"MO (2)"}</definedName>
    <definedName name="x" localSheetId="15">#REF!</definedName>
    <definedName name="x">#REF!</definedName>
    <definedName name="x_10" localSheetId="15">#REF!</definedName>
    <definedName name="x_10">#REF!</definedName>
    <definedName name="x_25" localSheetId="15">#REF!</definedName>
    <definedName name="x_25">#REF!</definedName>
    <definedName name="x_27" localSheetId="15">#REF!</definedName>
    <definedName name="x_27">#REF!</definedName>
    <definedName name="x_29" localSheetId="15">#REF!</definedName>
    <definedName name="x_29">#REF!</definedName>
    <definedName name="x_31" localSheetId="15">#REF!</definedName>
    <definedName name="x_31">#REF!</definedName>
    <definedName name="x_9" localSheetId="15">#REF!</definedName>
    <definedName name="x_9">#REF!</definedName>
    <definedName name="xx">#N/A</definedName>
    <definedName name="XX_2">NA()</definedName>
    <definedName name="xx_38">#N/A</definedName>
    <definedName name="XXX">#N/A</definedName>
    <definedName name="XXX_1">#N/A</definedName>
    <definedName name="XXX_10">#N/A</definedName>
    <definedName name="XXX_12">#N/A</definedName>
    <definedName name="XXX_13">#N/A</definedName>
    <definedName name="XXX_14">#N/A</definedName>
    <definedName name="XXX_19">#N/A</definedName>
    <definedName name="XXX_2">#N/A</definedName>
    <definedName name="XXX_20" localSheetId="18">#REF!</definedName>
    <definedName name="XXX_20">#REF!</definedName>
    <definedName name="XXX_21">#N/A</definedName>
    <definedName name="XXX_22">#N/A</definedName>
    <definedName name="XXX_23">#N/A</definedName>
    <definedName name="XXX_24">#N/A</definedName>
    <definedName name="XXX_25">#N/A</definedName>
    <definedName name="XXX_26">#N/A</definedName>
    <definedName name="XXX_27">#N/A</definedName>
    <definedName name="XXX_28">#N/A</definedName>
    <definedName name="XXX_29">#N/A</definedName>
    <definedName name="XXX_3">#N/A</definedName>
    <definedName name="XXX_30">#N/A</definedName>
    <definedName name="XXX_31">#N/A</definedName>
    <definedName name="XXX_32">#N/A</definedName>
    <definedName name="XXX_33">#N/A</definedName>
    <definedName name="XXX_34">#N/A</definedName>
    <definedName name="XXX_35">#N/A</definedName>
    <definedName name="XXX_36">#N/A</definedName>
    <definedName name="XXX_37">#N/A</definedName>
    <definedName name="XXX_38">#N/A</definedName>
    <definedName name="XXX_39">#N/A</definedName>
    <definedName name="XXX_4">#N/A</definedName>
    <definedName name="XXX_40">#N/A</definedName>
    <definedName name="XXX_41">#N/A</definedName>
    <definedName name="XXX_42">#N/A</definedName>
    <definedName name="XXX_43">#N/A</definedName>
    <definedName name="XXX_44">#N/A</definedName>
    <definedName name="XXX_45">#N/A</definedName>
    <definedName name="XXX_46">#N/A</definedName>
    <definedName name="XXX_47">#N/A</definedName>
    <definedName name="XXX_48">#N/A</definedName>
    <definedName name="XXX_5">#N/A</definedName>
    <definedName name="XXX_51">#N/A</definedName>
    <definedName name="XXX_52">#N/A</definedName>
    <definedName name="XXX_53">#N/A</definedName>
    <definedName name="XXX_54">#N/A</definedName>
    <definedName name="XXX_55">#N/A</definedName>
    <definedName name="XXX_56">#N/A</definedName>
    <definedName name="XXX_57">#N/A</definedName>
    <definedName name="XXX_58">#N/A</definedName>
    <definedName name="XXX_59">#N/A</definedName>
    <definedName name="XXX_6">#N/A</definedName>
    <definedName name="XXX_60">#N/A</definedName>
    <definedName name="XXX_61">#N/A</definedName>
    <definedName name="XXX_62">#N/A</definedName>
    <definedName name="XXX_63">#N/A</definedName>
    <definedName name="XXX_64">#N/A</definedName>
    <definedName name="XXX_65">#N/A</definedName>
    <definedName name="XXX_66">#N/A</definedName>
    <definedName name="XXX_67">#N/A</definedName>
    <definedName name="XXX_68">#N/A</definedName>
    <definedName name="XXX_69">#N/A</definedName>
    <definedName name="XXX_7">#N/A</definedName>
    <definedName name="XXX_70">#N/A</definedName>
    <definedName name="XXX_71">#N/A</definedName>
    <definedName name="XXX_72">#N/A</definedName>
    <definedName name="XXX_8">#N/A</definedName>
    <definedName name="XXX_9">#N/A</definedName>
    <definedName name="xxxaa" localSheetId="18" hidden="1">{#N/A,#N/A,FALSE,"MO (2)"}</definedName>
    <definedName name="xxxaa" hidden="1">{#N/A,#N/A,FALSE,"MO (2)"}</definedName>
    <definedName name="xxxxx" localSheetId="18" hidden="1">{#N/A,#N/A,FALSE,"MO (2)"}</definedName>
    <definedName name="xxxxx" hidden="1">{#N/A,#N/A,FALSE,"MO (2)"}</definedName>
    <definedName name="XXXXXX" localSheetId="15">[0]!a022e</definedName>
    <definedName name="XXXXXX" localSheetId="18">[0]!a022e</definedName>
    <definedName name="XXXXXX">[0]!a022e</definedName>
    <definedName name="xxxxxxxx" localSheetId="15">#REF!</definedName>
    <definedName name="xxxxxxxx">#REF!</definedName>
    <definedName name="Y" localSheetId="1" hidden="1">{#N/A,#N/A,FALSE,"MO (2)"}</definedName>
    <definedName name="Y" localSheetId="4" hidden="1">{#N/A,#N/A,FALSE,"MO (2)"}</definedName>
    <definedName name="Y" localSheetId="15" hidden="1">{#N/A,#N/A,FALSE,"MO (2)"}</definedName>
    <definedName name="Y" localSheetId="18" hidden="1">{#N/A,#N/A,FALSE,"MO (2)"}</definedName>
    <definedName name="Y" localSheetId="23" hidden="1">{#N/A,#N/A,FALSE,"MO (2)"}</definedName>
    <definedName name="Y" hidden="1">{#N/A,#N/A,FALSE,"MO (2)"}</definedName>
    <definedName name="YUI" localSheetId="15">#REF!</definedName>
    <definedName name="YUI">#REF!</definedName>
    <definedName name="yy" localSheetId="18" hidden="1">{#N/A,#N/A,TRUE,"Serviços"}</definedName>
    <definedName name="yy" hidden="1">{#N/A,#N/A,TRUE,"Serviços"}</definedName>
    <definedName name="z" localSheetId="1" hidden="1">{#N/A,#N/A,FALSE,"MO (2)"}</definedName>
    <definedName name="z" localSheetId="4" hidden="1">{#N/A,#N/A,FALSE,"MO (2)"}</definedName>
    <definedName name="z" localSheetId="24" hidden="1">{#N/A,#N/A,FALSE,"MO (2)"}</definedName>
    <definedName name="z" localSheetId="25" hidden="1">{#N/A,#N/A,FALSE,"MO (2)"}</definedName>
    <definedName name="z" localSheetId="27" hidden="1">{#N/A,#N/A,FALSE,"MO (2)"}</definedName>
    <definedName name="z" localSheetId="20" hidden="1">{#N/A,#N/A,FALSE,"MO (2)"}</definedName>
    <definedName name="z" localSheetId="15" hidden="1">{#N/A,#N/A,FALSE,"MO (2)"}</definedName>
    <definedName name="z" localSheetId="12" hidden="1">{#N/A,#N/A,FALSE,"MO (2)"}</definedName>
    <definedName name="z" localSheetId="18" hidden="1">{#N/A,#N/A,FALSE,"MO (2)"}</definedName>
    <definedName name="z" localSheetId="23" hidden="1">{#N/A,#N/A,FALSE,"MO (2)"}</definedName>
    <definedName name="z" localSheetId="16" hidden="1">{#N/A,#N/A,FALSE,"MO (2)"}</definedName>
    <definedName name="z" hidden="1">{#N/A,#N/A,FALSE,"MO (2)"}</definedName>
    <definedName name="z_1" localSheetId="1" hidden="1">{#N/A,#N/A,FALSE,"MO (2)"}</definedName>
    <definedName name="z_1" localSheetId="4" hidden="1">{#N/A,#N/A,FALSE,"MO (2)"}</definedName>
    <definedName name="z_1" localSheetId="24" hidden="1">{#N/A,#N/A,FALSE,"MO (2)"}</definedName>
    <definedName name="z_1" localSheetId="25" hidden="1">{#N/A,#N/A,FALSE,"MO (2)"}</definedName>
    <definedName name="z_1" localSheetId="27" hidden="1">{#N/A,#N/A,FALSE,"MO (2)"}</definedName>
    <definedName name="z_1" localSheetId="20" hidden="1">{#N/A,#N/A,FALSE,"MO (2)"}</definedName>
    <definedName name="z_1" localSheetId="15" hidden="1">{#N/A,#N/A,FALSE,"MO (2)"}</definedName>
    <definedName name="z_1" localSheetId="12" hidden="1">{#N/A,#N/A,FALSE,"MO (2)"}</definedName>
    <definedName name="z_1" localSheetId="18" hidden="1">{#N/A,#N/A,FALSE,"MO (2)"}</definedName>
    <definedName name="z_1" localSheetId="23" hidden="1">{#N/A,#N/A,FALSE,"MO (2)"}</definedName>
    <definedName name="z_1" localSheetId="16" hidden="1">{#N/A,#N/A,FALSE,"MO (2)"}</definedName>
    <definedName name="z_1" hidden="1">{#N/A,#N/A,FALSE,"MO (2)"}</definedName>
    <definedName name="Z_2442EB8A_F4CE_4110_BEA9_9FADEB005031_.wvu.PrintArea" localSheetId="4" hidden="1">'CPAV004 4016096'!$A$3:$M$34</definedName>
    <definedName name="zaza" localSheetId="1" hidden="1">{#N/A,#N/A,FALSE,"MO (2)"}</definedName>
    <definedName name="zaza" localSheetId="4" hidden="1">{#N/A,#N/A,FALSE,"MO (2)"}</definedName>
    <definedName name="zaza" localSheetId="24" hidden="1">{#N/A,#N/A,FALSE,"MO (2)"}</definedName>
    <definedName name="zaza" localSheetId="25" hidden="1">{#N/A,#N/A,FALSE,"MO (2)"}</definedName>
    <definedName name="zaza" localSheetId="27" hidden="1">{#N/A,#N/A,FALSE,"MO (2)"}</definedName>
    <definedName name="zaza" localSheetId="20" hidden="1">{#N/A,#N/A,FALSE,"MO (2)"}</definedName>
    <definedName name="zaza" localSheetId="15" hidden="1">{#N/A,#N/A,FALSE,"MO (2)"}</definedName>
    <definedName name="zaza" localSheetId="12" hidden="1">{#N/A,#N/A,FALSE,"MO (2)"}</definedName>
    <definedName name="zaza" localSheetId="18" hidden="1">{#N/A,#N/A,FALSE,"MO (2)"}</definedName>
    <definedName name="zaza" localSheetId="23" hidden="1">{#N/A,#N/A,FALSE,"MO (2)"}</definedName>
    <definedName name="zaza" localSheetId="16" hidden="1">{#N/A,#N/A,FALSE,"MO (2)"}</definedName>
    <definedName name="zaza" hidden="1">{#N/A,#N/A,FALSE,"MO (2)"}</definedName>
    <definedName name="zaza_1" localSheetId="1" hidden="1">{#N/A,#N/A,FALSE,"MO (2)"}</definedName>
    <definedName name="zaza_1" localSheetId="4" hidden="1">{#N/A,#N/A,FALSE,"MO (2)"}</definedName>
    <definedName name="zaza_1" localSheetId="24" hidden="1">{#N/A,#N/A,FALSE,"MO (2)"}</definedName>
    <definedName name="zaza_1" localSheetId="25" hidden="1">{#N/A,#N/A,FALSE,"MO (2)"}</definedName>
    <definedName name="zaza_1" localSheetId="27" hidden="1">{#N/A,#N/A,FALSE,"MO (2)"}</definedName>
    <definedName name="zaza_1" localSheetId="20" hidden="1">{#N/A,#N/A,FALSE,"MO (2)"}</definedName>
    <definedName name="zaza_1" localSheetId="15" hidden="1">{#N/A,#N/A,FALSE,"MO (2)"}</definedName>
    <definedName name="zaza_1" localSheetId="12" hidden="1">{#N/A,#N/A,FALSE,"MO (2)"}</definedName>
    <definedName name="zaza_1" localSheetId="18" hidden="1">{#N/A,#N/A,FALSE,"MO (2)"}</definedName>
    <definedName name="zaza_1" localSheetId="23" hidden="1">{#N/A,#N/A,FALSE,"MO (2)"}</definedName>
    <definedName name="zaza_1" localSheetId="16" hidden="1">{#N/A,#N/A,FALSE,"MO (2)"}</definedName>
    <definedName name="zaza_1" hidden="1">{#N/A,#N/A,FALSE,"MO (2)"}</definedName>
    <definedName name="zenil" localSheetId="15">#REF!</definedName>
    <definedName name="zenil">#REF!</definedName>
    <definedName name="ZONASUL">#REF!</definedName>
    <definedName name="zxz" localSheetId="18" hidden="1">{#N/A,#N/A,FALSE,"MO (2)"}</definedName>
    <definedName name="zxz" hidden="1">{#N/A,#N/A,FALSE,"MO (2)"}</definedName>
    <definedName name="zz">#REF!</definedName>
    <definedName name="ZZZZZ">#N/A</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96" i="13" l="1"/>
  <c r="P96" i="13" s="1"/>
  <c r="O97" i="13"/>
  <c r="P97" i="13"/>
  <c r="O98" i="13"/>
  <c r="P98" i="13"/>
  <c r="L51" i="29" l="1"/>
  <c r="H45" i="29"/>
  <c r="J45" i="29" s="1"/>
  <c r="H44" i="29"/>
  <c r="J44" i="29" s="1"/>
  <c r="I26" i="29" s="1"/>
  <c r="J43" i="29"/>
  <c r="H43" i="29"/>
  <c r="J42" i="29"/>
  <c r="I8" i="29" s="1"/>
  <c r="H42" i="29"/>
  <c r="H41" i="29"/>
  <c r="J41" i="29" s="1"/>
  <c r="H40" i="29"/>
  <c r="J40" i="29" s="1"/>
  <c r="H39" i="29"/>
  <c r="J39" i="29" s="1"/>
  <c r="H38" i="29"/>
  <c r="J38" i="29" s="1"/>
  <c r="L27" i="29"/>
  <c r="I27" i="29"/>
  <c r="L26" i="29"/>
  <c r="L25" i="29"/>
  <c r="L24" i="29"/>
  <c r="L23" i="29"/>
  <c r="L22" i="29"/>
  <c r="G22" i="29"/>
  <c r="I18" i="29"/>
  <c r="I16" i="29"/>
  <c r="L11" i="29"/>
  <c r="L10" i="29"/>
  <c r="L9" i="29"/>
  <c r="I9" i="29"/>
  <c r="L8" i="29"/>
  <c r="L7" i="29"/>
  <c r="L6" i="29"/>
  <c r="G6" i="29"/>
  <c r="G14" i="29" s="1"/>
  <c r="G34" i="27"/>
  <c r="E34" i="27"/>
  <c r="G24" i="27"/>
  <c r="E24" i="27"/>
  <c r="G23" i="27"/>
  <c r="E23" i="27"/>
  <c r="G22" i="27"/>
  <c r="E22" i="27"/>
  <c r="G21" i="27"/>
  <c r="E21" i="27"/>
  <c r="G20" i="27"/>
  <c r="E20" i="27"/>
  <c r="G19" i="27"/>
  <c r="E19" i="27"/>
  <c r="E18" i="27"/>
  <c r="E17" i="27"/>
  <c r="E16" i="27"/>
  <c r="E15" i="27"/>
  <c r="E14" i="27"/>
  <c r="G13" i="27"/>
  <c r="E13" i="27"/>
  <c r="G12" i="27"/>
  <c r="E12" i="27"/>
  <c r="E11" i="27"/>
  <c r="G10" i="27"/>
  <c r="E10" i="27"/>
  <c r="E9" i="27"/>
  <c r="G8" i="27"/>
  <c r="E8" i="27"/>
  <c r="E7" i="27"/>
  <c r="E6" i="27"/>
  <c r="G5" i="27"/>
  <c r="E5" i="27"/>
  <c r="R60" i="26"/>
  <c r="H61" i="25" s="1"/>
  <c r="R59" i="26"/>
  <c r="R58" i="26"/>
  <c r="R57" i="26"/>
  <c r="R56" i="26"/>
  <c r="R55" i="26"/>
  <c r="H56" i="25" s="1"/>
  <c r="R54" i="26"/>
  <c r="R53" i="26"/>
  <c r="R52" i="26"/>
  <c r="R51" i="26"/>
  <c r="H52" i="25" s="1"/>
  <c r="R50" i="26"/>
  <c r="R49" i="26"/>
  <c r="R48" i="26"/>
  <c r="R47" i="26"/>
  <c r="R46" i="26"/>
  <c r="R45" i="26"/>
  <c r="H46" i="25" s="1"/>
  <c r="R44" i="26"/>
  <c r="R43" i="26"/>
  <c r="R42" i="26"/>
  <c r="R41" i="26"/>
  <c r="R40" i="26"/>
  <c r="R39" i="26"/>
  <c r="R38" i="26"/>
  <c r="R37" i="26"/>
  <c r="R36" i="26"/>
  <c r="R35" i="26"/>
  <c r="R34" i="26"/>
  <c r="R33" i="26"/>
  <c r="R32" i="26"/>
  <c r="R31" i="26"/>
  <c r="H32" i="25" s="1"/>
  <c r="R30" i="26"/>
  <c r="R29" i="26"/>
  <c r="R28" i="26"/>
  <c r="R27" i="26"/>
  <c r="R26" i="26"/>
  <c r="R25" i="26"/>
  <c r="R24" i="26"/>
  <c r="H25" i="25" s="1"/>
  <c r="R23" i="26"/>
  <c r="R22" i="26"/>
  <c r="R21" i="26"/>
  <c r="R20" i="26"/>
  <c r="R19" i="26"/>
  <c r="R18" i="26"/>
  <c r="H19" i="25" s="1"/>
  <c r="R17" i="26"/>
  <c r="R16" i="26"/>
  <c r="R15" i="26"/>
  <c r="H16" i="25" s="1"/>
  <c r="R14" i="26"/>
  <c r="R13" i="26"/>
  <c r="H14" i="25" s="1"/>
  <c r="R12" i="26"/>
  <c r="R11" i="26"/>
  <c r="R10" i="26"/>
  <c r="R9" i="26"/>
  <c r="R8" i="26"/>
  <c r="R7" i="26"/>
  <c r="R6" i="26"/>
  <c r="R5" i="26"/>
  <c r="R4" i="26"/>
  <c r="H5" i="25" s="1"/>
  <c r="D165" i="25"/>
  <c r="D164" i="25"/>
  <c r="D163" i="25"/>
  <c r="D162" i="25"/>
  <c r="D161" i="25"/>
  <c r="D160" i="25"/>
  <c r="K159" i="25"/>
  <c r="D159" i="25"/>
  <c r="F159" i="25" s="1"/>
  <c r="H152" i="25"/>
  <c r="H151" i="25"/>
  <c r="H150" i="25"/>
  <c r="H149" i="25"/>
  <c r="H148" i="25"/>
  <c r="H147" i="25"/>
  <c r="H146" i="25"/>
  <c r="H145" i="25"/>
  <c r="H144" i="25"/>
  <c r="H143" i="25"/>
  <c r="H142" i="25"/>
  <c r="H141" i="25"/>
  <c r="H140" i="25"/>
  <c r="H139" i="25"/>
  <c r="H138" i="25"/>
  <c r="H137" i="25"/>
  <c r="H136" i="25"/>
  <c r="H135" i="25"/>
  <c r="H134" i="25"/>
  <c r="H133" i="25"/>
  <c r="H132" i="25"/>
  <c r="H131" i="25"/>
  <c r="H130" i="25"/>
  <c r="H129" i="25"/>
  <c r="H128" i="25"/>
  <c r="H127" i="25"/>
  <c r="H126" i="25"/>
  <c r="H125" i="25"/>
  <c r="H124" i="25"/>
  <c r="H123" i="25"/>
  <c r="H122" i="25"/>
  <c r="H121" i="25"/>
  <c r="H120" i="25"/>
  <c r="H119" i="25"/>
  <c r="H118" i="25"/>
  <c r="H117" i="25"/>
  <c r="H116" i="25"/>
  <c r="H115" i="25"/>
  <c r="H114" i="25"/>
  <c r="H113" i="25"/>
  <c r="H112" i="25"/>
  <c r="H111" i="25"/>
  <c r="H110" i="25"/>
  <c r="H109" i="25"/>
  <c r="H108" i="25"/>
  <c r="H107" i="25"/>
  <c r="H106" i="25"/>
  <c r="H105" i="25"/>
  <c r="H104" i="25"/>
  <c r="H103" i="25"/>
  <c r="H102" i="25"/>
  <c r="H101" i="25"/>
  <c r="H100" i="25"/>
  <c r="H99" i="25"/>
  <c r="H98" i="25"/>
  <c r="H97" i="25"/>
  <c r="H96" i="25"/>
  <c r="J92" i="25"/>
  <c r="I91" i="25"/>
  <c r="H91" i="25"/>
  <c r="K91" i="25" s="1"/>
  <c r="I90" i="25"/>
  <c r="K90" i="25" s="1"/>
  <c r="H90" i="25"/>
  <c r="I89" i="25"/>
  <c r="H89" i="25"/>
  <c r="I88" i="25"/>
  <c r="K88" i="25" s="1"/>
  <c r="H88" i="25"/>
  <c r="I87" i="25"/>
  <c r="H87" i="25"/>
  <c r="K83" i="25"/>
  <c r="J83" i="25"/>
  <c r="I83" i="25"/>
  <c r="K82" i="25"/>
  <c r="J82" i="25"/>
  <c r="K78" i="25"/>
  <c r="I78" i="25"/>
  <c r="K77" i="25"/>
  <c r="J77" i="25"/>
  <c r="J78" i="25" s="1"/>
  <c r="F61" i="25"/>
  <c r="G61" i="25" s="1"/>
  <c r="E61" i="25"/>
  <c r="D61" i="25"/>
  <c r="C61" i="25"/>
  <c r="C152" i="25" s="1"/>
  <c r="A61" i="25"/>
  <c r="B152" i="25" s="1"/>
  <c r="H60" i="25"/>
  <c r="F60" i="25"/>
  <c r="G60" i="25" s="1"/>
  <c r="E60" i="25"/>
  <c r="D60" i="25"/>
  <c r="G151" i="25" s="1"/>
  <c r="N151" i="25" s="1"/>
  <c r="O151" i="25" s="1"/>
  <c r="C60" i="25"/>
  <c r="C151" i="25" s="1"/>
  <c r="E151" i="25" s="1"/>
  <c r="F151" i="25" s="1"/>
  <c r="A60" i="25"/>
  <c r="B151" i="25" s="1"/>
  <c r="H59" i="25"/>
  <c r="F59" i="25"/>
  <c r="G59" i="25" s="1"/>
  <c r="E59" i="25"/>
  <c r="D59" i="25"/>
  <c r="G150" i="25" s="1"/>
  <c r="C59" i="25"/>
  <c r="A59" i="25"/>
  <c r="B150" i="25" s="1"/>
  <c r="H58" i="25"/>
  <c r="F58" i="25"/>
  <c r="G58" i="25" s="1"/>
  <c r="E58" i="25"/>
  <c r="D58" i="25"/>
  <c r="C58" i="25"/>
  <c r="R58" i="25" s="1"/>
  <c r="S58" i="25" s="1"/>
  <c r="A58" i="25"/>
  <c r="B149" i="25" s="1"/>
  <c r="H57" i="25"/>
  <c r="F57" i="25"/>
  <c r="G57" i="25" s="1"/>
  <c r="E57" i="25"/>
  <c r="D57" i="25"/>
  <c r="C57" i="25"/>
  <c r="R57" i="25" s="1"/>
  <c r="S57" i="25" s="1"/>
  <c r="A57" i="25"/>
  <c r="B148" i="25" s="1"/>
  <c r="F56" i="25"/>
  <c r="E56" i="25"/>
  <c r="D56" i="25"/>
  <c r="C56" i="25"/>
  <c r="C147" i="25" s="1"/>
  <c r="Q147" i="25" s="1"/>
  <c r="A56" i="25"/>
  <c r="B147" i="25" s="1"/>
  <c r="H55" i="25"/>
  <c r="F55" i="25"/>
  <c r="G55" i="25" s="1"/>
  <c r="E55" i="25"/>
  <c r="D55" i="25"/>
  <c r="G146" i="25" s="1"/>
  <c r="S146" i="25" s="1"/>
  <c r="C55" i="25"/>
  <c r="R55" i="25" s="1"/>
  <c r="S55" i="25" s="1"/>
  <c r="A55" i="25"/>
  <c r="B146" i="25" s="1"/>
  <c r="H54" i="25"/>
  <c r="F54" i="25"/>
  <c r="G54" i="25" s="1"/>
  <c r="E54" i="25"/>
  <c r="D54" i="25"/>
  <c r="G145" i="25" s="1"/>
  <c r="C54" i="25"/>
  <c r="C145" i="25" s="1"/>
  <c r="A54" i="25"/>
  <c r="B145" i="25" s="1"/>
  <c r="H53" i="25"/>
  <c r="F53" i="25"/>
  <c r="G53" i="25" s="1"/>
  <c r="E53" i="25"/>
  <c r="D53" i="25"/>
  <c r="G144" i="25" s="1"/>
  <c r="N144" i="25" s="1"/>
  <c r="O144" i="25" s="1"/>
  <c r="C53" i="25"/>
  <c r="R53" i="25" s="1"/>
  <c r="S53" i="25" s="1"/>
  <c r="A53" i="25"/>
  <c r="B144" i="25" s="1"/>
  <c r="F52" i="25"/>
  <c r="E52" i="25"/>
  <c r="D52" i="25"/>
  <c r="C52" i="25"/>
  <c r="C143" i="25" s="1"/>
  <c r="Q143" i="25" s="1"/>
  <c r="A52" i="25"/>
  <c r="B143" i="25" s="1"/>
  <c r="H51" i="25"/>
  <c r="F51" i="25"/>
  <c r="G51" i="25" s="1"/>
  <c r="E51" i="25"/>
  <c r="D51" i="25"/>
  <c r="C51" i="25"/>
  <c r="A51" i="25"/>
  <c r="B142" i="25" s="1"/>
  <c r="H50" i="25"/>
  <c r="F50" i="25"/>
  <c r="E50" i="25"/>
  <c r="D50" i="25"/>
  <c r="C50" i="25"/>
  <c r="A50" i="25"/>
  <c r="B141" i="25" s="1"/>
  <c r="H49" i="25"/>
  <c r="F49" i="25"/>
  <c r="E49" i="25"/>
  <c r="D49" i="25"/>
  <c r="C49" i="25"/>
  <c r="C140" i="25" s="1"/>
  <c r="A49" i="25"/>
  <c r="B140" i="25" s="1"/>
  <c r="H48" i="25"/>
  <c r="F48" i="25"/>
  <c r="E48" i="25"/>
  <c r="D48" i="25"/>
  <c r="C48" i="25"/>
  <c r="C139" i="25" s="1"/>
  <c r="A48" i="25"/>
  <c r="B139" i="25" s="1"/>
  <c r="H47" i="25"/>
  <c r="F47" i="25"/>
  <c r="E47" i="25"/>
  <c r="D47" i="25"/>
  <c r="C47" i="25"/>
  <c r="R47" i="25" s="1"/>
  <c r="S47" i="25" s="1"/>
  <c r="A47" i="25"/>
  <c r="B138" i="25" s="1"/>
  <c r="F46" i="25"/>
  <c r="E46" i="25"/>
  <c r="D46" i="25"/>
  <c r="C46" i="25"/>
  <c r="R46" i="25" s="1"/>
  <c r="S46" i="25" s="1"/>
  <c r="A46" i="25"/>
  <c r="B137" i="25" s="1"/>
  <c r="H45" i="25"/>
  <c r="F45" i="25"/>
  <c r="G45" i="25" s="1"/>
  <c r="E45" i="25"/>
  <c r="D45" i="25"/>
  <c r="G136" i="25" s="1"/>
  <c r="S136" i="25" s="1"/>
  <c r="C45" i="25"/>
  <c r="R45" i="25" s="1"/>
  <c r="S45" i="25" s="1"/>
  <c r="A45" i="25"/>
  <c r="B136" i="25" s="1"/>
  <c r="H44" i="25"/>
  <c r="F44" i="25"/>
  <c r="G44" i="25" s="1"/>
  <c r="E44" i="25"/>
  <c r="D44" i="25"/>
  <c r="G135" i="25" s="1"/>
  <c r="C44" i="25"/>
  <c r="A44" i="25"/>
  <c r="B135" i="25" s="1"/>
  <c r="H43" i="25"/>
  <c r="F43" i="25"/>
  <c r="E43" i="25"/>
  <c r="D43" i="25"/>
  <c r="G134" i="25" s="1"/>
  <c r="N134" i="25" s="1"/>
  <c r="O134" i="25" s="1"/>
  <c r="C43" i="25"/>
  <c r="C134" i="25" s="1"/>
  <c r="A43" i="25"/>
  <c r="B134" i="25" s="1"/>
  <c r="H42" i="25"/>
  <c r="F42" i="25"/>
  <c r="G42" i="25" s="1"/>
  <c r="E42" i="25"/>
  <c r="D42" i="25"/>
  <c r="G133" i="25" s="1"/>
  <c r="C42" i="25"/>
  <c r="C133" i="25" s="1"/>
  <c r="Q133" i="25" s="1"/>
  <c r="A42" i="25"/>
  <c r="B133" i="25" s="1"/>
  <c r="H41" i="25"/>
  <c r="F41" i="25"/>
  <c r="G41" i="25" s="1"/>
  <c r="E41" i="25"/>
  <c r="D41" i="25"/>
  <c r="C41" i="25"/>
  <c r="C132" i="25" s="1"/>
  <c r="A41" i="25"/>
  <c r="B132" i="25" s="1"/>
  <c r="H40" i="25"/>
  <c r="F40" i="25"/>
  <c r="G40" i="25" s="1"/>
  <c r="E40" i="25"/>
  <c r="D40" i="25"/>
  <c r="G131" i="25" s="1"/>
  <c r="S131" i="25" s="1"/>
  <c r="C40" i="25"/>
  <c r="C131" i="25" s="1"/>
  <c r="A40" i="25"/>
  <c r="B131" i="25" s="1"/>
  <c r="H39" i="25"/>
  <c r="F39" i="25"/>
  <c r="E39" i="25"/>
  <c r="D39" i="25"/>
  <c r="G130" i="25" s="1"/>
  <c r="C39" i="25"/>
  <c r="A39" i="25"/>
  <c r="B130" i="25" s="1"/>
  <c r="H38" i="25"/>
  <c r="F38" i="25"/>
  <c r="G38" i="25" s="1"/>
  <c r="E38" i="25"/>
  <c r="D38" i="25"/>
  <c r="C38" i="25"/>
  <c r="A38" i="25"/>
  <c r="B129" i="25" s="1"/>
  <c r="H37" i="25"/>
  <c r="F37" i="25"/>
  <c r="G37" i="25" s="1"/>
  <c r="E37" i="25"/>
  <c r="D37" i="25"/>
  <c r="C37" i="25"/>
  <c r="C128" i="25" s="1"/>
  <c r="Q128" i="25" s="1"/>
  <c r="A37" i="25"/>
  <c r="B128" i="25" s="1"/>
  <c r="H36" i="25"/>
  <c r="F36" i="25"/>
  <c r="E36" i="25"/>
  <c r="D36" i="25"/>
  <c r="C36" i="25"/>
  <c r="C127" i="25" s="1"/>
  <c r="A36" i="25"/>
  <c r="B127" i="25" s="1"/>
  <c r="H35" i="25"/>
  <c r="F35" i="25"/>
  <c r="E35" i="25"/>
  <c r="D35" i="25"/>
  <c r="G126" i="25" s="1"/>
  <c r="S126" i="25" s="1"/>
  <c r="C35" i="25"/>
  <c r="R35" i="25" s="1"/>
  <c r="S35" i="25" s="1"/>
  <c r="A35" i="25"/>
  <c r="B126" i="25" s="1"/>
  <c r="H34" i="25"/>
  <c r="F34" i="25"/>
  <c r="G34" i="25" s="1"/>
  <c r="E34" i="25"/>
  <c r="D34" i="25"/>
  <c r="C34" i="25"/>
  <c r="C125" i="25" s="1"/>
  <c r="E125" i="25" s="1"/>
  <c r="A34" i="25"/>
  <c r="B125" i="25" s="1"/>
  <c r="H33" i="25"/>
  <c r="F33" i="25"/>
  <c r="G33" i="25" s="1"/>
  <c r="E33" i="25"/>
  <c r="D33" i="25"/>
  <c r="C33" i="25"/>
  <c r="R33" i="25" s="1"/>
  <c r="S33" i="25" s="1"/>
  <c r="A33" i="25"/>
  <c r="B124" i="25" s="1"/>
  <c r="F32" i="25"/>
  <c r="E32" i="25"/>
  <c r="D32" i="25"/>
  <c r="G123" i="25" s="1"/>
  <c r="C32" i="25"/>
  <c r="C123" i="25" s="1"/>
  <c r="Q123" i="25" s="1"/>
  <c r="A32" i="25"/>
  <c r="B123" i="25" s="1"/>
  <c r="H31" i="25"/>
  <c r="F31" i="25"/>
  <c r="E31" i="25"/>
  <c r="D31" i="25"/>
  <c r="C31" i="25"/>
  <c r="A31" i="25"/>
  <c r="B122" i="25" s="1"/>
  <c r="H30" i="25"/>
  <c r="F30" i="25"/>
  <c r="E30" i="25"/>
  <c r="D30" i="25"/>
  <c r="C30" i="25"/>
  <c r="A30" i="25"/>
  <c r="B121" i="25" s="1"/>
  <c r="H29" i="25"/>
  <c r="F29" i="25"/>
  <c r="G29" i="25" s="1"/>
  <c r="E29" i="25"/>
  <c r="D29" i="25"/>
  <c r="C29" i="25"/>
  <c r="A29" i="25"/>
  <c r="B120" i="25" s="1"/>
  <c r="H28" i="25"/>
  <c r="F28" i="25"/>
  <c r="E28" i="25"/>
  <c r="D28" i="25"/>
  <c r="C28" i="25"/>
  <c r="C119" i="25" s="1"/>
  <c r="A28" i="25"/>
  <c r="B119" i="25" s="1"/>
  <c r="H27" i="25"/>
  <c r="F27" i="25"/>
  <c r="E27" i="25"/>
  <c r="D27" i="25"/>
  <c r="G118" i="25" s="1"/>
  <c r="C27" i="25"/>
  <c r="R27" i="25" s="1"/>
  <c r="S27" i="25" s="1"/>
  <c r="A27" i="25"/>
  <c r="B118" i="25" s="1"/>
  <c r="H26" i="25"/>
  <c r="F26" i="25"/>
  <c r="E26" i="25"/>
  <c r="D26" i="25"/>
  <c r="C26" i="25"/>
  <c r="R26" i="25" s="1"/>
  <c r="S26" i="25" s="1"/>
  <c r="A26" i="25"/>
  <c r="B117" i="25" s="1"/>
  <c r="F25" i="25"/>
  <c r="G25" i="25" s="1"/>
  <c r="E25" i="25"/>
  <c r="D25" i="25"/>
  <c r="G116" i="25" s="1"/>
  <c r="C25" i="25"/>
  <c r="A25" i="25"/>
  <c r="B116" i="25" s="1"/>
  <c r="H24" i="25"/>
  <c r="F24" i="25"/>
  <c r="E24" i="25"/>
  <c r="D24" i="25"/>
  <c r="C24" i="25"/>
  <c r="C115" i="25" s="1"/>
  <c r="E115" i="25" s="1"/>
  <c r="F115" i="25" s="1"/>
  <c r="A24" i="25"/>
  <c r="B115" i="25" s="1"/>
  <c r="H23" i="25"/>
  <c r="F23" i="25"/>
  <c r="E23" i="25"/>
  <c r="D23" i="25"/>
  <c r="C23" i="25"/>
  <c r="A23" i="25"/>
  <c r="B114" i="25" s="1"/>
  <c r="H22" i="25"/>
  <c r="F22" i="25"/>
  <c r="E22" i="25"/>
  <c r="D22" i="25"/>
  <c r="C22" i="25"/>
  <c r="A22" i="25"/>
  <c r="B113" i="25" s="1"/>
  <c r="H21" i="25"/>
  <c r="F21" i="25"/>
  <c r="G21" i="25" s="1"/>
  <c r="E21" i="25"/>
  <c r="D21" i="25"/>
  <c r="G112" i="25" s="1"/>
  <c r="N112" i="25" s="1"/>
  <c r="O112" i="25" s="1"/>
  <c r="C21" i="25"/>
  <c r="C112" i="25" s="1"/>
  <c r="Q112" i="25" s="1"/>
  <c r="A21" i="25"/>
  <c r="B112" i="25" s="1"/>
  <c r="H20" i="25"/>
  <c r="F20" i="25"/>
  <c r="G20" i="25" s="1"/>
  <c r="E20" i="25"/>
  <c r="D20" i="25"/>
  <c r="G111" i="25" s="1"/>
  <c r="C20" i="25"/>
  <c r="C111" i="25" s="1"/>
  <c r="E111" i="25" s="1"/>
  <c r="A20" i="25"/>
  <c r="B111" i="25" s="1"/>
  <c r="F19" i="25"/>
  <c r="E19" i="25"/>
  <c r="D19" i="25"/>
  <c r="C19" i="25"/>
  <c r="C110" i="25" s="1"/>
  <c r="Q110" i="25" s="1"/>
  <c r="A19" i="25"/>
  <c r="B110" i="25" s="1"/>
  <c r="H18" i="25"/>
  <c r="F18" i="25"/>
  <c r="G18" i="25" s="1"/>
  <c r="E18" i="25"/>
  <c r="D18" i="25"/>
  <c r="C18" i="25"/>
  <c r="R18" i="25" s="1"/>
  <c r="S18" i="25" s="1"/>
  <c r="A18" i="25"/>
  <c r="B109" i="25" s="1"/>
  <c r="H17" i="25"/>
  <c r="F17" i="25"/>
  <c r="E17" i="25"/>
  <c r="D17" i="25"/>
  <c r="C17" i="25"/>
  <c r="A17" i="25"/>
  <c r="B108" i="25" s="1"/>
  <c r="F16" i="25"/>
  <c r="E16" i="25"/>
  <c r="D16" i="25"/>
  <c r="G107" i="25" s="1"/>
  <c r="K107" i="25" s="1"/>
  <c r="C16" i="25"/>
  <c r="C107" i="25" s="1"/>
  <c r="Q107" i="25" s="1"/>
  <c r="A16" i="25"/>
  <c r="B107" i="25" s="1"/>
  <c r="H15" i="25"/>
  <c r="F15" i="25"/>
  <c r="E15" i="25"/>
  <c r="D15" i="25"/>
  <c r="C15" i="25"/>
  <c r="R15" i="25" s="1"/>
  <c r="S15" i="25" s="1"/>
  <c r="A15" i="25"/>
  <c r="B106" i="25" s="1"/>
  <c r="F14" i="25"/>
  <c r="G14" i="25" s="1"/>
  <c r="E14" i="25"/>
  <c r="D14" i="25"/>
  <c r="C14" i="25"/>
  <c r="A14" i="25"/>
  <c r="B105" i="25" s="1"/>
  <c r="H13" i="25"/>
  <c r="F13" i="25"/>
  <c r="G13" i="25" s="1"/>
  <c r="E13" i="25"/>
  <c r="D13" i="25"/>
  <c r="C13" i="25"/>
  <c r="R13" i="25" s="1"/>
  <c r="S13" i="25" s="1"/>
  <c r="A13" i="25"/>
  <c r="B104" i="25" s="1"/>
  <c r="H12" i="25"/>
  <c r="F12" i="25"/>
  <c r="E12" i="25"/>
  <c r="D12" i="25"/>
  <c r="C12" i="25"/>
  <c r="C103" i="25" s="1"/>
  <c r="A12" i="25"/>
  <c r="B103" i="25" s="1"/>
  <c r="H11" i="25"/>
  <c r="F11" i="25"/>
  <c r="E11" i="25"/>
  <c r="D11" i="25"/>
  <c r="G102" i="25" s="1"/>
  <c r="S102" i="25" s="1"/>
  <c r="C11" i="25"/>
  <c r="A11" i="25"/>
  <c r="B102" i="25" s="1"/>
  <c r="H10" i="25"/>
  <c r="F10" i="25"/>
  <c r="E10" i="25"/>
  <c r="D10" i="25"/>
  <c r="C10" i="25"/>
  <c r="C101" i="25" s="1"/>
  <c r="E101" i="25" s="1"/>
  <c r="F101" i="25" s="1"/>
  <c r="A10" i="25"/>
  <c r="B101" i="25" s="1"/>
  <c r="H9" i="25"/>
  <c r="F9" i="25"/>
  <c r="E9" i="25"/>
  <c r="D9" i="25"/>
  <c r="G100" i="25" s="1"/>
  <c r="C9" i="25"/>
  <c r="R9" i="25" s="1"/>
  <c r="S9" i="25" s="1"/>
  <c r="A9" i="25"/>
  <c r="B100" i="25" s="1"/>
  <c r="H8" i="25"/>
  <c r="F8" i="25"/>
  <c r="G8" i="25" s="1"/>
  <c r="E8" i="25"/>
  <c r="D8" i="25"/>
  <c r="C8" i="25"/>
  <c r="R8" i="25" s="1"/>
  <c r="S8" i="25" s="1"/>
  <c r="A8" i="25"/>
  <c r="B99" i="25" s="1"/>
  <c r="H7" i="25"/>
  <c r="F7" i="25"/>
  <c r="E7" i="25"/>
  <c r="D7" i="25"/>
  <c r="G98" i="25" s="1"/>
  <c r="N98" i="25" s="1"/>
  <c r="O98" i="25" s="1"/>
  <c r="C7" i="25"/>
  <c r="C98" i="25" s="1"/>
  <c r="Q98" i="25" s="1"/>
  <c r="A7" i="25"/>
  <c r="B98" i="25" s="1"/>
  <c r="H6" i="25"/>
  <c r="F6" i="25"/>
  <c r="G6" i="25" s="1"/>
  <c r="E6" i="25"/>
  <c r="D6" i="25"/>
  <c r="G97" i="25" s="1"/>
  <c r="C6" i="25"/>
  <c r="A6" i="25"/>
  <c r="B97" i="25" s="1"/>
  <c r="F5" i="25"/>
  <c r="G5" i="25" s="1"/>
  <c r="E5" i="25"/>
  <c r="D5" i="25"/>
  <c r="C5" i="25"/>
  <c r="A5" i="25"/>
  <c r="B96" i="25" s="1"/>
  <c r="Q48" i="24"/>
  <c r="T47" i="24"/>
  <c r="N47" i="24"/>
  <c r="J47" i="24"/>
  <c r="D47" i="24"/>
  <c r="T46" i="24"/>
  <c r="N46" i="24"/>
  <c r="J46" i="24"/>
  <c r="D46" i="24"/>
  <c r="N45" i="24"/>
  <c r="J45" i="24"/>
  <c r="D45" i="24"/>
  <c r="C45" i="24"/>
  <c r="N44" i="24"/>
  <c r="J44" i="24"/>
  <c r="G44" i="24"/>
  <c r="C44" i="24"/>
  <c r="T43" i="24"/>
  <c r="N43" i="24"/>
  <c r="J43" i="24"/>
  <c r="G43" i="24"/>
  <c r="D43" i="24"/>
  <c r="T42" i="24"/>
  <c r="N42" i="24"/>
  <c r="J42" i="24"/>
  <c r="G42" i="24"/>
  <c r="C42" i="24"/>
  <c r="T41" i="24"/>
  <c r="N41" i="24"/>
  <c r="J41" i="24"/>
  <c r="D41" i="24"/>
  <c r="T40" i="24"/>
  <c r="N40" i="24"/>
  <c r="J40" i="24"/>
  <c r="G40" i="24"/>
  <c r="C40" i="24"/>
  <c r="N39" i="24"/>
  <c r="J39" i="24"/>
  <c r="G39" i="24"/>
  <c r="D39" i="24"/>
  <c r="C39" i="24"/>
  <c r="T38" i="24"/>
  <c r="N38" i="24"/>
  <c r="J38" i="24"/>
  <c r="G38" i="24"/>
  <c r="D38" i="24"/>
  <c r="C38" i="24"/>
  <c r="N37" i="24"/>
  <c r="J37" i="24"/>
  <c r="G37" i="24"/>
  <c r="D37" i="24"/>
  <c r="N36" i="24"/>
  <c r="J36" i="24"/>
  <c r="D36" i="24"/>
  <c r="T35" i="24"/>
  <c r="N35" i="24"/>
  <c r="J35" i="24"/>
  <c r="G35" i="24"/>
  <c r="D35" i="24"/>
  <c r="T34" i="24"/>
  <c r="N34" i="24"/>
  <c r="J34" i="24"/>
  <c r="G34" i="24"/>
  <c r="D34" i="24"/>
  <c r="T33" i="24"/>
  <c r="N33" i="24"/>
  <c r="J33" i="24"/>
  <c r="G33" i="24"/>
  <c r="D33" i="24"/>
  <c r="N32" i="24"/>
  <c r="J32" i="24"/>
  <c r="D32" i="24"/>
  <c r="T31" i="24"/>
  <c r="N31" i="24"/>
  <c r="J31" i="24"/>
  <c r="G31" i="24"/>
  <c r="D31" i="24"/>
  <c r="T30" i="24"/>
  <c r="N30" i="24"/>
  <c r="J30" i="24"/>
  <c r="G30" i="24"/>
  <c r="D30" i="24"/>
  <c r="T29" i="24"/>
  <c r="N29" i="24"/>
  <c r="J29" i="24"/>
  <c r="G29" i="24"/>
  <c r="D29" i="24"/>
  <c r="T28" i="24"/>
  <c r="N28" i="24"/>
  <c r="J28" i="24"/>
  <c r="G28" i="24"/>
  <c r="D28" i="24"/>
  <c r="T27" i="24"/>
  <c r="N27" i="24"/>
  <c r="J27" i="24"/>
  <c r="G27" i="24"/>
  <c r="D27" i="24"/>
  <c r="T26" i="24"/>
  <c r="N26" i="24"/>
  <c r="J26" i="24"/>
  <c r="G26" i="24"/>
  <c r="D26" i="24"/>
  <c r="N25" i="24"/>
  <c r="J25" i="24"/>
  <c r="D25" i="24"/>
  <c r="T24" i="24"/>
  <c r="N24" i="24"/>
  <c r="J24" i="24"/>
  <c r="G24" i="24"/>
  <c r="D24" i="24"/>
  <c r="T23" i="24"/>
  <c r="N23" i="24"/>
  <c r="J23" i="24"/>
  <c r="G23" i="24"/>
  <c r="D23" i="24"/>
  <c r="T22" i="24"/>
  <c r="N22" i="24"/>
  <c r="J22" i="24"/>
  <c r="G22" i="24"/>
  <c r="D22" i="24"/>
  <c r="T21" i="24"/>
  <c r="N21" i="24"/>
  <c r="J21" i="24"/>
  <c r="G21" i="24"/>
  <c r="D21" i="24"/>
  <c r="T20" i="24"/>
  <c r="N20" i="24"/>
  <c r="J20" i="24"/>
  <c r="G20" i="24"/>
  <c r="D20" i="24"/>
  <c r="T19" i="24"/>
  <c r="N19" i="24"/>
  <c r="J19" i="24"/>
  <c r="G19" i="24"/>
  <c r="D19" i="24"/>
  <c r="N18" i="24"/>
  <c r="J18" i="24"/>
  <c r="D18" i="24"/>
  <c r="C18" i="24"/>
  <c r="T17" i="24"/>
  <c r="N17" i="24"/>
  <c r="J17" i="24"/>
  <c r="G17" i="24"/>
  <c r="D17" i="24"/>
  <c r="N16" i="24"/>
  <c r="J16" i="24"/>
  <c r="D16" i="24"/>
  <c r="T15" i="24"/>
  <c r="N15" i="24"/>
  <c r="J15" i="24"/>
  <c r="G15" i="24"/>
  <c r="D15" i="24"/>
  <c r="C15" i="24"/>
  <c r="AD14" i="24"/>
  <c r="AD15" i="24" s="1"/>
  <c r="AD16" i="24" s="1"/>
  <c r="AD17" i="24" s="1"/>
  <c r="AD18" i="24" s="1"/>
  <c r="AD19" i="24" s="1"/>
  <c r="AD20" i="24" s="1"/>
  <c r="AD21" i="24" s="1"/>
  <c r="AD22" i="24" s="1"/>
  <c r="AD23" i="24" s="1"/>
  <c r="AD24" i="24" s="1"/>
  <c r="AD25" i="24" s="1"/>
  <c r="AD26" i="24" s="1"/>
  <c r="AD27" i="24" s="1"/>
  <c r="AD28" i="24" s="1"/>
  <c r="AD29" i="24" s="1"/>
  <c r="AD30" i="24" s="1"/>
  <c r="AD31" i="24" s="1"/>
  <c r="AD32" i="24" s="1"/>
  <c r="AD33" i="24" s="1"/>
  <c r="AD34" i="24" s="1"/>
  <c r="AD35" i="24" s="1"/>
  <c r="AD36" i="24" s="1"/>
  <c r="AD37" i="24" s="1"/>
  <c r="AD38" i="24" s="1"/>
  <c r="AD39" i="24" s="1"/>
  <c r="AD40" i="24" s="1"/>
  <c r="AD41" i="24" s="1"/>
  <c r="AD42" i="24" s="1"/>
  <c r="AD43" i="24" s="1"/>
  <c r="AD44" i="24" s="1"/>
  <c r="AD45" i="24" s="1"/>
  <c r="AD46" i="24" s="1"/>
  <c r="AD47" i="24" s="1"/>
  <c r="N14" i="24"/>
  <c r="J14" i="24"/>
  <c r="D14" i="24"/>
  <c r="AC13" i="24"/>
  <c r="AC14" i="24" s="1"/>
  <c r="AC15" i="24" s="1"/>
  <c r="AC16" i="24" s="1"/>
  <c r="AC17" i="24" s="1"/>
  <c r="AC18" i="24" s="1"/>
  <c r="AC19" i="24" s="1"/>
  <c r="AC20" i="24" s="1"/>
  <c r="AC21" i="24" s="1"/>
  <c r="AC22" i="24" s="1"/>
  <c r="AC23" i="24" s="1"/>
  <c r="AC24" i="24" s="1"/>
  <c r="AC25" i="24" s="1"/>
  <c r="AC26" i="24" s="1"/>
  <c r="AC27" i="24" s="1"/>
  <c r="AC28" i="24" s="1"/>
  <c r="AC29" i="24" s="1"/>
  <c r="AC30" i="24" s="1"/>
  <c r="AC31" i="24" s="1"/>
  <c r="AC32" i="24" s="1"/>
  <c r="AC33" i="24" s="1"/>
  <c r="AC34" i="24" s="1"/>
  <c r="AC35" i="24" s="1"/>
  <c r="AC36" i="24" s="1"/>
  <c r="AC37" i="24" s="1"/>
  <c r="AC38" i="24" s="1"/>
  <c r="AC39" i="24" s="1"/>
  <c r="AC40" i="24" s="1"/>
  <c r="AC41" i="24" s="1"/>
  <c r="AC42" i="24" s="1"/>
  <c r="AC43" i="24" s="1"/>
  <c r="AC44" i="24" s="1"/>
  <c r="AC45" i="24" s="1"/>
  <c r="AC46" i="24" s="1"/>
  <c r="AC47" i="24" s="1"/>
  <c r="N13" i="24"/>
  <c r="J13" i="24"/>
  <c r="L13" i="24" s="1"/>
  <c r="D13" i="24"/>
  <c r="M12" i="24"/>
  <c r="J12" i="24"/>
  <c r="D12" i="24"/>
  <c r="T11" i="24"/>
  <c r="N11" i="24"/>
  <c r="K11" i="24"/>
  <c r="K12" i="24" s="1"/>
  <c r="K13" i="24" s="1"/>
  <c r="K14" i="24" s="1"/>
  <c r="J11" i="24"/>
  <c r="G11" i="24"/>
  <c r="D11" i="24"/>
  <c r="X10" i="24"/>
  <c r="N10" i="24"/>
  <c r="J10" i="24"/>
  <c r="E10" i="24"/>
  <c r="D10" i="24"/>
  <c r="AD9" i="24"/>
  <c r="AD10" i="24" s="1"/>
  <c r="AD11" i="24" s="1"/>
  <c r="AD12" i="24" s="1"/>
  <c r="AD13" i="24" s="1"/>
  <c r="AC9" i="24"/>
  <c r="AC10" i="24" s="1"/>
  <c r="AC11" i="24" s="1"/>
  <c r="AC12" i="24" s="1"/>
  <c r="X9" i="24"/>
  <c r="Y9" i="24" s="1"/>
  <c r="T9" i="24"/>
  <c r="N9" i="24"/>
  <c r="J9" i="24"/>
  <c r="G9" i="24"/>
  <c r="D9" i="24"/>
  <c r="AD8" i="24"/>
  <c r="AC8" i="24"/>
  <c r="Y8" i="24"/>
  <c r="X8" i="24"/>
  <c r="U8" i="24"/>
  <c r="R8" i="24"/>
  <c r="O8" i="24"/>
  <c r="N8" i="24"/>
  <c r="L8" i="24"/>
  <c r="K8" i="24"/>
  <c r="K9" i="24" s="1"/>
  <c r="K10" i="24" s="1"/>
  <c r="L10" i="24" s="1"/>
  <c r="J8" i="24"/>
  <c r="H8" i="24"/>
  <c r="F8" i="24"/>
  <c r="E8" i="24"/>
  <c r="E9" i="24" s="1"/>
  <c r="F9" i="24" s="1"/>
  <c r="D8" i="24"/>
  <c r="A8" i="24"/>
  <c r="AE7" i="24"/>
  <c r="AB7" i="24"/>
  <c r="AA7" i="24"/>
  <c r="Y7" i="24"/>
  <c r="V7" i="24"/>
  <c r="S7" i="24"/>
  <c r="P7" i="24"/>
  <c r="N7" i="24"/>
  <c r="L7" i="24"/>
  <c r="J7" i="24"/>
  <c r="I7" i="24"/>
  <c r="F7" i="24"/>
  <c r="D7" i="24"/>
  <c r="C7" i="24"/>
  <c r="B7" i="24"/>
  <c r="F45" i="23"/>
  <c r="E45" i="23"/>
  <c r="D45" i="23"/>
  <c r="C45" i="23"/>
  <c r="B44" i="23"/>
  <c r="A44" i="23"/>
  <c r="B43" i="23"/>
  <c r="A43" i="23"/>
  <c r="B42" i="23"/>
  <c r="A42" i="23"/>
  <c r="B41" i="23"/>
  <c r="A41" i="23"/>
  <c r="B40" i="23"/>
  <c r="A40" i="23"/>
  <c r="B39" i="23"/>
  <c r="A39" i="23"/>
  <c r="B38" i="23"/>
  <c r="A38" i="23"/>
  <c r="B37" i="23"/>
  <c r="A37" i="23"/>
  <c r="B36" i="23"/>
  <c r="A36" i="23"/>
  <c r="B35" i="23"/>
  <c r="A35" i="23"/>
  <c r="B34" i="23"/>
  <c r="A34" i="23"/>
  <c r="B33" i="23"/>
  <c r="A33" i="23"/>
  <c r="B32" i="23"/>
  <c r="A32" i="23"/>
  <c r="B31" i="23"/>
  <c r="A31" i="23"/>
  <c r="B30" i="23"/>
  <c r="A30" i="23"/>
  <c r="B29" i="23"/>
  <c r="A29" i="23"/>
  <c r="B28" i="23"/>
  <c r="A28" i="23"/>
  <c r="B27" i="23"/>
  <c r="A27" i="23"/>
  <c r="B26" i="23"/>
  <c r="A26" i="23"/>
  <c r="B25" i="23"/>
  <c r="A25" i="23"/>
  <c r="B24" i="23"/>
  <c r="A24" i="23"/>
  <c r="B23" i="23"/>
  <c r="A23" i="23"/>
  <c r="B22" i="23"/>
  <c r="A22" i="23"/>
  <c r="B21" i="23"/>
  <c r="A21" i="23"/>
  <c r="B20" i="23"/>
  <c r="A20" i="23"/>
  <c r="B19" i="23"/>
  <c r="A19" i="23"/>
  <c r="B18" i="23"/>
  <c r="A18" i="23"/>
  <c r="B17" i="23"/>
  <c r="A17" i="23"/>
  <c r="B16" i="23"/>
  <c r="A16" i="23"/>
  <c r="B15" i="23"/>
  <c r="A15" i="23"/>
  <c r="B14" i="23"/>
  <c r="A14" i="23"/>
  <c r="B13" i="23"/>
  <c r="A13" i="23"/>
  <c r="B12" i="23"/>
  <c r="A12" i="23"/>
  <c r="B11" i="23"/>
  <c r="A11" i="23"/>
  <c r="B10" i="23"/>
  <c r="A10" i="23"/>
  <c r="B9" i="23"/>
  <c r="A9" i="23"/>
  <c r="B8" i="23"/>
  <c r="A8" i="23"/>
  <c r="B7" i="23"/>
  <c r="A7" i="23"/>
  <c r="B6" i="23"/>
  <c r="A6" i="23"/>
  <c r="B5" i="23"/>
  <c r="A5" i="23"/>
  <c r="B4" i="23"/>
  <c r="A4" i="23"/>
  <c r="C34" i="22"/>
  <c r="A34" i="22"/>
  <c r="C33" i="22"/>
  <c r="C30" i="22"/>
  <c r="A30" i="22"/>
  <c r="J29" i="22"/>
  <c r="J30" i="22" s="1"/>
  <c r="C29" i="22"/>
  <c r="J26" i="22"/>
  <c r="J25" i="22"/>
  <c r="F22" i="22"/>
  <c r="C22" i="22"/>
  <c r="A22" i="22"/>
  <c r="F21" i="22"/>
  <c r="C21" i="22"/>
  <c r="A21" i="22"/>
  <c r="F18" i="22"/>
  <c r="C18" i="22"/>
  <c r="A18" i="22"/>
  <c r="J17" i="22"/>
  <c r="F17" i="22"/>
  <c r="C17" i="22"/>
  <c r="B17" i="22"/>
  <c r="A17" i="22"/>
  <c r="J14" i="22"/>
  <c r="B14" i="22"/>
  <c r="A14" i="22"/>
  <c r="J13" i="22"/>
  <c r="J9" i="22"/>
  <c r="J10" i="22" s="1"/>
  <c r="G20" i="21"/>
  <c r="G19" i="21"/>
  <c r="F19" i="21"/>
  <c r="E19" i="21"/>
  <c r="G18" i="21"/>
  <c r="F18" i="21"/>
  <c r="G17" i="21"/>
  <c r="F17" i="21"/>
  <c r="F16" i="21"/>
  <c r="E16" i="21"/>
  <c r="F15" i="21"/>
  <c r="E15" i="21"/>
  <c r="N27" i="17" s="1"/>
  <c r="B4" i="21"/>
  <c r="C4" i="9" s="1"/>
  <c r="D44" i="20"/>
  <c r="E44" i="20" s="1"/>
  <c r="G44" i="20" s="1"/>
  <c r="B44" i="20"/>
  <c r="A44" i="20"/>
  <c r="F43" i="20"/>
  <c r="D43" i="20"/>
  <c r="B43" i="20"/>
  <c r="A43" i="20"/>
  <c r="F42" i="20"/>
  <c r="D42" i="20"/>
  <c r="E42" i="20" s="1"/>
  <c r="G42" i="20" s="1"/>
  <c r="C42" i="20"/>
  <c r="B42" i="20"/>
  <c r="A42" i="20"/>
  <c r="D41" i="20"/>
  <c r="B41" i="20"/>
  <c r="A41" i="20"/>
  <c r="D40" i="20"/>
  <c r="B40" i="20"/>
  <c r="A40" i="20"/>
  <c r="D39" i="20"/>
  <c r="E39" i="20" s="1"/>
  <c r="G39" i="20" s="1"/>
  <c r="C39" i="20"/>
  <c r="B39" i="20"/>
  <c r="A39" i="20"/>
  <c r="D38" i="20"/>
  <c r="B38" i="20"/>
  <c r="A38" i="20"/>
  <c r="D37" i="20"/>
  <c r="E37" i="20" s="1"/>
  <c r="C37" i="20"/>
  <c r="B37" i="20"/>
  <c r="A37" i="20"/>
  <c r="D36" i="20"/>
  <c r="B36" i="20"/>
  <c r="A36" i="20"/>
  <c r="F35" i="20"/>
  <c r="D35" i="20"/>
  <c r="B35" i="20"/>
  <c r="A35" i="20"/>
  <c r="D34" i="20"/>
  <c r="B34" i="20"/>
  <c r="A34" i="20"/>
  <c r="D33" i="20"/>
  <c r="C33" i="20"/>
  <c r="B33" i="20"/>
  <c r="A33" i="20"/>
  <c r="E32" i="20"/>
  <c r="D32" i="20"/>
  <c r="B32" i="20"/>
  <c r="A32" i="20"/>
  <c r="D31" i="20"/>
  <c r="B31" i="20"/>
  <c r="A31" i="20"/>
  <c r="D30" i="20"/>
  <c r="B30" i="20"/>
  <c r="A30" i="20"/>
  <c r="E29" i="20"/>
  <c r="D29" i="20"/>
  <c r="B29" i="20"/>
  <c r="A29" i="20"/>
  <c r="D28" i="20"/>
  <c r="E28" i="20" s="1"/>
  <c r="B28" i="20"/>
  <c r="A28" i="20"/>
  <c r="D27" i="20"/>
  <c r="B27" i="20"/>
  <c r="A27" i="20"/>
  <c r="F26" i="20"/>
  <c r="D26" i="20"/>
  <c r="B26" i="20"/>
  <c r="A26" i="20"/>
  <c r="D25" i="20"/>
  <c r="B25" i="20"/>
  <c r="A25" i="20"/>
  <c r="F24" i="20"/>
  <c r="G24" i="20" s="1"/>
  <c r="D24" i="20"/>
  <c r="E24" i="20" s="1"/>
  <c r="B24" i="20"/>
  <c r="A24" i="20"/>
  <c r="D23" i="20"/>
  <c r="B23" i="20"/>
  <c r="A23" i="20"/>
  <c r="D22" i="20"/>
  <c r="B22" i="20"/>
  <c r="A22" i="20"/>
  <c r="F21" i="20"/>
  <c r="D21" i="20"/>
  <c r="B21" i="20"/>
  <c r="A21" i="20"/>
  <c r="D20" i="20"/>
  <c r="B20" i="20"/>
  <c r="A20" i="20"/>
  <c r="D19" i="20"/>
  <c r="B19" i="20"/>
  <c r="A19" i="20"/>
  <c r="F18" i="20"/>
  <c r="D18" i="20"/>
  <c r="B18" i="20"/>
  <c r="A18" i="20"/>
  <c r="D17" i="20"/>
  <c r="B17" i="20"/>
  <c r="A17" i="20"/>
  <c r="D16" i="20"/>
  <c r="B16" i="20"/>
  <c r="A16" i="20"/>
  <c r="H15" i="20"/>
  <c r="H16" i="20" s="1"/>
  <c r="H17" i="20" s="1"/>
  <c r="H18" i="20" s="1"/>
  <c r="H19" i="20" s="1"/>
  <c r="H20" i="20" s="1"/>
  <c r="H21" i="20" s="1"/>
  <c r="H22" i="20" s="1"/>
  <c r="H23" i="20" s="1"/>
  <c r="H24" i="20" s="1"/>
  <c r="H25" i="20" s="1"/>
  <c r="H26" i="20" s="1"/>
  <c r="H27" i="20" s="1"/>
  <c r="H28" i="20" s="1"/>
  <c r="H29" i="20" s="1"/>
  <c r="H30" i="20" s="1"/>
  <c r="H31" i="20" s="1"/>
  <c r="H32" i="20" s="1"/>
  <c r="H33" i="20" s="1"/>
  <c r="H34" i="20" s="1"/>
  <c r="H35" i="20" s="1"/>
  <c r="H36" i="20" s="1"/>
  <c r="H37" i="20" s="1"/>
  <c r="H38" i="20" s="1"/>
  <c r="H39" i="20" s="1"/>
  <c r="H40" i="20" s="1"/>
  <c r="H41" i="20" s="1"/>
  <c r="H42" i="20" s="1"/>
  <c r="H43" i="20" s="1"/>
  <c r="H44" i="20" s="1"/>
  <c r="D15" i="20"/>
  <c r="B15" i="20"/>
  <c r="A15" i="20"/>
  <c r="D14" i="20"/>
  <c r="B14" i="20"/>
  <c r="A14" i="20"/>
  <c r="D13" i="20"/>
  <c r="E13" i="20" s="1"/>
  <c r="C13" i="20"/>
  <c r="B13" i="20"/>
  <c r="A13" i="20"/>
  <c r="D12" i="20"/>
  <c r="C12" i="20"/>
  <c r="E12" i="20" s="1"/>
  <c r="G12" i="20" s="1"/>
  <c r="I12" i="20" s="1"/>
  <c r="B12" i="20"/>
  <c r="A12" i="20"/>
  <c r="D11" i="20"/>
  <c r="B11" i="20"/>
  <c r="A11" i="20"/>
  <c r="G10" i="20"/>
  <c r="I10" i="20" s="1"/>
  <c r="F10" i="20"/>
  <c r="D10" i="20"/>
  <c r="C10" i="20"/>
  <c r="E10" i="20" s="1"/>
  <c r="B10" i="20"/>
  <c r="A10" i="20"/>
  <c r="D9" i="20"/>
  <c r="B9" i="20"/>
  <c r="A9" i="20"/>
  <c r="D8" i="20"/>
  <c r="E8" i="20" s="1"/>
  <c r="B8" i="20"/>
  <c r="A8" i="20"/>
  <c r="D7" i="20"/>
  <c r="B7" i="20"/>
  <c r="A7" i="20"/>
  <c r="D6" i="20"/>
  <c r="B6" i="20"/>
  <c r="A6" i="20"/>
  <c r="J5" i="20"/>
  <c r="J6" i="20" s="1"/>
  <c r="J7" i="20" s="1"/>
  <c r="J8" i="20" s="1"/>
  <c r="J9" i="20" s="1"/>
  <c r="J10" i="20" s="1"/>
  <c r="H5" i="20"/>
  <c r="H6" i="20" s="1"/>
  <c r="H7" i="20" s="1"/>
  <c r="H8" i="20" s="1"/>
  <c r="H9" i="20" s="1"/>
  <c r="H10" i="20" s="1"/>
  <c r="H11" i="20" s="1"/>
  <c r="H12" i="20" s="1"/>
  <c r="H13" i="20" s="1"/>
  <c r="H14" i="20" s="1"/>
  <c r="D5" i="20"/>
  <c r="B5" i="20"/>
  <c r="A5" i="20"/>
  <c r="F4" i="20"/>
  <c r="D4" i="20"/>
  <c r="B4" i="20"/>
  <c r="A4" i="20"/>
  <c r="H45" i="17"/>
  <c r="F45" i="18"/>
  <c r="E45" i="18"/>
  <c r="C45" i="18"/>
  <c r="B45" i="18"/>
  <c r="A45" i="18"/>
  <c r="F44" i="18"/>
  <c r="B44" i="18"/>
  <c r="A44" i="18"/>
  <c r="H43" i="17"/>
  <c r="I43" i="17" s="1"/>
  <c r="F43" i="18"/>
  <c r="E43" i="18"/>
  <c r="G43" i="18" s="1"/>
  <c r="D43" i="18"/>
  <c r="C43" i="18"/>
  <c r="B43" i="18"/>
  <c r="A43" i="18"/>
  <c r="H42" i="17"/>
  <c r="B42" i="18"/>
  <c r="A42" i="18"/>
  <c r="H41" i="17"/>
  <c r="I41" i="17" s="1"/>
  <c r="J41" i="17" s="1"/>
  <c r="L41" i="17" s="1"/>
  <c r="F41" i="18"/>
  <c r="B41" i="18"/>
  <c r="A41" i="18"/>
  <c r="H40" i="17"/>
  <c r="F40" i="18"/>
  <c r="C40" i="18"/>
  <c r="E40" i="18" s="1"/>
  <c r="G40" i="18" s="1"/>
  <c r="L40" i="18" s="1"/>
  <c r="B40" i="18"/>
  <c r="A40" i="18"/>
  <c r="B39" i="18"/>
  <c r="A39" i="18"/>
  <c r="F38" i="18"/>
  <c r="D38" i="18"/>
  <c r="E38" i="18" s="1"/>
  <c r="G38" i="18" s="1"/>
  <c r="C38" i="18"/>
  <c r="B38" i="18"/>
  <c r="A38" i="18"/>
  <c r="H37" i="17"/>
  <c r="B37" i="18"/>
  <c r="A37" i="18"/>
  <c r="H36" i="17"/>
  <c r="F36" i="18"/>
  <c r="D36" i="18"/>
  <c r="B36" i="18"/>
  <c r="A36" i="18"/>
  <c r="B35" i="18"/>
  <c r="A35" i="18"/>
  <c r="H34" i="17"/>
  <c r="C34" i="18"/>
  <c r="B34" i="18"/>
  <c r="A34" i="18"/>
  <c r="C33" i="18"/>
  <c r="B33" i="18"/>
  <c r="A33" i="18"/>
  <c r="H32" i="17"/>
  <c r="D32" i="18"/>
  <c r="B32" i="18"/>
  <c r="A32" i="18"/>
  <c r="H31" i="17"/>
  <c r="D31" i="18"/>
  <c r="B31" i="18"/>
  <c r="A31" i="18"/>
  <c r="C30" i="18"/>
  <c r="B30" i="18"/>
  <c r="A30" i="18"/>
  <c r="F29" i="18"/>
  <c r="B29" i="18"/>
  <c r="A29" i="18"/>
  <c r="H28" i="17"/>
  <c r="F28" i="18"/>
  <c r="D28" i="18"/>
  <c r="B28" i="18"/>
  <c r="A28" i="18"/>
  <c r="B27" i="18"/>
  <c r="A27" i="18"/>
  <c r="D26" i="18"/>
  <c r="B26" i="18"/>
  <c r="A26" i="18"/>
  <c r="C25" i="18"/>
  <c r="E25" i="18" s="1"/>
  <c r="G25" i="18" s="1"/>
  <c r="B25" i="18"/>
  <c r="A25" i="18"/>
  <c r="J24" i="18"/>
  <c r="M24" i="18" s="1"/>
  <c r="H24" i="17"/>
  <c r="F24" i="18"/>
  <c r="C24" i="18"/>
  <c r="B24" i="18"/>
  <c r="A24" i="18"/>
  <c r="H23" i="17"/>
  <c r="B23" i="18"/>
  <c r="A23" i="18"/>
  <c r="H22" i="17"/>
  <c r="F22" i="18"/>
  <c r="D22" i="18"/>
  <c r="B22" i="18"/>
  <c r="A22" i="18"/>
  <c r="H21" i="17"/>
  <c r="B21" i="18"/>
  <c r="A21" i="18"/>
  <c r="C20" i="18"/>
  <c r="E20" i="18" s="1"/>
  <c r="B20" i="18"/>
  <c r="A20" i="18"/>
  <c r="H19" i="17"/>
  <c r="I19" i="17" s="1"/>
  <c r="J19" i="17" s="1"/>
  <c r="L19" i="17" s="1"/>
  <c r="B19" i="18"/>
  <c r="A19" i="18"/>
  <c r="B18" i="18"/>
  <c r="A18" i="18"/>
  <c r="H17" i="17"/>
  <c r="B17" i="18"/>
  <c r="A17" i="18"/>
  <c r="H16" i="17"/>
  <c r="F16" i="18"/>
  <c r="D16" i="18"/>
  <c r="B16" i="18"/>
  <c r="A16" i="18"/>
  <c r="H15" i="17"/>
  <c r="E15" i="18"/>
  <c r="B15" i="18"/>
  <c r="A15" i="18"/>
  <c r="H14" i="17"/>
  <c r="C14" i="18"/>
  <c r="B14" i="18"/>
  <c r="A14" i="18"/>
  <c r="E13" i="18"/>
  <c r="B13" i="18"/>
  <c r="A13" i="18"/>
  <c r="H12" i="17"/>
  <c r="F12" i="18"/>
  <c r="B12" i="18"/>
  <c r="A12" i="18"/>
  <c r="H11" i="17"/>
  <c r="D11" i="18"/>
  <c r="E11" i="18" s="1"/>
  <c r="B11" i="18"/>
  <c r="A11" i="18"/>
  <c r="H10" i="17"/>
  <c r="D10" i="18"/>
  <c r="B10" i="18"/>
  <c r="A10" i="18"/>
  <c r="E9" i="18"/>
  <c r="D9" i="18"/>
  <c r="C9" i="18"/>
  <c r="B9" i="18"/>
  <c r="A9" i="18"/>
  <c r="C8" i="18"/>
  <c r="B8" i="18"/>
  <c r="A8" i="18"/>
  <c r="G7" i="18"/>
  <c r="F7" i="18"/>
  <c r="E7" i="18"/>
  <c r="D7" i="18"/>
  <c r="B7" i="18"/>
  <c r="A7" i="18"/>
  <c r="B6" i="18"/>
  <c r="A6" i="18"/>
  <c r="H5" i="17"/>
  <c r="I5" i="17" s="1"/>
  <c r="F5" i="18"/>
  <c r="C5" i="18"/>
  <c r="B5" i="18"/>
  <c r="A5" i="18"/>
  <c r="F46" i="17"/>
  <c r="E46" i="17"/>
  <c r="N45" i="17"/>
  <c r="K45" i="17"/>
  <c r="I45" i="17"/>
  <c r="J45" i="17" s="1"/>
  <c r="L45" i="17" s="1"/>
  <c r="D45" i="17"/>
  <c r="D45" i="18" s="1"/>
  <c r="C45" i="17"/>
  <c r="B45" i="17"/>
  <c r="A45" i="17"/>
  <c r="K44" i="17"/>
  <c r="H44" i="17"/>
  <c r="I44" i="17" s="1"/>
  <c r="J44" i="17" s="1"/>
  <c r="D44" i="17"/>
  <c r="D44" i="18" s="1"/>
  <c r="B44" i="17"/>
  <c r="A44" i="17"/>
  <c r="N43" i="17"/>
  <c r="K43" i="17"/>
  <c r="J43" i="17"/>
  <c r="G43" i="17"/>
  <c r="D43" i="17"/>
  <c r="B43" i="17"/>
  <c r="A43" i="17"/>
  <c r="N42" i="17"/>
  <c r="K42" i="17"/>
  <c r="D42" i="17"/>
  <c r="D42" i="18" s="1"/>
  <c r="C42" i="17"/>
  <c r="B42" i="17"/>
  <c r="A42" i="17"/>
  <c r="K41" i="17"/>
  <c r="G41" i="17"/>
  <c r="D41" i="17"/>
  <c r="D41" i="18" s="1"/>
  <c r="B41" i="17"/>
  <c r="A41" i="17"/>
  <c r="K40" i="17"/>
  <c r="G40" i="17"/>
  <c r="D40" i="17"/>
  <c r="D40" i="18" s="1"/>
  <c r="C40" i="17"/>
  <c r="B40" i="17"/>
  <c r="A40" i="17"/>
  <c r="N39" i="17"/>
  <c r="K39" i="17"/>
  <c r="H39" i="17"/>
  <c r="D39" i="17"/>
  <c r="D39" i="18" s="1"/>
  <c r="B39" i="17"/>
  <c r="A39" i="17"/>
  <c r="N38" i="17"/>
  <c r="K38" i="17"/>
  <c r="H38" i="17"/>
  <c r="D38" i="17"/>
  <c r="C38" i="17"/>
  <c r="B38" i="17"/>
  <c r="A38" i="17"/>
  <c r="K37" i="17"/>
  <c r="D37" i="17"/>
  <c r="D37" i="18" s="1"/>
  <c r="B37" i="17"/>
  <c r="A37" i="17"/>
  <c r="N36" i="17"/>
  <c r="K36" i="17"/>
  <c r="J36" i="17"/>
  <c r="G36" i="17"/>
  <c r="I36" i="17" s="1"/>
  <c r="D36" i="17"/>
  <c r="C36" i="17"/>
  <c r="B36" i="17"/>
  <c r="A36" i="17"/>
  <c r="K35" i="17"/>
  <c r="H35" i="17"/>
  <c r="D35" i="17"/>
  <c r="D35" i="18" s="1"/>
  <c r="B35" i="17"/>
  <c r="A35" i="17"/>
  <c r="N34" i="17"/>
  <c r="K34" i="17"/>
  <c r="D34" i="17"/>
  <c r="D34" i="18" s="1"/>
  <c r="B34" i="17"/>
  <c r="A34" i="17"/>
  <c r="K33" i="17"/>
  <c r="H33" i="17"/>
  <c r="G33" i="17"/>
  <c r="I33" i="17" s="1"/>
  <c r="J33" i="17" s="1"/>
  <c r="L33" i="17" s="1"/>
  <c r="D33" i="17"/>
  <c r="D33" i="18" s="1"/>
  <c r="C33" i="17"/>
  <c r="B33" i="17"/>
  <c r="A33" i="17"/>
  <c r="N32" i="17"/>
  <c r="K32" i="17"/>
  <c r="D32" i="17"/>
  <c r="B32" i="17"/>
  <c r="A32" i="17"/>
  <c r="N31" i="17"/>
  <c r="K31" i="17"/>
  <c r="D31" i="17"/>
  <c r="B31" i="17"/>
  <c r="A31" i="17"/>
  <c r="N30" i="17"/>
  <c r="K30" i="17"/>
  <c r="H30" i="17"/>
  <c r="D30" i="17"/>
  <c r="D30" i="18" s="1"/>
  <c r="E30" i="18" s="1"/>
  <c r="C30" i="17"/>
  <c r="B30" i="17"/>
  <c r="A30" i="17"/>
  <c r="K29" i="17"/>
  <c r="I29" i="17"/>
  <c r="J29" i="17" s="1"/>
  <c r="L29" i="17" s="1"/>
  <c r="H29" i="17"/>
  <c r="G29" i="17"/>
  <c r="D29" i="17"/>
  <c r="D29" i="18" s="1"/>
  <c r="C29" i="17"/>
  <c r="B29" i="17"/>
  <c r="A29" i="17"/>
  <c r="N28" i="17"/>
  <c r="K28" i="17"/>
  <c r="D28" i="17"/>
  <c r="B28" i="17"/>
  <c r="A28" i="17"/>
  <c r="K27" i="17"/>
  <c r="H27" i="17"/>
  <c r="D27" i="17"/>
  <c r="D27" i="18" s="1"/>
  <c r="B27" i="17"/>
  <c r="A27" i="17"/>
  <c r="K26" i="17"/>
  <c r="D26" i="17"/>
  <c r="C26" i="17"/>
  <c r="B26" i="17"/>
  <c r="A26" i="17"/>
  <c r="K25" i="17"/>
  <c r="H25" i="17"/>
  <c r="D25" i="17"/>
  <c r="D25" i="18" s="1"/>
  <c r="C25" i="17"/>
  <c r="B25" i="17"/>
  <c r="A25" i="17"/>
  <c r="N24" i="17"/>
  <c r="K24" i="17"/>
  <c r="G24" i="17"/>
  <c r="D24" i="17"/>
  <c r="D24" i="18" s="1"/>
  <c r="E24" i="18" s="1"/>
  <c r="G24" i="18" s="1"/>
  <c r="L24" i="18" s="1"/>
  <c r="C24" i="17"/>
  <c r="B24" i="17"/>
  <c r="A24" i="17"/>
  <c r="K23" i="17"/>
  <c r="D23" i="17"/>
  <c r="D23" i="18" s="1"/>
  <c r="B23" i="17"/>
  <c r="A23" i="17"/>
  <c r="N22" i="17"/>
  <c r="K22" i="17"/>
  <c r="J22" i="17"/>
  <c r="L22" i="17" s="1"/>
  <c r="D22" i="17"/>
  <c r="B22" i="17"/>
  <c r="A22" i="17"/>
  <c r="K21" i="17"/>
  <c r="G21" i="17"/>
  <c r="I21" i="17" s="1"/>
  <c r="J21" i="17" s="1"/>
  <c r="L21" i="17" s="1"/>
  <c r="D21" i="17"/>
  <c r="D21" i="18" s="1"/>
  <c r="C21" i="17"/>
  <c r="B21" i="17"/>
  <c r="A21" i="17"/>
  <c r="K20" i="17"/>
  <c r="D20" i="17"/>
  <c r="D20" i="18" s="1"/>
  <c r="B20" i="17"/>
  <c r="A20" i="17"/>
  <c r="N19" i="17"/>
  <c r="K19" i="17"/>
  <c r="D19" i="17"/>
  <c r="D19" i="18" s="1"/>
  <c r="B19" i="17"/>
  <c r="A19" i="17"/>
  <c r="K18" i="17"/>
  <c r="H18" i="17"/>
  <c r="D18" i="17"/>
  <c r="D18" i="18" s="1"/>
  <c r="B18" i="17"/>
  <c r="A18" i="17"/>
  <c r="K17" i="17"/>
  <c r="G17" i="17"/>
  <c r="D17" i="17"/>
  <c r="D17" i="18" s="1"/>
  <c r="C17" i="17"/>
  <c r="B17" i="17"/>
  <c r="A17" i="17"/>
  <c r="N16" i="17"/>
  <c r="K16" i="17"/>
  <c r="G16" i="17"/>
  <c r="D16" i="17"/>
  <c r="B16" i="17"/>
  <c r="A16" i="17"/>
  <c r="N15" i="17"/>
  <c r="K15" i="17"/>
  <c r="D15" i="17"/>
  <c r="D15" i="18" s="1"/>
  <c r="C15" i="17"/>
  <c r="B15" i="17"/>
  <c r="A15" i="17"/>
  <c r="K14" i="17"/>
  <c r="D14" i="17"/>
  <c r="D14" i="18" s="1"/>
  <c r="E14" i="18" s="1"/>
  <c r="C14" i="17"/>
  <c r="B14" i="17"/>
  <c r="A14" i="17"/>
  <c r="K13" i="17"/>
  <c r="H13" i="17"/>
  <c r="D13" i="17"/>
  <c r="D13" i="18" s="1"/>
  <c r="C13" i="17"/>
  <c r="B13" i="17"/>
  <c r="A13" i="17"/>
  <c r="K12" i="17"/>
  <c r="G12" i="17"/>
  <c r="I12" i="17" s="1"/>
  <c r="J12" i="17" s="1"/>
  <c r="L12" i="17" s="1"/>
  <c r="D12" i="17"/>
  <c r="D12" i="18" s="1"/>
  <c r="B12" i="17"/>
  <c r="A12" i="17"/>
  <c r="K11" i="17"/>
  <c r="D11" i="17"/>
  <c r="B11" i="17"/>
  <c r="A11" i="17"/>
  <c r="P10" i="17"/>
  <c r="P11" i="17" s="1"/>
  <c r="P12" i="17" s="1"/>
  <c r="P13" i="17" s="1"/>
  <c r="P14" i="17" s="1"/>
  <c r="P15" i="17" s="1"/>
  <c r="P16" i="17" s="1"/>
  <c r="P17" i="17" s="1"/>
  <c r="P18" i="17" s="1"/>
  <c r="P19" i="17" s="1"/>
  <c r="P20" i="17" s="1"/>
  <c r="P21" i="17" s="1"/>
  <c r="P22" i="17" s="1"/>
  <c r="P23" i="17" s="1"/>
  <c r="P24" i="17" s="1"/>
  <c r="P25" i="17" s="1"/>
  <c r="P26" i="17" s="1"/>
  <c r="P27" i="17" s="1"/>
  <c r="P28" i="17" s="1"/>
  <c r="P29" i="17" s="1"/>
  <c r="P30" i="17" s="1"/>
  <c r="P31" i="17" s="1"/>
  <c r="P32" i="17" s="1"/>
  <c r="P33" i="17" s="1"/>
  <c r="P34" i="17" s="1"/>
  <c r="P35" i="17" s="1"/>
  <c r="P36" i="17" s="1"/>
  <c r="P37" i="17" s="1"/>
  <c r="P38" i="17" s="1"/>
  <c r="P39" i="17" s="1"/>
  <c r="P40" i="17" s="1"/>
  <c r="P41" i="17" s="1"/>
  <c r="P42" i="17" s="1"/>
  <c r="P43" i="17" s="1"/>
  <c r="P44" i="17" s="1"/>
  <c r="P45" i="17" s="1"/>
  <c r="N10" i="17"/>
  <c r="K10" i="17"/>
  <c r="D10" i="17"/>
  <c r="B10" i="17"/>
  <c r="A10" i="17"/>
  <c r="K9" i="17"/>
  <c r="H9" i="17"/>
  <c r="D9" i="17"/>
  <c r="C9" i="17"/>
  <c r="B9" i="17"/>
  <c r="A9" i="17"/>
  <c r="P8" i="17"/>
  <c r="P9" i="17" s="1"/>
  <c r="K8" i="17"/>
  <c r="D8" i="17"/>
  <c r="D8" i="18" s="1"/>
  <c r="E8" i="18" s="1"/>
  <c r="C8" i="17"/>
  <c r="B8" i="17"/>
  <c r="A8" i="17"/>
  <c r="N7" i="17"/>
  <c r="M7" i="17"/>
  <c r="K7" i="17"/>
  <c r="H7" i="17"/>
  <c r="D7" i="17"/>
  <c r="B7" i="17"/>
  <c r="A7" i="17"/>
  <c r="N6" i="17"/>
  <c r="M6" i="17"/>
  <c r="K6" i="17"/>
  <c r="H6" i="17"/>
  <c r="I6" i="17" s="1"/>
  <c r="J6" i="17" s="1"/>
  <c r="L6" i="17" s="1"/>
  <c r="O6" i="17" s="1"/>
  <c r="G6" i="17"/>
  <c r="D6" i="17"/>
  <c r="D6" i="18" s="1"/>
  <c r="B6" i="17"/>
  <c r="A6" i="17"/>
  <c r="P5" i="17"/>
  <c r="P6" i="17" s="1"/>
  <c r="P7" i="17" s="1"/>
  <c r="K5" i="17"/>
  <c r="G5" i="17"/>
  <c r="D5" i="17"/>
  <c r="D5" i="18" s="1"/>
  <c r="B5" i="17"/>
  <c r="A5" i="17"/>
  <c r="O60" i="16"/>
  <c r="L60" i="16"/>
  <c r="J60" i="16"/>
  <c r="N60" i="16" s="1"/>
  <c r="J59" i="16"/>
  <c r="L58" i="16"/>
  <c r="J58" i="16"/>
  <c r="N58" i="16" s="1"/>
  <c r="N57" i="16"/>
  <c r="L57" i="16"/>
  <c r="J57" i="16"/>
  <c r="J56" i="16"/>
  <c r="N55" i="16"/>
  <c r="L55" i="16"/>
  <c r="J55" i="16"/>
  <c r="J54" i="16"/>
  <c r="O53" i="16"/>
  <c r="N53" i="16"/>
  <c r="L53" i="16"/>
  <c r="J53" i="16"/>
  <c r="C53" i="16"/>
  <c r="L52" i="16"/>
  <c r="J52" i="16"/>
  <c r="N52" i="16" s="1"/>
  <c r="C52" i="16"/>
  <c r="J51" i="16"/>
  <c r="L51" i="16" s="1"/>
  <c r="J50" i="16"/>
  <c r="O49" i="16"/>
  <c r="N49" i="16"/>
  <c r="L49" i="16"/>
  <c r="J49" i="16"/>
  <c r="N48" i="16"/>
  <c r="O48" i="16" s="1"/>
  <c r="L48" i="16"/>
  <c r="J48" i="16"/>
  <c r="N47" i="16"/>
  <c r="J47" i="16"/>
  <c r="L47" i="16" s="1"/>
  <c r="O47" i="16" s="1"/>
  <c r="C47" i="16"/>
  <c r="J46" i="16"/>
  <c r="N46" i="16" s="1"/>
  <c r="J45" i="16"/>
  <c r="N45" i="16" s="1"/>
  <c r="C45" i="16"/>
  <c r="N44" i="16"/>
  <c r="L44" i="16"/>
  <c r="O44" i="16" s="1"/>
  <c r="J44" i="16"/>
  <c r="C44" i="16"/>
  <c r="O43" i="16"/>
  <c r="N43" i="16"/>
  <c r="L43" i="16"/>
  <c r="J43" i="16"/>
  <c r="N42" i="16"/>
  <c r="L42" i="16"/>
  <c r="O42" i="16" s="1"/>
  <c r="J42" i="16"/>
  <c r="C42" i="16"/>
  <c r="J41" i="16"/>
  <c r="C41" i="16"/>
  <c r="L40" i="16"/>
  <c r="O40" i="16" s="1"/>
  <c r="J40" i="16"/>
  <c r="N40" i="16" s="1"/>
  <c r="N39" i="16"/>
  <c r="O39" i="16" s="1"/>
  <c r="L39" i="16"/>
  <c r="J39" i="16"/>
  <c r="C39" i="16"/>
  <c r="O38" i="16"/>
  <c r="N38" i="16"/>
  <c r="L38" i="16"/>
  <c r="J38" i="16"/>
  <c r="N37" i="16"/>
  <c r="L37" i="16"/>
  <c r="J37" i="16"/>
  <c r="C37" i="16"/>
  <c r="J36" i="16"/>
  <c r="N36" i="16" s="1"/>
  <c r="C36" i="16"/>
  <c r="J35" i="16"/>
  <c r="N35" i="16" s="1"/>
  <c r="J34" i="16"/>
  <c r="N34" i="16" s="1"/>
  <c r="C34" i="16"/>
  <c r="J33" i="16"/>
  <c r="N33" i="16" s="1"/>
  <c r="J32" i="16"/>
  <c r="N32" i="16" s="1"/>
  <c r="N31" i="16"/>
  <c r="J31" i="16"/>
  <c r="L31" i="16" s="1"/>
  <c r="O31" i="16" s="1"/>
  <c r="C31" i="16"/>
  <c r="N30" i="16"/>
  <c r="L30" i="16"/>
  <c r="O30" i="16" s="1"/>
  <c r="J30" i="16"/>
  <c r="C30" i="16"/>
  <c r="N29" i="16"/>
  <c r="L29" i="16"/>
  <c r="O29" i="16" s="1"/>
  <c r="J29" i="16"/>
  <c r="O28" i="16"/>
  <c r="N28" i="16"/>
  <c r="J28" i="16"/>
  <c r="L28" i="16" s="1"/>
  <c r="C28" i="16"/>
  <c r="L27" i="16"/>
  <c r="O27" i="16" s="1"/>
  <c r="J27" i="16"/>
  <c r="N27" i="16" s="1"/>
  <c r="J26" i="16"/>
  <c r="N26" i="16" s="1"/>
  <c r="J25" i="16"/>
  <c r="C25" i="16"/>
  <c r="J24" i="16"/>
  <c r="N24" i="16" s="1"/>
  <c r="L23" i="16"/>
  <c r="O23" i="16" s="1"/>
  <c r="J23" i="16"/>
  <c r="N23" i="16" s="1"/>
  <c r="N22" i="16"/>
  <c r="J22" i="16"/>
  <c r="L22" i="16" s="1"/>
  <c r="O22" i="16" s="1"/>
  <c r="C22" i="16"/>
  <c r="J21" i="16"/>
  <c r="N21" i="16" s="1"/>
  <c r="C21" i="16"/>
  <c r="N20" i="16"/>
  <c r="L20" i="16"/>
  <c r="O20" i="16" s="1"/>
  <c r="J20" i="16"/>
  <c r="O19" i="16"/>
  <c r="N19" i="16"/>
  <c r="J19" i="16"/>
  <c r="L19" i="16" s="1"/>
  <c r="O18" i="16"/>
  <c r="N18" i="16"/>
  <c r="L18" i="16"/>
  <c r="J18" i="16"/>
  <c r="J17" i="16"/>
  <c r="C17" i="16"/>
  <c r="J16" i="16"/>
  <c r="N16" i="16" s="1"/>
  <c r="J15" i="16"/>
  <c r="C15" i="16"/>
  <c r="L14" i="16"/>
  <c r="O14" i="16" s="1"/>
  <c r="J14" i="16"/>
  <c r="N14" i="16" s="1"/>
  <c r="O13" i="16"/>
  <c r="N13" i="16"/>
  <c r="L13" i="16"/>
  <c r="J13" i="16"/>
  <c r="C13" i="16"/>
  <c r="J12" i="16"/>
  <c r="C12" i="16"/>
  <c r="J11" i="16"/>
  <c r="N11" i="16" s="1"/>
  <c r="C11" i="16"/>
  <c r="J10" i="16"/>
  <c r="C10" i="16"/>
  <c r="J9" i="16"/>
  <c r="N9" i="16" s="1"/>
  <c r="C9" i="16"/>
  <c r="L8" i="16"/>
  <c r="O8" i="16" s="1"/>
  <c r="J8" i="16"/>
  <c r="N8" i="16" s="1"/>
  <c r="C8" i="16"/>
  <c r="O7" i="16"/>
  <c r="N7" i="16"/>
  <c r="J7" i="16"/>
  <c r="L7" i="16" s="1"/>
  <c r="C7" i="16"/>
  <c r="J6" i="16"/>
  <c r="L5" i="16"/>
  <c r="J5" i="16"/>
  <c r="N5" i="16" s="1"/>
  <c r="C5" i="16"/>
  <c r="Q44" i="15"/>
  <c r="N44" i="15"/>
  <c r="F44" i="20" s="1"/>
  <c r="M44" i="15"/>
  <c r="O44" i="15" s="1"/>
  <c r="K44" i="15"/>
  <c r="C44" i="20" s="1"/>
  <c r="N43" i="15"/>
  <c r="K43" i="15"/>
  <c r="Q42" i="15"/>
  <c r="K42" i="15"/>
  <c r="C43" i="17" s="1"/>
  <c r="Q41" i="15"/>
  <c r="N41" i="15"/>
  <c r="M41" i="15"/>
  <c r="O41" i="15" s="1"/>
  <c r="K41" i="15"/>
  <c r="N40" i="15"/>
  <c r="F40" i="20" s="1"/>
  <c r="K40" i="15"/>
  <c r="N39" i="15"/>
  <c r="F39" i="20" s="1"/>
  <c r="K39" i="15"/>
  <c r="Q39" i="15" s="1"/>
  <c r="Q38" i="15"/>
  <c r="N38" i="15"/>
  <c r="M38" i="15"/>
  <c r="O38" i="15" s="1"/>
  <c r="K38" i="15"/>
  <c r="Q37" i="15"/>
  <c r="N37" i="15"/>
  <c r="M37" i="15"/>
  <c r="K37" i="15"/>
  <c r="N36" i="15"/>
  <c r="F36" i="20" s="1"/>
  <c r="K36" i="15"/>
  <c r="N35" i="15"/>
  <c r="K35" i="15"/>
  <c r="N34" i="15"/>
  <c r="K34" i="15"/>
  <c r="Q33" i="15"/>
  <c r="N33" i="15"/>
  <c r="M33" i="15"/>
  <c r="K33" i="15"/>
  <c r="C34" i="17" s="1"/>
  <c r="Q32" i="15"/>
  <c r="N32" i="15"/>
  <c r="M32" i="15"/>
  <c r="O32" i="15" s="1"/>
  <c r="K32" i="15"/>
  <c r="C32" i="20" s="1"/>
  <c r="N31" i="15"/>
  <c r="F31" i="20" s="1"/>
  <c r="K31" i="15"/>
  <c r="N30" i="15"/>
  <c r="K30" i="15"/>
  <c r="Q29" i="15"/>
  <c r="N29" i="15"/>
  <c r="M29" i="15"/>
  <c r="K29" i="15"/>
  <c r="C29" i="20" s="1"/>
  <c r="Q28" i="15"/>
  <c r="O28" i="15"/>
  <c r="N28" i="15"/>
  <c r="F28" i="20" s="1"/>
  <c r="M28" i="15"/>
  <c r="K28" i="15"/>
  <c r="C28" i="20" s="1"/>
  <c r="N27" i="15"/>
  <c r="F27" i="20" s="1"/>
  <c r="K27" i="15"/>
  <c r="N26" i="15"/>
  <c r="K26" i="15"/>
  <c r="Q25" i="15"/>
  <c r="N25" i="15"/>
  <c r="M25" i="15"/>
  <c r="O25" i="15" s="1"/>
  <c r="K25" i="15"/>
  <c r="Q24" i="15"/>
  <c r="N24" i="15"/>
  <c r="F25" i="18" s="1"/>
  <c r="M24" i="15"/>
  <c r="O24" i="15" s="1"/>
  <c r="K24" i="15"/>
  <c r="C24" i="20" s="1"/>
  <c r="N23" i="15"/>
  <c r="F23" i="20" s="1"/>
  <c r="K23" i="15"/>
  <c r="N22" i="15"/>
  <c r="M22" i="15"/>
  <c r="O22" i="15" s="1"/>
  <c r="K22" i="15"/>
  <c r="Q21" i="15"/>
  <c r="N21" i="15"/>
  <c r="G22" i="17" s="1"/>
  <c r="I22" i="17" s="1"/>
  <c r="M21" i="15"/>
  <c r="O21" i="15" s="1"/>
  <c r="K21" i="15"/>
  <c r="Q20" i="15"/>
  <c r="N20" i="15"/>
  <c r="F20" i="20" s="1"/>
  <c r="M20" i="15"/>
  <c r="O20" i="15" s="1"/>
  <c r="K20" i="15"/>
  <c r="N19" i="15"/>
  <c r="M19" i="15"/>
  <c r="K19" i="15"/>
  <c r="N18" i="15"/>
  <c r="G19" i="17" s="1"/>
  <c r="K18" i="15"/>
  <c r="Q17" i="15"/>
  <c r="N17" i="15"/>
  <c r="K17" i="15"/>
  <c r="Q16" i="15"/>
  <c r="O16" i="15"/>
  <c r="N16" i="15"/>
  <c r="M16" i="15"/>
  <c r="K16" i="15"/>
  <c r="N15" i="15"/>
  <c r="F15" i="20" s="1"/>
  <c r="M15" i="15"/>
  <c r="O15" i="15" s="1"/>
  <c r="K15" i="15"/>
  <c r="N14" i="15"/>
  <c r="K14" i="15"/>
  <c r="C15" i="18" s="1"/>
  <c r="Q13" i="15"/>
  <c r="O13" i="15"/>
  <c r="N13" i="15"/>
  <c r="M13" i="15"/>
  <c r="K13" i="15"/>
  <c r="Q12" i="15"/>
  <c r="O12" i="15"/>
  <c r="N12" i="15"/>
  <c r="F12" i="20" s="1"/>
  <c r="M12" i="15"/>
  <c r="K12" i="15"/>
  <c r="C13" i="18" s="1"/>
  <c r="N11" i="15"/>
  <c r="F11" i="20" s="1"/>
  <c r="K11" i="15"/>
  <c r="N10" i="15"/>
  <c r="K10" i="15"/>
  <c r="C11" i="18" s="1"/>
  <c r="Q9" i="15"/>
  <c r="N9" i="15"/>
  <c r="M9" i="15"/>
  <c r="O9" i="15" s="1"/>
  <c r="K9" i="15"/>
  <c r="Q8" i="15"/>
  <c r="O8" i="15"/>
  <c r="N8" i="15"/>
  <c r="M8" i="15"/>
  <c r="K8" i="15"/>
  <c r="C8" i="20" s="1"/>
  <c r="N7" i="15"/>
  <c r="F7" i="20" s="1"/>
  <c r="M7" i="15"/>
  <c r="O7" i="15" s="1"/>
  <c r="K7" i="15"/>
  <c r="Q6" i="15"/>
  <c r="N6" i="15"/>
  <c r="K6" i="15"/>
  <c r="C7" i="18" s="1"/>
  <c r="N5" i="15"/>
  <c r="K5" i="15"/>
  <c r="Q4" i="15"/>
  <c r="K4" i="15"/>
  <c r="E21" i="14"/>
  <c r="E19" i="14"/>
  <c r="E17" i="14"/>
  <c r="E15" i="14"/>
  <c r="E13" i="14"/>
  <c r="E11" i="14"/>
  <c r="B6" i="14"/>
  <c r="B5" i="14"/>
  <c r="B4" i="14"/>
  <c r="C3" i="14"/>
  <c r="B3" i="14"/>
  <c r="C2" i="14"/>
  <c r="B2" i="14"/>
  <c r="B1" i="14"/>
  <c r="C1" i="14" s="1"/>
  <c r="C98" i="13"/>
  <c r="C97" i="13"/>
  <c r="C96" i="13"/>
  <c r="D95" i="13"/>
  <c r="C95" i="13"/>
  <c r="B95" i="13" s="1"/>
  <c r="D94" i="13"/>
  <c r="C94" i="13"/>
  <c r="B94" i="13"/>
  <c r="M93" i="13"/>
  <c r="H93" i="13"/>
  <c r="C93" i="13"/>
  <c r="M92" i="13"/>
  <c r="C92" i="13"/>
  <c r="C91" i="13"/>
  <c r="M90" i="13"/>
  <c r="C90" i="13"/>
  <c r="M89" i="13"/>
  <c r="C89" i="13"/>
  <c r="M88" i="13"/>
  <c r="C88" i="13"/>
  <c r="D87" i="13"/>
  <c r="B87" i="13" s="1"/>
  <c r="C87" i="13"/>
  <c r="C86" i="13"/>
  <c r="C85" i="13"/>
  <c r="C84" i="13"/>
  <c r="C83" i="13"/>
  <c r="C82" i="13"/>
  <c r="C81" i="13"/>
  <c r="M80" i="13"/>
  <c r="C80" i="13"/>
  <c r="M79" i="13"/>
  <c r="C79" i="13"/>
  <c r="C78" i="13"/>
  <c r="C77" i="13"/>
  <c r="C76" i="13"/>
  <c r="C75" i="13"/>
  <c r="M74" i="13"/>
  <c r="C74" i="13"/>
  <c r="M73" i="13"/>
  <c r="C73" i="13"/>
  <c r="C72" i="13"/>
  <c r="C71" i="13"/>
  <c r="M70" i="13"/>
  <c r="C70" i="13"/>
  <c r="M69" i="13"/>
  <c r="C69" i="13"/>
  <c r="M68" i="13"/>
  <c r="C68" i="13"/>
  <c r="M67" i="13"/>
  <c r="C67" i="13"/>
  <c r="C66" i="13"/>
  <c r="C65" i="13"/>
  <c r="C64" i="13"/>
  <c r="C63" i="13"/>
  <c r="C62" i="13"/>
  <c r="C61" i="13"/>
  <c r="C60" i="13"/>
  <c r="C59" i="13"/>
  <c r="C58" i="13"/>
  <c r="C57" i="13"/>
  <c r="C56" i="13"/>
  <c r="M55" i="13"/>
  <c r="C55" i="13"/>
  <c r="C54" i="13"/>
  <c r="C53" i="13"/>
  <c r="C52" i="13"/>
  <c r="C51" i="13"/>
  <c r="C50" i="13"/>
  <c r="C49" i="13"/>
  <c r="D48" i="13"/>
  <c r="C48" i="13"/>
  <c r="M47" i="13"/>
  <c r="C47" i="13"/>
  <c r="M46" i="13"/>
  <c r="C46" i="13"/>
  <c r="C45" i="13"/>
  <c r="C44" i="13"/>
  <c r="D43" i="13"/>
  <c r="C43" i="13"/>
  <c r="B43" i="13"/>
  <c r="C42" i="13"/>
  <c r="C41" i="13"/>
  <c r="C40" i="13"/>
  <c r="C39" i="13"/>
  <c r="C38" i="13"/>
  <c r="C37" i="13"/>
  <c r="C36" i="13"/>
  <c r="C35" i="13"/>
  <c r="C34" i="13"/>
  <c r="D33" i="13"/>
  <c r="C33" i="13"/>
  <c r="K32" i="13"/>
  <c r="C32" i="13"/>
  <c r="K31" i="13"/>
  <c r="C31" i="13"/>
  <c r="D30" i="13"/>
  <c r="B30" i="13" s="1"/>
  <c r="C30" i="13"/>
  <c r="H29" i="13"/>
  <c r="C29" i="13"/>
  <c r="C28" i="13"/>
  <c r="C27" i="13"/>
  <c r="C26" i="13"/>
  <c r="C25" i="13"/>
  <c r="D24" i="13"/>
  <c r="C24" i="13"/>
  <c r="B24" i="13" s="1"/>
  <c r="C23" i="13"/>
  <c r="C22" i="13"/>
  <c r="C21" i="13"/>
  <c r="C20" i="13"/>
  <c r="C19" i="13"/>
  <c r="C18" i="13"/>
  <c r="C17" i="13"/>
  <c r="C16" i="13"/>
  <c r="C15" i="13"/>
  <c r="C14" i="13"/>
  <c r="C13" i="13"/>
  <c r="C12" i="13"/>
  <c r="C11" i="13"/>
  <c r="H10" i="13"/>
  <c r="C10" i="13"/>
  <c r="C9" i="13"/>
  <c r="K6" i="13"/>
  <c r="P5" i="13"/>
  <c r="B4" i="2" s="1"/>
  <c r="G5" i="13"/>
  <c r="P4" i="13"/>
  <c r="G4" i="13"/>
  <c r="G3" i="13"/>
  <c r="H3" i="13" s="1"/>
  <c r="H2" i="13"/>
  <c r="G2" i="13"/>
  <c r="G1" i="13"/>
  <c r="H1" i="13" s="1"/>
  <c r="A11" i="12"/>
  <c r="A12" i="12" s="1"/>
  <c r="B10" i="12"/>
  <c r="A10" i="12"/>
  <c r="A9" i="12"/>
  <c r="B9" i="12" s="1"/>
  <c r="B8" i="12"/>
  <c r="B6" i="12"/>
  <c r="B5" i="12"/>
  <c r="B4" i="12"/>
  <c r="C3" i="12"/>
  <c r="B3" i="12"/>
  <c r="C2" i="12"/>
  <c r="B2" i="12"/>
  <c r="C1" i="12"/>
  <c r="B1" i="12"/>
  <c r="E15" i="11"/>
  <c r="D15" i="11"/>
  <c r="C15" i="11"/>
  <c r="F13" i="11"/>
  <c r="F12" i="11"/>
  <c r="F15" i="11" s="1"/>
  <c r="E12" i="11"/>
  <c r="F10" i="11"/>
  <c r="A7" i="11"/>
  <c r="A6" i="11"/>
  <c r="A5" i="11"/>
  <c r="A4" i="11"/>
  <c r="B4" i="11" s="1"/>
  <c r="A3" i="11"/>
  <c r="B3" i="11" s="1"/>
  <c r="A2" i="11"/>
  <c r="B2" i="11" s="1"/>
  <c r="K25" i="10"/>
  <c r="B24" i="10"/>
  <c r="K22" i="10"/>
  <c r="K21" i="10"/>
  <c r="N16" i="10" s="1"/>
  <c r="K18" i="10"/>
  <c r="N14" i="10" s="1"/>
  <c r="N15" i="10"/>
  <c r="N13" i="10"/>
  <c r="K12" i="10"/>
  <c r="E9" i="10"/>
  <c r="E8" i="10"/>
  <c r="B8" i="10"/>
  <c r="E7" i="10"/>
  <c r="B7" i="10"/>
  <c r="B26" i="10" s="1"/>
  <c r="E6" i="10"/>
  <c r="F6" i="10" s="1"/>
  <c r="E5" i="10"/>
  <c r="F5" i="10" s="1"/>
  <c r="E4" i="10"/>
  <c r="F4" i="10" s="1"/>
  <c r="B4" i="10"/>
  <c r="E47" i="9"/>
  <c r="C28" i="9"/>
  <c r="Q27" i="9"/>
  <c r="G27" i="9"/>
  <c r="E27" i="9"/>
  <c r="Q26" i="9"/>
  <c r="N26" i="9"/>
  <c r="M26" i="9"/>
  <c r="E26" i="9"/>
  <c r="G25" i="9"/>
  <c r="D28" i="9"/>
  <c r="C23" i="9"/>
  <c r="Q22" i="9"/>
  <c r="M22" i="9"/>
  <c r="M27" i="9" s="1"/>
  <c r="I22" i="9"/>
  <c r="I27" i="9" s="1"/>
  <c r="G22" i="9"/>
  <c r="E22" i="9"/>
  <c r="B22" i="9"/>
  <c r="B27" i="9" s="1"/>
  <c r="M21" i="9"/>
  <c r="G21" i="9"/>
  <c r="G26" i="9" s="1"/>
  <c r="P20" i="9"/>
  <c r="P25" i="9" s="1"/>
  <c r="O20" i="9"/>
  <c r="O25" i="9" s="1"/>
  <c r="M20" i="9"/>
  <c r="M25" i="9" s="1"/>
  <c r="G20" i="9"/>
  <c r="D23" i="9"/>
  <c r="B20" i="9"/>
  <c r="B25" i="9" s="1"/>
  <c r="C18" i="9"/>
  <c r="Q17" i="9"/>
  <c r="P17" i="9"/>
  <c r="P22" i="9" s="1"/>
  <c r="P27" i="9" s="1"/>
  <c r="O17" i="9"/>
  <c r="O22" i="9" s="1"/>
  <c r="O27" i="9" s="1"/>
  <c r="N17" i="9"/>
  <c r="N22" i="9" s="1"/>
  <c r="N27" i="9" s="1"/>
  <c r="M17" i="9"/>
  <c r="G17" i="9"/>
  <c r="E17" i="9"/>
  <c r="B17" i="9"/>
  <c r="Q16" i="9"/>
  <c r="Q21" i="9" s="1"/>
  <c r="P16" i="9"/>
  <c r="P21" i="9" s="1"/>
  <c r="P26" i="9" s="1"/>
  <c r="O16" i="9"/>
  <c r="O21" i="9" s="1"/>
  <c r="O26" i="9" s="1"/>
  <c r="N16" i="9"/>
  <c r="N21" i="9" s="1"/>
  <c r="M16" i="9"/>
  <c r="G16" i="9"/>
  <c r="E16" i="9"/>
  <c r="E21" i="9" s="1"/>
  <c r="B16" i="9"/>
  <c r="B21" i="9" s="1"/>
  <c r="B26" i="9" s="1"/>
  <c r="Q15" i="9"/>
  <c r="Q20" i="9" s="1"/>
  <c r="Q25" i="9" s="1"/>
  <c r="P15" i="9"/>
  <c r="O15" i="9"/>
  <c r="N15" i="9"/>
  <c r="N20" i="9" s="1"/>
  <c r="N25" i="9" s="1"/>
  <c r="M15" i="9"/>
  <c r="G15" i="9"/>
  <c r="E15" i="9"/>
  <c r="E20" i="9" s="1"/>
  <c r="E25" i="9" s="1"/>
  <c r="E46" i="9"/>
  <c r="E48" i="9" s="1"/>
  <c r="B15" i="9"/>
  <c r="D13" i="9"/>
  <c r="C13" i="9"/>
  <c r="I12" i="9"/>
  <c r="I17" i="9" s="1"/>
  <c r="L12" i="9"/>
  <c r="I11" i="9"/>
  <c r="I16" i="9" s="1"/>
  <c r="I21" i="9" s="1"/>
  <c r="I26" i="9" s="1"/>
  <c r="E11" i="9"/>
  <c r="I10" i="9"/>
  <c r="I15" i="9" s="1"/>
  <c r="I20" i="9" s="1"/>
  <c r="I25" i="9" s="1"/>
  <c r="L10" i="9"/>
  <c r="C3" i="9"/>
  <c r="B3" i="9"/>
  <c r="C2" i="9"/>
  <c r="B2" i="9"/>
  <c r="C1" i="9"/>
  <c r="B1" i="9"/>
  <c r="E34" i="8"/>
  <c r="E30" i="8"/>
  <c r="E25" i="8"/>
  <c r="E24" i="8"/>
  <c r="E19" i="8"/>
  <c r="E18" i="8"/>
  <c r="E15" i="8"/>
  <c r="G27" i="7"/>
  <c r="G26" i="7"/>
  <c r="G25" i="7"/>
  <c r="G24" i="7"/>
  <c r="G23" i="7"/>
  <c r="G22" i="7"/>
  <c r="G14" i="7"/>
  <c r="G13" i="7"/>
  <c r="A12" i="7"/>
  <c r="G11" i="7"/>
  <c r="A5" i="7"/>
  <c r="G22" i="6"/>
  <c r="G21" i="6"/>
  <c r="G20" i="6"/>
  <c r="G19" i="6"/>
  <c r="G18" i="6"/>
  <c r="G17" i="6"/>
  <c r="G16" i="6"/>
  <c r="G15" i="6"/>
  <c r="G14" i="6"/>
  <c r="G13" i="6"/>
  <c r="G12" i="6"/>
  <c r="A5" i="6"/>
  <c r="K32" i="5"/>
  <c r="H32" i="5"/>
  <c r="K26" i="5"/>
  <c r="H26" i="5"/>
  <c r="K20" i="5"/>
  <c r="H12" i="5"/>
  <c r="K11" i="5"/>
  <c r="K12" i="5" s="1"/>
  <c r="H15" i="5"/>
  <c r="L7" i="5"/>
  <c r="L8" i="5" s="1"/>
  <c r="I8" i="5"/>
  <c r="M23" i="4"/>
  <c r="M22" i="4"/>
  <c r="M21" i="4"/>
  <c r="M20" i="4"/>
  <c r="G12" i="4"/>
  <c r="E12" i="4"/>
  <c r="L12" i="4" s="1"/>
  <c r="N7" i="4"/>
  <c r="G21" i="4" s="1"/>
  <c r="F7" i="4"/>
  <c r="N6" i="4"/>
  <c r="E20" i="4" s="1"/>
  <c r="F6" i="4"/>
  <c r="A5" i="4"/>
  <c r="G65" i="3"/>
  <c r="G64" i="3"/>
  <c r="G63" i="3"/>
  <c r="G62" i="3"/>
  <c r="G61" i="3"/>
  <c r="G60" i="3"/>
  <c r="G59" i="3"/>
  <c r="G51" i="3"/>
  <c r="G50" i="3"/>
  <c r="G49" i="3"/>
  <c r="G48" i="3"/>
  <c r="G52" i="3" s="1"/>
  <c r="G40" i="3"/>
  <c r="G39" i="3"/>
  <c r="G38" i="3"/>
  <c r="G37" i="3"/>
  <c r="G36" i="3"/>
  <c r="G35" i="3"/>
  <c r="G41" i="3" s="1"/>
  <c r="A27" i="3"/>
  <c r="A26" i="3"/>
  <c r="G25" i="3"/>
  <c r="A25" i="3"/>
  <c r="G24" i="3"/>
  <c r="G23" i="3"/>
  <c r="G22" i="3"/>
  <c r="G21" i="3"/>
  <c r="G20" i="3"/>
  <c r="G19" i="3"/>
  <c r="G18" i="3"/>
  <c r="G17" i="3"/>
  <c r="G16" i="3"/>
  <c r="G15" i="3"/>
  <c r="G14" i="3"/>
  <c r="G13" i="3"/>
  <c r="G12" i="3"/>
  <c r="G11" i="3"/>
  <c r="A5" i="3"/>
  <c r="G17" i="2"/>
  <c r="G16" i="2"/>
  <c r="G15" i="2"/>
  <c r="G14" i="2"/>
  <c r="G13" i="2"/>
  <c r="G12" i="2"/>
  <c r="G11" i="2"/>
  <c r="B3" i="2"/>
  <c r="B2" i="2"/>
  <c r="B1" i="2"/>
  <c r="G16" i="1"/>
  <c r="L16" i="1" s="1"/>
  <c r="G15" i="1"/>
  <c r="L15" i="1" s="1"/>
  <c r="L14" i="1"/>
  <c r="G14" i="1"/>
  <c r="G13" i="1"/>
  <c r="L13" i="1" s="1"/>
  <c r="G12" i="1"/>
  <c r="L12" i="1" s="1"/>
  <c r="L11" i="1"/>
  <c r="G11" i="1"/>
  <c r="A5" i="1"/>
  <c r="B48" i="13" l="1"/>
  <c r="K14" i="5"/>
  <c r="I22" i="25"/>
  <c r="L17" i="1"/>
  <c r="I19" i="25"/>
  <c r="I32" i="25"/>
  <c r="C144" i="25"/>
  <c r="E144" i="25" s="1"/>
  <c r="N29" i="25"/>
  <c r="O29" i="25" s="1"/>
  <c r="N37" i="25"/>
  <c r="Q37" i="25" s="1"/>
  <c r="I20" i="25"/>
  <c r="N26" i="25"/>
  <c r="O26" i="25" s="1"/>
  <c r="R28" i="25"/>
  <c r="S28" i="25" s="1"/>
  <c r="R7" i="25"/>
  <c r="S7" i="25" s="1"/>
  <c r="K49" i="25"/>
  <c r="K33" i="25"/>
  <c r="I10" i="25"/>
  <c r="N24" i="25"/>
  <c r="O24" i="25" s="1"/>
  <c r="J45" i="25"/>
  <c r="L45" i="25" s="1"/>
  <c r="J51" i="25"/>
  <c r="I35" i="25"/>
  <c r="R43" i="25"/>
  <c r="S43" i="25" s="1"/>
  <c r="I47" i="25"/>
  <c r="I31" i="25"/>
  <c r="I13" i="25"/>
  <c r="J16" i="25"/>
  <c r="I18" i="25"/>
  <c r="R16" i="25"/>
  <c r="S16" i="25" s="1"/>
  <c r="K55" i="25"/>
  <c r="R60" i="25"/>
  <c r="S60" i="25" s="1"/>
  <c r="C146" i="25"/>
  <c r="Q146" i="25" s="1"/>
  <c r="N55" i="25"/>
  <c r="P55" i="25" s="1"/>
  <c r="R24" i="25"/>
  <c r="S24" i="25" s="1"/>
  <c r="I29" i="25"/>
  <c r="N12" i="25"/>
  <c r="P12" i="25" s="1"/>
  <c r="R61" i="25"/>
  <c r="S61" i="25" s="1"/>
  <c r="J15" i="25"/>
  <c r="L15" i="25" s="1"/>
  <c r="R12" i="25"/>
  <c r="S12" i="25" s="1"/>
  <c r="I28" i="25"/>
  <c r="G106" i="25"/>
  <c r="N106" i="25" s="1"/>
  <c r="O106" i="25" s="1"/>
  <c r="G117" i="25"/>
  <c r="N117" i="25" s="1"/>
  <c r="O117" i="25" s="1"/>
  <c r="N11" i="25"/>
  <c r="Q11" i="25" s="1"/>
  <c r="G16" i="25"/>
  <c r="J11" i="25"/>
  <c r="N53" i="25"/>
  <c r="Q53" i="25" s="1"/>
  <c r="K58" i="25"/>
  <c r="J60" i="25"/>
  <c r="N136" i="25"/>
  <c r="O136" i="25" s="1"/>
  <c r="K60" i="25"/>
  <c r="J41" i="25"/>
  <c r="N46" i="25"/>
  <c r="P46" i="25" s="1"/>
  <c r="R48" i="25"/>
  <c r="S48" i="25" s="1"/>
  <c r="N60" i="25"/>
  <c r="P60" i="25" s="1"/>
  <c r="C99" i="25"/>
  <c r="E99" i="25" s="1"/>
  <c r="F99" i="25" s="1"/>
  <c r="C137" i="25"/>
  <c r="Q137" i="25" s="1"/>
  <c r="G137" i="25"/>
  <c r="S137" i="25" s="1"/>
  <c r="I16" i="25"/>
  <c r="I33" i="25"/>
  <c r="I38" i="25"/>
  <c r="R21" i="25"/>
  <c r="S21" i="25" s="1"/>
  <c r="K36" i="25"/>
  <c r="C100" i="25"/>
  <c r="Q100" i="25" s="1"/>
  <c r="R19" i="25"/>
  <c r="S19" i="25" s="1"/>
  <c r="G31" i="25"/>
  <c r="R41" i="25"/>
  <c r="S41" i="25" s="1"/>
  <c r="E123" i="25"/>
  <c r="F123" i="25" s="1"/>
  <c r="J123" i="25" s="1"/>
  <c r="C149" i="25"/>
  <c r="E149" i="25" s="1"/>
  <c r="J22" i="25"/>
  <c r="I49" i="25"/>
  <c r="N52" i="25"/>
  <c r="Q52" i="25" s="1"/>
  <c r="I39" i="25"/>
  <c r="J47" i="25"/>
  <c r="L47" i="25" s="1"/>
  <c r="N102" i="25"/>
  <c r="O102" i="25" s="1"/>
  <c r="N32" i="25"/>
  <c r="Q32" i="25" s="1"/>
  <c r="R34" i="25"/>
  <c r="S34" i="25" s="1"/>
  <c r="C124" i="25"/>
  <c r="E124" i="25" s="1"/>
  <c r="G124" i="25"/>
  <c r="S124" i="25" s="1"/>
  <c r="J151" i="25"/>
  <c r="I25" i="25"/>
  <c r="R10" i="25"/>
  <c r="S10" i="25" s="1"/>
  <c r="R32" i="25"/>
  <c r="S32" i="25" s="1"/>
  <c r="Q115" i="25"/>
  <c r="K151" i="25"/>
  <c r="R151" i="25" s="1"/>
  <c r="N35" i="25"/>
  <c r="O35" i="25" s="1"/>
  <c r="N48" i="25"/>
  <c r="Q48" i="25" s="1"/>
  <c r="C126" i="25"/>
  <c r="Q126" i="25" s="1"/>
  <c r="C136" i="25"/>
  <c r="Q136" i="25" s="1"/>
  <c r="Q119" i="25"/>
  <c r="E119" i="25"/>
  <c r="F119" i="25" s="1"/>
  <c r="N7" i="25"/>
  <c r="P7" i="25" s="1"/>
  <c r="K32" i="25"/>
  <c r="I41" i="25"/>
  <c r="J53" i="25"/>
  <c r="L53" i="25" s="1"/>
  <c r="I60" i="25"/>
  <c r="C106" i="25"/>
  <c r="Q106" i="25" s="1"/>
  <c r="G113" i="25"/>
  <c r="S113" i="25" s="1"/>
  <c r="G143" i="25"/>
  <c r="N143" i="25" s="1"/>
  <c r="O143" i="25" s="1"/>
  <c r="J32" i="25"/>
  <c r="I37" i="25"/>
  <c r="N107" i="25"/>
  <c r="O107" i="25" s="1"/>
  <c r="J13" i="25"/>
  <c r="L13" i="25" s="1"/>
  <c r="K22" i="25"/>
  <c r="G47" i="25"/>
  <c r="G49" i="25"/>
  <c r="N22" i="25"/>
  <c r="O22" i="25" s="1"/>
  <c r="R37" i="25"/>
  <c r="S37" i="25" s="1"/>
  <c r="N45" i="25"/>
  <c r="Q45" i="25" s="1"/>
  <c r="Q125" i="25"/>
  <c r="C138" i="25"/>
  <c r="Q138" i="25" s="1"/>
  <c r="Q151" i="25"/>
  <c r="I44" i="25"/>
  <c r="I8" i="25"/>
  <c r="K40" i="25"/>
  <c r="I42" i="25"/>
  <c r="I54" i="25"/>
  <c r="I56" i="25"/>
  <c r="C109" i="25"/>
  <c r="Q109" i="25" s="1"/>
  <c r="C118" i="25"/>
  <c r="Q118" i="25" s="1"/>
  <c r="E133" i="25"/>
  <c r="F133" i="25" s="1"/>
  <c r="J133" i="25" s="1"/>
  <c r="S151" i="25"/>
  <c r="I58" i="25"/>
  <c r="J49" i="25"/>
  <c r="G11" i="25"/>
  <c r="R20" i="25"/>
  <c r="S20" i="25" s="1"/>
  <c r="G35" i="25"/>
  <c r="N49" i="25"/>
  <c r="P49" i="25" s="1"/>
  <c r="G10" i="25"/>
  <c r="J39" i="25"/>
  <c r="K13" i="25"/>
  <c r="G28" i="25"/>
  <c r="N33" i="25"/>
  <c r="Q33" i="25" s="1"/>
  <c r="R54" i="25"/>
  <c r="S54" i="25" s="1"/>
  <c r="N146" i="25"/>
  <c r="O146" i="25" s="1"/>
  <c r="N15" i="25"/>
  <c r="R40" i="25"/>
  <c r="S40" i="25" s="1"/>
  <c r="I11" i="25"/>
  <c r="N13" i="25"/>
  <c r="P13" i="25" s="1"/>
  <c r="K23" i="25"/>
  <c r="R49" i="25"/>
  <c r="S49" i="25" s="1"/>
  <c r="C104" i="25"/>
  <c r="Q104" i="25" s="1"/>
  <c r="N126" i="25"/>
  <c r="O126" i="25" s="1"/>
  <c r="G140" i="25"/>
  <c r="S140" i="25" s="1"/>
  <c r="G32" i="25"/>
  <c r="N8" i="25"/>
  <c r="P8" i="25" s="1"/>
  <c r="I5" i="25"/>
  <c r="K27" i="25"/>
  <c r="K11" i="25"/>
  <c r="R52" i="25"/>
  <c r="S52" i="25" s="1"/>
  <c r="G104" i="25"/>
  <c r="K104" i="25" s="1"/>
  <c r="R104" i="25" s="1"/>
  <c r="E147" i="25"/>
  <c r="F147" i="25" s="1"/>
  <c r="I51" i="25"/>
  <c r="R42" i="25"/>
  <c r="S42" i="25" s="1"/>
  <c r="Q111" i="25"/>
  <c r="I53" i="25"/>
  <c r="I14" i="25"/>
  <c r="G22" i="25"/>
  <c r="I21" i="25"/>
  <c r="J33" i="25"/>
  <c r="L33" i="25" s="1"/>
  <c r="N41" i="25"/>
  <c r="O41" i="25" s="1"/>
  <c r="C148" i="25"/>
  <c r="I61" i="25"/>
  <c r="G19" i="25"/>
  <c r="N40" i="25"/>
  <c r="P40" i="25" s="1"/>
  <c r="E98" i="25"/>
  <c r="F98" i="25" s="1"/>
  <c r="K53" i="25"/>
  <c r="E128" i="25"/>
  <c r="F128" i="25" s="1"/>
  <c r="L25" i="9"/>
  <c r="J11" i="20"/>
  <c r="J12" i="20" s="1"/>
  <c r="J13" i="20" s="1"/>
  <c r="J14" i="20" s="1"/>
  <c r="J15" i="20" s="1"/>
  <c r="J16" i="20" s="1"/>
  <c r="J17" i="20" s="1"/>
  <c r="J18" i="20" s="1"/>
  <c r="J19" i="20" s="1"/>
  <c r="J20" i="20" s="1"/>
  <c r="J21" i="20" s="1"/>
  <c r="J22" i="20" s="1"/>
  <c r="J23" i="20" s="1"/>
  <c r="J24" i="20" s="1"/>
  <c r="J25" i="20" s="1"/>
  <c r="J26" i="20" s="1"/>
  <c r="J27" i="20" s="1"/>
  <c r="J28" i="20" s="1"/>
  <c r="J29" i="20" s="1"/>
  <c r="J30" i="20" s="1"/>
  <c r="J31" i="20" s="1"/>
  <c r="J32" i="20" s="1"/>
  <c r="J33" i="20" s="1"/>
  <c r="J34" i="20" s="1"/>
  <c r="J35" i="20" s="1"/>
  <c r="J36" i="20" s="1"/>
  <c r="J37" i="20" s="1"/>
  <c r="J38" i="20" s="1"/>
  <c r="J39" i="20" s="1"/>
  <c r="J40" i="20" s="1"/>
  <c r="J41" i="20" s="1"/>
  <c r="J42" i="20" s="1"/>
  <c r="J43" i="20" s="1"/>
  <c r="J44" i="20" s="1"/>
  <c r="K44" i="20" s="1"/>
  <c r="K10" i="20"/>
  <c r="A13" i="12"/>
  <c r="B12" i="12"/>
  <c r="G18" i="2"/>
  <c r="L38" i="18"/>
  <c r="J38" i="18"/>
  <c r="M38" i="18" s="1"/>
  <c r="G28" i="7"/>
  <c r="H13" i="5"/>
  <c r="G66" i="3"/>
  <c r="L27" i="9"/>
  <c r="C6" i="18"/>
  <c r="E6" i="18" s="1"/>
  <c r="C5" i="20"/>
  <c r="E5" i="20" s="1"/>
  <c r="G5" i="20" s="1"/>
  <c r="Q5" i="15"/>
  <c r="C6" i="17"/>
  <c r="M5" i="15"/>
  <c r="O5" i="15" s="1"/>
  <c r="G23" i="17"/>
  <c r="I23" i="17" s="1"/>
  <c r="J23" i="17" s="1"/>
  <c r="L23" i="17" s="1"/>
  <c r="F23" i="18"/>
  <c r="F22" i="20"/>
  <c r="C18" i="18"/>
  <c r="C18" i="17"/>
  <c r="M17" i="15"/>
  <c r="O17" i="15" s="1"/>
  <c r="C17" i="20"/>
  <c r="E17" i="20" s="1"/>
  <c r="L15" i="16"/>
  <c r="N15" i="16"/>
  <c r="G45" i="18"/>
  <c r="I44" i="20"/>
  <c r="D18" i="9"/>
  <c r="G11" i="6" s="1"/>
  <c r="G23" i="6" s="1"/>
  <c r="E10" i="4"/>
  <c r="L10" i="4" s="1"/>
  <c r="F17" i="20"/>
  <c r="F18" i="18"/>
  <c r="G8" i="18"/>
  <c r="I39" i="20"/>
  <c r="K39" i="20"/>
  <c r="G10" i="4"/>
  <c r="E13" i="4"/>
  <c r="E22" i="4"/>
  <c r="L22" i="4" s="1"/>
  <c r="B6" i="10"/>
  <c r="B3" i="10"/>
  <c r="L24" i="16"/>
  <c r="O24" i="16" s="1"/>
  <c r="E18" i="18"/>
  <c r="G18" i="18" s="1"/>
  <c r="G15" i="4"/>
  <c r="G13" i="4"/>
  <c r="G22" i="4"/>
  <c r="L11" i="9"/>
  <c r="N17" i="10"/>
  <c r="N18" i="10" s="1"/>
  <c r="K28" i="10" s="1"/>
  <c r="P3" i="13" s="1"/>
  <c r="N17" i="16"/>
  <c r="L17" i="16"/>
  <c r="O17" i="16" s="1"/>
  <c r="G18" i="17"/>
  <c r="I18" i="17" s="1"/>
  <c r="J18" i="17" s="1"/>
  <c r="L18" i="17" s="1"/>
  <c r="G27" i="3"/>
  <c r="L22" i="9"/>
  <c r="C30" i="20"/>
  <c r="C31" i="18"/>
  <c r="C31" i="17"/>
  <c r="Q30" i="15"/>
  <c r="M30" i="15"/>
  <c r="O30" i="15" s="1"/>
  <c r="N25" i="16"/>
  <c r="L25" i="16"/>
  <c r="O25" i="16" s="1"/>
  <c r="R38" i="25"/>
  <c r="S38" i="25" s="1"/>
  <c r="C129" i="25"/>
  <c r="G26" i="3"/>
  <c r="E16" i="4"/>
  <c r="L20" i="9"/>
  <c r="F37" i="20"/>
  <c r="G38" i="17"/>
  <c r="I38" i="17" s="1"/>
  <c r="J38" i="17" s="1"/>
  <c r="L38" i="17" s="1"/>
  <c r="O37" i="15"/>
  <c r="N10" i="16"/>
  <c r="L10" i="16"/>
  <c r="O10" i="16" s="1"/>
  <c r="K24" i="20"/>
  <c r="I24" i="20"/>
  <c r="E35" i="20"/>
  <c r="G35" i="20" s="1"/>
  <c r="K15" i="5"/>
  <c r="K27" i="5" s="1"/>
  <c r="J38" i="5" s="1"/>
  <c r="G12" i="7"/>
  <c r="G15" i="7" s="1"/>
  <c r="B33" i="13"/>
  <c r="F19" i="20"/>
  <c r="F20" i="18"/>
  <c r="E30" i="20"/>
  <c r="G11" i="4"/>
  <c r="G48" i="24"/>
  <c r="L26" i="9"/>
  <c r="F38" i="20"/>
  <c r="G39" i="17"/>
  <c r="I39" i="17" s="1"/>
  <c r="J39" i="17" s="1"/>
  <c r="L39" i="17" s="1"/>
  <c r="F39" i="18"/>
  <c r="N50" i="16"/>
  <c r="L50" i="16"/>
  <c r="O58" i="16"/>
  <c r="L21" i="9"/>
  <c r="B25" i="10"/>
  <c r="B27" i="10" s="1"/>
  <c r="B28" i="10" s="1"/>
  <c r="B29" i="10" s="1"/>
  <c r="B11" i="12"/>
  <c r="N59" i="16"/>
  <c r="L59" i="16"/>
  <c r="O59" i="16" s="1"/>
  <c r="E11" i="4"/>
  <c r="E14" i="4"/>
  <c r="G14" i="4"/>
  <c r="H14" i="5"/>
  <c r="H27" i="5" s="1"/>
  <c r="G38" i="5" s="1"/>
  <c r="O5" i="16"/>
  <c r="L25" i="18"/>
  <c r="J25" i="18"/>
  <c r="M25" i="18" s="1"/>
  <c r="K42" i="20"/>
  <c r="I42" i="20"/>
  <c r="E21" i="4"/>
  <c r="L21" i="4" s="1"/>
  <c r="E23" i="4"/>
  <c r="E15" i="4"/>
  <c r="L15" i="4" s="1"/>
  <c r="G16" i="4"/>
  <c r="G23" i="4"/>
  <c r="K13" i="5"/>
  <c r="G20" i="4"/>
  <c r="L20" i="4" s="1"/>
  <c r="F33" i="20"/>
  <c r="G34" i="17"/>
  <c r="I34" i="17" s="1"/>
  <c r="J34" i="17" s="1"/>
  <c r="L34" i="17" s="1"/>
  <c r="F34" i="18"/>
  <c r="J61" i="16"/>
  <c r="G20" i="17"/>
  <c r="I20" i="17" s="1"/>
  <c r="J20" i="17" s="1"/>
  <c r="L20" i="17" s="1"/>
  <c r="X11" i="24"/>
  <c r="Y10" i="24"/>
  <c r="O33" i="15"/>
  <c r="G27" i="17"/>
  <c r="I27" i="17" s="1"/>
  <c r="J27" i="17" s="1"/>
  <c r="L27" i="17" s="1"/>
  <c r="F27" i="18"/>
  <c r="O55" i="16"/>
  <c r="K46" i="17"/>
  <c r="M22" i="13" s="1"/>
  <c r="L36" i="17"/>
  <c r="J5" i="17"/>
  <c r="N56" i="16"/>
  <c r="L56" i="16"/>
  <c r="O56" i="16" s="1"/>
  <c r="I17" i="17"/>
  <c r="J17" i="17" s="1"/>
  <c r="L17" i="17" s="1"/>
  <c r="L44" i="17"/>
  <c r="E31" i="18"/>
  <c r="E11" i="24"/>
  <c r="F10" i="24"/>
  <c r="F6" i="18"/>
  <c r="F5" i="20"/>
  <c r="F45" i="20" s="1"/>
  <c r="N45" i="15"/>
  <c r="C12" i="18"/>
  <c r="C11" i="20"/>
  <c r="Q11" i="15"/>
  <c r="M11" i="15"/>
  <c r="O11" i="15" s="1"/>
  <c r="C22" i="20"/>
  <c r="C23" i="18"/>
  <c r="C23" i="17"/>
  <c r="Q22" i="15"/>
  <c r="C39" i="18"/>
  <c r="E39" i="18" s="1"/>
  <c r="G39" i="18" s="1"/>
  <c r="C39" i="17"/>
  <c r="C38" i="20"/>
  <c r="E38" i="20" s="1"/>
  <c r="L9" i="16"/>
  <c r="O9" i="16" s="1"/>
  <c r="O57" i="16"/>
  <c r="O9" i="24"/>
  <c r="P8" i="24"/>
  <c r="C18" i="20"/>
  <c r="E18" i="20" s="1"/>
  <c r="G18" i="20" s="1"/>
  <c r="C19" i="18"/>
  <c r="C19" i="17"/>
  <c r="Q18" i="15"/>
  <c r="Q6" i="17"/>
  <c r="E23" i="18"/>
  <c r="G23" i="18" s="1"/>
  <c r="I52" i="25"/>
  <c r="G52" i="25"/>
  <c r="J52" i="25"/>
  <c r="K52" i="25"/>
  <c r="M18" i="15"/>
  <c r="O18" i="15" s="1"/>
  <c r="E35" i="18"/>
  <c r="E11" i="20"/>
  <c r="G11" i="20" s="1"/>
  <c r="E27" i="20"/>
  <c r="G27" i="20" s="1"/>
  <c r="J33" i="22"/>
  <c r="J34" i="22" s="1"/>
  <c r="F29" i="20"/>
  <c r="G29" i="20" s="1"/>
  <c r="F30" i="18"/>
  <c r="G30" i="18" s="1"/>
  <c r="G30" i="17"/>
  <c r="I30" i="17" s="1"/>
  <c r="J30" i="17" s="1"/>
  <c r="L30" i="17" s="1"/>
  <c r="C35" i="18"/>
  <c r="C34" i="20"/>
  <c r="E34" i="20" s="1"/>
  <c r="G34" i="20" s="1"/>
  <c r="C35" i="17"/>
  <c r="Q34" i="15"/>
  <c r="C41" i="18"/>
  <c r="Q40" i="15"/>
  <c r="M40" i="15"/>
  <c r="O40" i="15" s="1"/>
  <c r="C40" i="20"/>
  <c r="E40" i="20" s="1"/>
  <c r="G40" i="20" s="1"/>
  <c r="C41" i="17"/>
  <c r="I16" i="17"/>
  <c r="J16" i="17" s="1"/>
  <c r="L16" i="17" s="1"/>
  <c r="F13" i="20"/>
  <c r="G13" i="20" s="1"/>
  <c r="F14" i="18"/>
  <c r="G14" i="17"/>
  <c r="I14" i="17" s="1"/>
  <c r="J14" i="17" s="1"/>
  <c r="L14" i="17" s="1"/>
  <c r="O29" i="15"/>
  <c r="M34" i="15"/>
  <c r="O34" i="15" s="1"/>
  <c r="N12" i="16"/>
  <c r="L12" i="16"/>
  <c r="O52" i="16"/>
  <c r="H26" i="17"/>
  <c r="L33" i="29"/>
  <c r="G15" i="21"/>
  <c r="F8" i="20"/>
  <c r="G8" i="20" s="1"/>
  <c r="F9" i="18"/>
  <c r="G9" i="18" s="1"/>
  <c r="O19" i="15"/>
  <c r="F35" i="18"/>
  <c r="G35" i="17"/>
  <c r="I35" i="17" s="1"/>
  <c r="J35" i="17" s="1"/>
  <c r="L35" i="17" s="1"/>
  <c r="F34" i="20"/>
  <c r="G9" i="17"/>
  <c r="I9" i="17" s="1"/>
  <c r="J9" i="17" s="1"/>
  <c r="L9" i="17" s="1"/>
  <c r="E33" i="18"/>
  <c r="L43" i="17"/>
  <c r="L43" i="18"/>
  <c r="J43" i="18"/>
  <c r="G28" i="20"/>
  <c r="G37" i="20"/>
  <c r="N6" i="16"/>
  <c r="N61" i="16" s="1"/>
  <c r="L6" i="16"/>
  <c r="G14" i="18"/>
  <c r="L7" i="18"/>
  <c r="J7" i="18"/>
  <c r="E10" i="18"/>
  <c r="Q14" i="15"/>
  <c r="C14" i="20"/>
  <c r="M14" i="15"/>
  <c r="O14" i="15" s="1"/>
  <c r="F41" i="20"/>
  <c r="G42" i="17"/>
  <c r="I42" i="17" s="1"/>
  <c r="J42" i="17" s="1"/>
  <c r="L42" i="17" s="1"/>
  <c r="F42" i="18"/>
  <c r="L34" i="16"/>
  <c r="O34" i="16" s="1"/>
  <c r="G20" i="18"/>
  <c r="C9" i="20"/>
  <c r="E9" i="20" s="1"/>
  <c r="G9" i="20" s="1"/>
  <c r="C10" i="17"/>
  <c r="C10" i="18"/>
  <c r="F25" i="20"/>
  <c r="G26" i="17"/>
  <c r="F26" i="18"/>
  <c r="F30" i="20"/>
  <c r="F31" i="18"/>
  <c r="G31" i="17"/>
  <c r="I31" i="17" s="1"/>
  <c r="J31" i="17" s="1"/>
  <c r="L31" i="17" s="1"/>
  <c r="C12" i="17"/>
  <c r="E41" i="18"/>
  <c r="G41" i="18" s="1"/>
  <c r="K12" i="20"/>
  <c r="C46" i="23"/>
  <c r="M91" i="13"/>
  <c r="C37" i="18"/>
  <c r="E37" i="18" s="1"/>
  <c r="G37" i="18" s="1"/>
  <c r="C36" i="20"/>
  <c r="E36" i="20" s="1"/>
  <c r="G36" i="20" s="1"/>
  <c r="Q36" i="15"/>
  <c r="C37" i="17"/>
  <c r="M36" i="15"/>
  <c r="O36" i="15" s="1"/>
  <c r="E12" i="18"/>
  <c r="G12" i="18" s="1"/>
  <c r="K45" i="15"/>
  <c r="C4" i="20"/>
  <c r="C5" i="17"/>
  <c r="G10" i="17"/>
  <c r="I10" i="17" s="1"/>
  <c r="J10" i="17" s="1"/>
  <c r="L10" i="17" s="1"/>
  <c r="F10" i="18"/>
  <c r="F9" i="20"/>
  <c r="C27" i="18"/>
  <c r="E27" i="18" s="1"/>
  <c r="G27" i="18" s="1"/>
  <c r="C26" i="20"/>
  <c r="E26" i="20" s="1"/>
  <c r="G26" i="20" s="1"/>
  <c r="Q26" i="15"/>
  <c r="C27" i="17"/>
  <c r="M42" i="15"/>
  <c r="O42" i="15" s="1"/>
  <c r="L35" i="16"/>
  <c r="O35" i="16" s="1"/>
  <c r="N54" i="16"/>
  <c r="L54" i="16"/>
  <c r="O54" i="16" s="1"/>
  <c r="E5" i="18"/>
  <c r="I24" i="17"/>
  <c r="J24" i="17" s="1"/>
  <c r="L24" i="17" s="1"/>
  <c r="J40" i="18"/>
  <c r="M40" i="18" s="1"/>
  <c r="D42" i="24"/>
  <c r="N44" i="25"/>
  <c r="K44" i="25"/>
  <c r="J44" i="25"/>
  <c r="M4" i="15"/>
  <c r="C22" i="18"/>
  <c r="E22" i="18" s="1"/>
  <c r="G22" i="18" s="1"/>
  <c r="C21" i="20"/>
  <c r="C22" i="17"/>
  <c r="M26" i="15"/>
  <c r="O26" i="15" s="1"/>
  <c r="M8" i="17"/>
  <c r="Q7" i="17"/>
  <c r="C25" i="20"/>
  <c r="E25" i="20" s="1"/>
  <c r="G25" i="20" s="1"/>
  <c r="C26" i="18"/>
  <c r="E26" i="18" s="1"/>
  <c r="G26" i="18" s="1"/>
  <c r="C42" i="18"/>
  <c r="E42" i="18" s="1"/>
  <c r="G42" i="18" s="1"/>
  <c r="C41" i="20"/>
  <c r="N11" i="17"/>
  <c r="G13" i="17"/>
  <c r="I13" i="17" s="1"/>
  <c r="J13" i="17" s="1"/>
  <c r="L13" i="17" s="1"/>
  <c r="G28" i="17"/>
  <c r="I28" i="17" s="1"/>
  <c r="J28" i="17" s="1"/>
  <c r="L28" i="17" s="1"/>
  <c r="F19" i="18"/>
  <c r="D48" i="24"/>
  <c r="R59" i="25"/>
  <c r="S59" i="25" s="1"/>
  <c r="C150" i="25"/>
  <c r="N40" i="17"/>
  <c r="F13" i="18"/>
  <c r="G13" i="18" s="1"/>
  <c r="E21" i="20"/>
  <c r="G21" i="20" s="1"/>
  <c r="C105" i="25"/>
  <c r="R14" i="25"/>
  <c r="S14" i="25" s="1"/>
  <c r="G122" i="25"/>
  <c r="N31" i="25"/>
  <c r="K31" i="25"/>
  <c r="J31" i="25"/>
  <c r="C32" i="18"/>
  <c r="E32" i="18" s="1"/>
  <c r="G32" i="18" s="1"/>
  <c r="C31" i="20"/>
  <c r="E31" i="20" s="1"/>
  <c r="G31" i="20" s="1"/>
  <c r="Q31" i="15"/>
  <c r="C43" i="20"/>
  <c r="E43" i="20" s="1"/>
  <c r="G43" i="20" s="1"/>
  <c r="C44" i="18"/>
  <c r="M43" i="15"/>
  <c r="O43" i="15" s="1"/>
  <c r="J48" i="24"/>
  <c r="N56" i="24" s="1"/>
  <c r="M10" i="15"/>
  <c r="O10" i="15" s="1"/>
  <c r="F14" i="20"/>
  <c r="F15" i="18"/>
  <c r="G15" i="18" s="1"/>
  <c r="G15" i="17"/>
  <c r="I15" i="17" s="1"/>
  <c r="J15" i="17" s="1"/>
  <c r="L15" i="17" s="1"/>
  <c r="C27" i="20"/>
  <c r="Q27" i="15"/>
  <c r="M31" i="15"/>
  <c r="O31" i="15" s="1"/>
  <c r="C36" i="18"/>
  <c r="E36" i="18" s="1"/>
  <c r="G36" i="18" s="1"/>
  <c r="C35" i="20"/>
  <c r="M39" i="15"/>
  <c r="O39" i="15" s="1"/>
  <c r="L11" i="16"/>
  <c r="O11" i="16" s="1"/>
  <c r="L16" i="16"/>
  <c r="O16" i="16" s="1"/>
  <c r="L26" i="16"/>
  <c r="O26" i="16" s="1"/>
  <c r="L45" i="16"/>
  <c r="O45" i="16" s="1"/>
  <c r="N51" i="16"/>
  <c r="O51" i="16" s="1"/>
  <c r="K15" i="24"/>
  <c r="K16" i="24" s="1"/>
  <c r="L14" i="24"/>
  <c r="G108" i="25"/>
  <c r="K17" i="25"/>
  <c r="N17" i="25"/>
  <c r="J17" i="25"/>
  <c r="G46" i="25"/>
  <c r="I46" i="25"/>
  <c r="M6" i="15"/>
  <c r="O6" i="15" s="1"/>
  <c r="F11" i="18"/>
  <c r="G11" i="18" s="1"/>
  <c r="G11" i="17"/>
  <c r="I11" i="17" s="1"/>
  <c r="J11" i="17" s="1"/>
  <c r="L11" i="17" s="1"/>
  <c r="C23" i="20"/>
  <c r="Q23" i="15"/>
  <c r="M27" i="15"/>
  <c r="O27" i="15" s="1"/>
  <c r="M35" i="15"/>
  <c r="O35" i="15" s="1"/>
  <c r="L21" i="16"/>
  <c r="O21" i="16" s="1"/>
  <c r="L36" i="16"/>
  <c r="O36" i="16" s="1"/>
  <c r="E29" i="18"/>
  <c r="G29" i="18" s="1"/>
  <c r="C32" i="17"/>
  <c r="C44" i="17"/>
  <c r="H20" i="17"/>
  <c r="C6" i="20"/>
  <c r="E14" i="20"/>
  <c r="E22" i="20"/>
  <c r="G22" i="20" s="1"/>
  <c r="L11" i="24"/>
  <c r="S118" i="25"/>
  <c r="N118" i="25"/>
  <c r="O118" i="25" s="1"/>
  <c r="K118" i="25"/>
  <c r="R118" i="25" s="1"/>
  <c r="I50" i="25"/>
  <c r="G50" i="25"/>
  <c r="F6" i="20"/>
  <c r="G7" i="17"/>
  <c r="I7" i="17" s="1"/>
  <c r="J7" i="17" s="1"/>
  <c r="L7" i="17" s="1"/>
  <c r="O7" i="17" s="1"/>
  <c r="C19" i="20"/>
  <c r="E19" i="20" s="1"/>
  <c r="G19" i="20" s="1"/>
  <c r="Q19" i="15"/>
  <c r="M23" i="15"/>
  <c r="O23" i="15" s="1"/>
  <c r="Q43" i="15"/>
  <c r="N41" i="16"/>
  <c r="L41" i="16"/>
  <c r="O41" i="16" s="1"/>
  <c r="L46" i="16"/>
  <c r="O46" i="16" s="1"/>
  <c r="C11" i="17"/>
  <c r="N12" i="17"/>
  <c r="N18" i="17"/>
  <c r="C20" i="17"/>
  <c r="E44" i="18"/>
  <c r="G44" i="18" s="1"/>
  <c r="E6" i="20"/>
  <c r="G6" i="20" s="1"/>
  <c r="J18" i="22"/>
  <c r="J21" i="22"/>
  <c r="J22" i="22" s="1"/>
  <c r="Q10" i="15"/>
  <c r="C16" i="18"/>
  <c r="E16" i="18" s="1"/>
  <c r="G16" i="18" s="1"/>
  <c r="Q15" i="15"/>
  <c r="Q35" i="15"/>
  <c r="G32" i="17"/>
  <c r="I32" i="17" s="1"/>
  <c r="J32" i="17" s="1"/>
  <c r="L32" i="17" s="1"/>
  <c r="L30" i="29"/>
  <c r="N41" i="17"/>
  <c r="N37" i="17"/>
  <c r="N33" i="17"/>
  <c r="N29" i="17"/>
  <c r="N25" i="17"/>
  <c r="N21" i="17"/>
  <c r="N17" i="17"/>
  <c r="N13" i="17"/>
  <c r="N9" i="17"/>
  <c r="N5" i="17"/>
  <c r="B8" i="24"/>
  <c r="AA8" i="24"/>
  <c r="AB8" i="24" s="1"/>
  <c r="AE8" i="24" s="1"/>
  <c r="A9" i="24"/>
  <c r="C7" i="20"/>
  <c r="Q7" i="15"/>
  <c r="F32" i="20"/>
  <c r="G32" i="20" s="1"/>
  <c r="F33" i="18"/>
  <c r="G8" i="17"/>
  <c r="I8" i="17" s="1"/>
  <c r="J8" i="17" s="1"/>
  <c r="L8" i="17" s="1"/>
  <c r="O8" i="17" s="1"/>
  <c r="F32" i="18"/>
  <c r="L32" i="16"/>
  <c r="O32" i="16" s="1"/>
  <c r="O37" i="16"/>
  <c r="E34" i="18"/>
  <c r="N44" i="17"/>
  <c r="F8" i="18"/>
  <c r="F46" i="18" s="1"/>
  <c r="J5" i="22"/>
  <c r="J6" i="22" s="1"/>
  <c r="G16" i="21"/>
  <c r="R25" i="25"/>
  <c r="S25" i="25" s="1"/>
  <c r="C116" i="25"/>
  <c r="E7" i="20"/>
  <c r="G7" i="20" s="1"/>
  <c r="B21" i="22"/>
  <c r="B18" i="22"/>
  <c r="B22" i="22"/>
  <c r="L33" i="16"/>
  <c r="O33" i="16" s="1"/>
  <c r="N20" i="17"/>
  <c r="N26" i="17"/>
  <c r="C28" i="17"/>
  <c r="N35" i="17"/>
  <c r="G37" i="17"/>
  <c r="I37" i="17" s="1"/>
  <c r="J37" i="17" s="1"/>
  <c r="L37" i="17" s="1"/>
  <c r="H8" i="17"/>
  <c r="F21" i="18"/>
  <c r="F37" i="18"/>
  <c r="C15" i="20"/>
  <c r="E15" i="20" s="1"/>
  <c r="G15" i="20" s="1"/>
  <c r="L12" i="24"/>
  <c r="F16" i="20"/>
  <c r="F17" i="18"/>
  <c r="C7" i="17"/>
  <c r="N8" i="17"/>
  <c r="N14" i="17"/>
  <c r="C16" i="17"/>
  <c r="E19" i="18"/>
  <c r="N23" i="17"/>
  <c r="G25" i="17"/>
  <c r="I25" i="17" s="1"/>
  <c r="J25" i="17" s="1"/>
  <c r="L25" i="17" s="1"/>
  <c r="I40" i="17"/>
  <c r="J40" i="17" s="1"/>
  <c r="L40" i="17" s="1"/>
  <c r="C28" i="18"/>
  <c r="E28" i="18" s="1"/>
  <c r="G28" i="18" s="1"/>
  <c r="N12" i="24"/>
  <c r="N48" i="24" s="1"/>
  <c r="E4" i="20"/>
  <c r="N20" i="25"/>
  <c r="J20" i="25"/>
  <c r="L9" i="24"/>
  <c r="G109" i="25"/>
  <c r="K18" i="25"/>
  <c r="N18" i="25"/>
  <c r="J18" i="25"/>
  <c r="L18" i="25" s="1"/>
  <c r="K48" i="25"/>
  <c r="K59" i="25"/>
  <c r="J59" i="25"/>
  <c r="N59" i="25"/>
  <c r="I48" i="25"/>
  <c r="J48" i="25"/>
  <c r="G48" i="25"/>
  <c r="G141" i="25"/>
  <c r="K50" i="25"/>
  <c r="J50" i="25"/>
  <c r="N50" i="25"/>
  <c r="G148" i="25"/>
  <c r="K57" i="25"/>
  <c r="J57" i="25"/>
  <c r="L57" i="25" s="1"/>
  <c r="N57" i="25"/>
  <c r="N21" i="25"/>
  <c r="J21" i="25"/>
  <c r="R23" i="25"/>
  <c r="S23" i="25" s="1"/>
  <c r="C114" i="25"/>
  <c r="N14" i="25"/>
  <c r="G105" i="25"/>
  <c r="K14" i="25"/>
  <c r="J14" i="25"/>
  <c r="I30" i="25"/>
  <c r="G30" i="25"/>
  <c r="L15" i="24"/>
  <c r="C97" i="25"/>
  <c r="C164" i="25"/>
  <c r="R6" i="25"/>
  <c r="S6" i="25" s="1"/>
  <c r="U9" i="24"/>
  <c r="V8" i="24"/>
  <c r="G12" i="25"/>
  <c r="I12" i="25"/>
  <c r="I23" i="25"/>
  <c r="G23" i="25"/>
  <c r="J35" i="25"/>
  <c r="L35" i="25" s="1"/>
  <c r="S123" i="25"/>
  <c r="N123" i="25"/>
  <c r="O123" i="25" s="1"/>
  <c r="K123" i="25"/>
  <c r="R123" i="25" s="1"/>
  <c r="N6" i="25"/>
  <c r="K6" i="25"/>
  <c r="K21" i="25"/>
  <c r="E33" i="20"/>
  <c r="G33" i="20" s="1"/>
  <c r="I26" i="25"/>
  <c r="K26" i="25"/>
  <c r="J26" i="25"/>
  <c r="L26" i="25" s="1"/>
  <c r="G26" i="25"/>
  <c r="C16" i="20"/>
  <c r="E16" i="20" s="1"/>
  <c r="G16" i="20" s="1"/>
  <c r="C17" i="18"/>
  <c r="E17" i="18" s="1"/>
  <c r="G17" i="18" s="1"/>
  <c r="C21" i="18"/>
  <c r="E21" i="18" s="1"/>
  <c r="G21" i="18" s="1"/>
  <c r="C20" i="20"/>
  <c r="E20" i="20" s="1"/>
  <c r="G20" i="20" s="1"/>
  <c r="C29" i="18"/>
  <c r="E41" i="20"/>
  <c r="G41" i="20" s="1"/>
  <c r="J6" i="25"/>
  <c r="K35" i="25"/>
  <c r="E145" i="25"/>
  <c r="Q145" i="25"/>
  <c r="R29" i="25"/>
  <c r="S29" i="25" s="1"/>
  <c r="C120" i="25"/>
  <c r="I15" i="25"/>
  <c r="G15" i="25"/>
  <c r="N111" i="25"/>
  <c r="O111" i="25" s="1"/>
  <c r="S111" i="25"/>
  <c r="K111" i="25"/>
  <c r="R111" i="25" s="1"/>
  <c r="K24" i="25"/>
  <c r="I24" i="25"/>
  <c r="G24" i="25"/>
  <c r="K29" i="25"/>
  <c r="G120" i="25"/>
  <c r="J29" i="25"/>
  <c r="R9" i="24"/>
  <c r="S8" i="24"/>
  <c r="G101" i="25"/>
  <c r="N10" i="25"/>
  <c r="J10" i="25"/>
  <c r="K10" i="25"/>
  <c r="K116" i="25"/>
  <c r="R116" i="25" s="1"/>
  <c r="N116" i="25"/>
  <c r="O116" i="25" s="1"/>
  <c r="S116" i="25"/>
  <c r="G27" i="25"/>
  <c r="J27" i="25"/>
  <c r="I27" i="25"/>
  <c r="E131" i="25"/>
  <c r="Q131" i="25"/>
  <c r="E23" i="20"/>
  <c r="G23" i="20" s="1"/>
  <c r="K12" i="25"/>
  <c r="G103" i="25"/>
  <c r="J12" i="25"/>
  <c r="F111" i="25"/>
  <c r="J111" i="25" s="1"/>
  <c r="E134" i="25"/>
  <c r="Q134" i="25"/>
  <c r="I14" i="29"/>
  <c r="I6" i="29"/>
  <c r="K6" i="29" s="1"/>
  <c r="M6" i="29" s="1"/>
  <c r="I22" i="29"/>
  <c r="G121" i="25"/>
  <c r="K30" i="25"/>
  <c r="N30" i="25"/>
  <c r="J30" i="25"/>
  <c r="G125" i="25"/>
  <c r="N34" i="25"/>
  <c r="K34" i="25"/>
  <c r="J34" i="25"/>
  <c r="K28" i="25"/>
  <c r="G119" i="25"/>
  <c r="J28" i="25"/>
  <c r="N100" i="25"/>
  <c r="O100" i="25" s="1"/>
  <c r="K100" i="25"/>
  <c r="R100" i="25" s="1"/>
  <c r="S100" i="25"/>
  <c r="G138" i="25"/>
  <c r="N47" i="25"/>
  <c r="K47" i="25"/>
  <c r="G142" i="25"/>
  <c r="N51" i="25"/>
  <c r="K51" i="25"/>
  <c r="E139" i="25"/>
  <c r="Q139" i="25"/>
  <c r="D40" i="24"/>
  <c r="K5" i="25"/>
  <c r="J5" i="25"/>
  <c r="N5" i="25"/>
  <c r="R11" i="25"/>
  <c r="S11" i="25" s="1"/>
  <c r="C102" i="25"/>
  <c r="N150" i="25"/>
  <c r="O150" i="25" s="1"/>
  <c r="K150" i="25"/>
  <c r="R150" i="25" s="1"/>
  <c r="S150" i="25"/>
  <c r="G7" i="25"/>
  <c r="I7" i="25"/>
  <c r="G96" i="25"/>
  <c r="N9" i="25"/>
  <c r="K9" i="25"/>
  <c r="J9" i="25"/>
  <c r="L9" i="25" s="1"/>
  <c r="N39" i="25"/>
  <c r="K39" i="25"/>
  <c r="E25" i="27"/>
  <c r="M44" i="13" s="1"/>
  <c r="H9" i="24"/>
  <c r="I8" i="24"/>
  <c r="D44" i="24"/>
  <c r="J7" i="25"/>
  <c r="N28" i="25"/>
  <c r="C117" i="25"/>
  <c r="K7" i="25"/>
  <c r="G9" i="25"/>
  <c r="I9" i="25"/>
  <c r="R31" i="25"/>
  <c r="S31" i="25" s="1"/>
  <c r="C122" i="25"/>
  <c r="G39" i="25"/>
  <c r="S97" i="25"/>
  <c r="N97" i="25"/>
  <c r="O97" i="25" s="1"/>
  <c r="K97" i="25"/>
  <c r="R97" i="25" s="1"/>
  <c r="I6" i="25"/>
  <c r="R17" i="25"/>
  <c r="S17" i="25" s="1"/>
  <c r="C108" i="25"/>
  <c r="N23" i="25"/>
  <c r="E132" i="25"/>
  <c r="Q132" i="25"/>
  <c r="I55" i="25"/>
  <c r="I57" i="25"/>
  <c r="I59" i="25"/>
  <c r="S133" i="25"/>
  <c r="N133" i="25"/>
  <c r="O133" i="25" s="1"/>
  <c r="K133" i="25"/>
  <c r="R133" i="25" s="1"/>
  <c r="E143" i="25"/>
  <c r="N130" i="25"/>
  <c r="O130" i="25" s="1"/>
  <c r="K130" i="25"/>
  <c r="R130" i="25" s="1"/>
  <c r="I17" i="25"/>
  <c r="N25" i="25"/>
  <c r="K25" i="25"/>
  <c r="J25" i="25"/>
  <c r="Q127" i="25"/>
  <c r="E127" i="25"/>
  <c r="N61" i="25"/>
  <c r="K61" i="25"/>
  <c r="S144" i="25"/>
  <c r="C163" i="25"/>
  <c r="C165" i="25"/>
  <c r="C162" i="25"/>
  <c r="C161" i="25"/>
  <c r="G17" i="25"/>
  <c r="J23" i="25"/>
  <c r="R30" i="25"/>
  <c r="S30" i="25" s="1"/>
  <c r="C121" i="25"/>
  <c r="N36" i="25"/>
  <c r="G127" i="25"/>
  <c r="I43" i="25"/>
  <c r="G43" i="25"/>
  <c r="E107" i="25"/>
  <c r="E110" i="25"/>
  <c r="N19" i="25"/>
  <c r="K19" i="25"/>
  <c r="G110" i="25"/>
  <c r="C113" i="25"/>
  <c r="R22" i="25"/>
  <c r="S22" i="25" s="1"/>
  <c r="I36" i="25"/>
  <c r="G36" i="25"/>
  <c r="G129" i="25"/>
  <c r="N38" i="25"/>
  <c r="K38" i="25"/>
  <c r="K41" i="25"/>
  <c r="K43" i="25"/>
  <c r="I45" i="25"/>
  <c r="K54" i="25"/>
  <c r="K89" i="25"/>
  <c r="S107" i="25"/>
  <c r="R107" i="25"/>
  <c r="S130" i="25"/>
  <c r="S134" i="25"/>
  <c r="K144" i="25"/>
  <c r="R144" i="25" s="1"/>
  <c r="G25" i="27"/>
  <c r="M45" i="13" s="1"/>
  <c r="J36" i="25"/>
  <c r="N131" i="25"/>
  <c r="O131" i="25" s="1"/>
  <c r="K131" i="25"/>
  <c r="R131" i="25" s="1"/>
  <c r="K45" i="25"/>
  <c r="G149" i="25"/>
  <c r="N58" i="25"/>
  <c r="J58" i="25"/>
  <c r="L58" i="25" s="1"/>
  <c r="H153" i="25"/>
  <c r="Q101" i="25"/>
  <c r="G114" i="25"/>
  <c r="K134" i="25"/>
  <c r="R134" i="25" s="1"/>
  <c r="K22" i="29"/>
  <c r="M22" i="29" s="1"/>
  <c r="I7" i="29"/>
  <c r="I15" i="29"/>
  <c r="I23" i="29"/>
  <c r="K145" i="25"/>
  <c r="R145" i="25" s="1"/>
  <c r="S145" i="25"/>
  <c r="N145" i="25"/>
  <c r="O145" i="25" s="1"/>
  <c r="K8" i="25"/>
  <c r="Q140" i="25"/>
  <c r="E140" i="25"/>
  <c r="S98" i="25"/>
  <c r="K98" i="25"/>
  <c r="R98" i="25" s="1"/>
  <c r="K16" i="25"/>
  <c r="N16" i="25"/>
  <c r="J19" i="25"/>
  <c r="J24" i="25"/>
  <c r="G115" i="25"/>
  <c r="J115" i="25" s="1"/>
  <c r="R36" i="25"/>
  <c r="S36" i="25" s="1"/>
  <c r="J54" i="25"/>
  <c r="N56" i="25"/>
  <c r="K56" i="25"/>
  <c r="J56" i="25"/>
  <c r="G147" i="25"/>
  <c r="K112" i="25"/>
  <c r="R112" i="25" s="1"/>
  <c r="S112" i="25"/>
  <c r="J38" i="25"/>
  <c r="N42" i="25"/>
  <c r="K42" i="25"/>
  <c r="J42" i="25"/>
  <c r="R44" i="25"/>
  <c r="S44" i="25" s="1"/>
  <c r="C135" i="25"/>
  <c r="R51" i="25"/>
  <c r="S51" i="25" s="1"/>
  <c r="C142" i="25"/>
  <c r="N54" i="25"/>
  <c r="R5" i="25"/>
  <c r="S5" i="25" s="1"/>
  <c r="Q103" i="25"/>
  <c r="E103" i="25"/>
  <c r="G128" i="25"/>
  <c r="K37" i="25"/>
  <c r="J37" i="25"/>
  <c r="R39" i="25"/>
  <c r="S39" i="25" s="1"/>
  <c r="C130" i="25"/>
  <c r="J46" i="25"/>
  <c r="L46" i="25" s="1"/>
  <c r="K46" i="25"/>
  <c r="C96" i="25"/>
  <c r="E152" i="25"/>
  <c r="Q152" i="25"/>
  <c r="R50" i="25"/>
  <c r="S50" i="25" s="1"/>
  <c r="C141" i="25"/>
  <c r="J61" i="25"/>
  <c r="I10" i="29"/>
  <c r="N43" i="25"/>
  <c r="J43" i="25"/>
  <c r="K87" i="25"/>
  <c r="K92" i="25" s="1"/>
  <c r="M49" i="13" s="1"/>
  <c r="G159" i="25"/>
  <c r="I25" i="29"/>
  <c r="I17" i="29"/>
  <c r="K135" i="25"/>
  <c r="R135" i="25" s="1"/>
  <c r="S135" i="25"/>
  <c r="N135" i="25"/>
  <c r="O135" i="25" s="1"/>
  <c r="K102" i="25"/>
  <c r="R102" i="25" s="1"/>
  <c r="K15" i="25"/>
  <c r="I40" i="25"/>
  <c r="F160" i="25"/>
  <c r="K160" i="25"/>
  <c r="K14" i="29"/>
  <c r="M14" i="29" s="1"/>
  <c r="I19" i="29"/>
  <c r="I11" i="29"/>
  <c r="J8" i="25"/>
  <c r="L8" i="25" s="1"/>
  <c r="G99" i="25"/>
  <c r="E112" i="25"/>
  <c r="I34" i="25"/>
  <c r="J40" i="25"/>
  <c r="K136" i="25"/>
  <c r="R136" i="25" s="1"/>
  <c r="J55" i="25"/>
  <c r="L55" i="25" s="1"/>
  <c r="R56" i="25"/>
  <c r="S56" i="25" s="1"/>
  <c r="F125" i="25"/>
  <c r="I151" i="25"/>
  <c r="K20" i="25"/>
  <c r="N27" i="25"/>
  <c r="G56" i="25"/>
  <c r="G139" i="25"/>
  <c r="K126" i="25"/>
  <c r="R126" i="25" s="1"/>
  <c r="G132" i="25"/>
  <c r="K146" i="25"/>
  <c r="R146" i="25" s="1"/>
  <c r="G152" i="25"/>
  <c r="I24" i="29"/>
  <c r="O37" i="25" l="1"/>
  <c r="Q144" i="25"/>
  <c r="G28" i="3"/>
  <c r="L34" i="25"/>
  <c r="N124" i="25"/>
  <c r="O124" i="25" s="1"/>
  <c r="L24" i="25"/>
  <c r="E146" i="25"/>
  <c r="E106" i="25"/>
  <c r="F106" i="25" s="1"/>
  <c r="J106" i="25" s="1"/>
  <c r="L19" i="25"/>
  <c r="Q29" i="25"/>
  <c r="L40" i="25"/>
  <c r="K117" i="25"/>
  <c r="R117" i="25" s="1"/>
  <c r="K140" i="25"/>
  <c r="R140" i="25" s="1"/>
  <c r="L7" i="25"/>
  <c r="O46" i="25"/>
  <c r="O12" i="25"/>
  <c r="Q46" i="25"/>
  <c r="Q12" i="25"/>
  <c r="P32" i="25"/>
  <c r="L41" i="25"/>
  <c r="K113" i="25"/>
  <c r="R113" i="25" s="1"/>
  <c r="N113" i="25"/>
  <c r="O113" i="25" s="1"/>
  <c r="S106" i="25"/>
  <c r="N140" i="25"/>
  <c r="O140" i="25" s="1"/>
  <c r="L43" i="25"/>
  <c r="L12" i="25"/>
  <c r="O8" i="25"/>
  <c r="O55" i="25"/>
  <c r="Q149" i="25"/>
  <c r="O7" i="25"/>
  <c r="P29" i="25"/>
  <c r="Q7" i="25"/>
  <c r="L6" i="25"/>
  <c r="O32" i="25"/>
  <c r="P37" i="25"/>
  <c r="O53" i="25"/>
  <c r="Q24" i="25"/>
  <c r="P53" i="25"/>
  <c r="L28" i="25"/>
  <c r="P24" i="25"/>
  <c r="S143" i="25"/>
  <c r="K124" i="25"/>
  <c r="R124" i="25" s="1"/>
  <c r="L16" i="25"/>
  <c r="S117" i="25"/>
  <c r="L21" i="25"/>
  <c r="P26" i="25"/>
  <c r="Q26" i="25"/>
  <c r="L11" i="25"/>
  <c r="L32" i="25"/>
  <c r="J164" i="25"/>
  <c r="Q124" i="25"/>
  <c r="J125" i="25"/>
  <c r="I147" i="25"/>
  <c r="L60" i="25"/>
  <c r="O11" i="25"/>
  <c r="J162" i="25"/>
  <c r="E104" i="25"/>
  <c r="F104" i="25" s="1"/>
  <c r="J104" i="25" s="1"/>
  <c r="P35" i="25"/>
  <c r="Q35" i="25"/>
  <c r="L61" i="25"/>
  <c r="E100" i="25"/>
  <c r="F100" i="25" s="1"/>
  <c r="J100" i="25" s="1"/>
  <c r="L22" i="25"/>
  <c r="E138" i="25"/>
  <c r="F138" i="25" s="1"/>
  <c r="J138" i="25" s="1"/>
  <c r="L51" i="25"/>
  <c r="Q40" i="25"/>
  <c r="L14" i="25"/>
  <c r="Q55" i="25"/>
  <c r="L48" i="25"/>
  <c r="P11" i="25"/>
  <c r="E109" i="25"/>
  <c r="F109" i="25" s="1"/>
  <c r="J109" i="25" s="1"/>
  <c r="L39" i="25"/>
  <c r="E137" i="25"/>
  <c r="F137" i="25" s="1"/>
  <c r="J137" i="25" s="1"/>
  <c r="L59" i="25"/>
  <c r="O33" i="25"/>
  <c r="K137" i="25"/>
  <c r="R137" i="25" s="1"/>
  <c r="N137" i="25"/>
  <c r="O137" i="25" s="1"/>
  <c r="K106" i="25"/>
  <c r="R106" i="25" s="1"/>
  <c r="J99" i="25"/>
  <c r="J128" i="25"/>
  <c r="L29" i="25"/>
  <c r="E136" i="25"/>
  <c r="F136" i="25" s="1"/>
  <c r="J136" i="25" s="1"/>
  <c r="Q60" i="25"/>
  <c r="Q99" i="25"/>
  <c r="O60" i="25"/>
  <c r="J119" i="25"/>
  <c r="O52" i="25"/>
  <c r="E126" i="25"/>
  <c r="F126" i="25" s="1"/>
  <c r="J126" i="25" s="1"/>
  <c r="P52" i="25"/>
  <c r="P48" i="25"/>
  <c r="Q49" i="25"/>
  <c r="O48" i="25"/>
  <c r="L10" i="25"/>
  <c r="O40" i="25"/>
  <c r="O49" i="25"/>
  <c r="J98" i="25"/>
  <c r="I98" i="25"/>
  <c r="J165" i="25"/>
  <c r="L52" i="25"/>
  <c r="E118" i="25"/>
  <c r="Q15" i="25"/>
  <c r="O15" i="25"/>
  <c r="L17" i="25"/>
  <c r="Q8" i="25"/>
  <c r="Q41" i="25"/>
  <c r="P41" i="25"/>
  <c r="O45" i="25"/>
  <c r="P45" i="25"/>
  <c r="S104" i="25"/>
  <c r="N104" i="25"/>
  <c r="O104" i="25" s="1"/>
  <c r="J161" i="25"/>
  <c r="G164" i="25"/>
  <c r="F163" i="25"/>
  <c r="J163" i="25"/>
  <c r="K143" i="25"/>
  <c r="R143" i="25" s="1"/>
  <c r="L20" i="25"/>
  <c r="P33" i="25"/>
  <c r="L42" i="25"/>
  <c r="I115" i="25"/>
  <c r="I123" i="25"/>
  <c r="L37" i="25"/>
  <c r="P15" i="25"/>
  <c r="Q148" i="25"/>
  <c r="E148" i="25"/>
  <c r="O13" i="25"/>
  <c r="Q13" i="25"/>
  <c r="L49" i="25"/>
  <c r="P22" i="25"/>
  <c r="Q22" i="25"/>
  <c r="L54" i="25"/>
  <c r="I62" i="25"/>
  <c r="I19" i="20"/>
  <c r="K19" i="20"/>
  <c r="L26" i="18"/>
  <c r="J26" i="18"/>
  <c r="M26" i="18" s="1"/>
  <c r="J15" i="18"/>
  <c r="L15" i="18"/>
  <c r="L22" i="18"/>
  <c r="J22" i="18"/>
  <c r="L13" i="18"/>
  <c r="J13" i="18"/>
  <c r="M13" i="18" s="1"/>
  <c r="K9" i="20"/>
  <c r="I9" i="20"/>
  <c r="K5" i="20"/>
  <c r="I5" i="20"/>
  <c r="L30" i="18"/>
  <c r="J30" i="18"/>
  <c r="I43" i="20"/>
  <c r="K43" i="20"/>
  <c r="L17" i="18"/>
  <c r="J17" i="18"/>
  <c r="M17" i="18" s="1"/>
  <c r="L37" i="18"/>
  <c r="J37" i="18"/>
  <c r="L9" i="18"/>
  <c r="J9" i="18"/>
  <c r="L27" i="18"/>
  <c r="J27" i="18"/>
  <c r="M27" i="18" s="1"/>
  <c r="K29" i="20"/>
  <c r="I29" i="20"/>
  <c r="K20" i="20"/>
  <c r="I20" i="20"/>
  <c r="L21" i="18"/>
  <c r="J21" i="18"/>
  <c r="M21" i="18" s="1"/>
  <c r="K8" i="20"/>
  <c r="I8" i="20"/>
  <c r="L16" i="18"/>
  <c r="J16" i="18"/>
  <c r="L39" i="18"/>
  <c r="J39" i="18"/>
  <c r="M39" i="18" s="1"/>
  <c r="L42" i="18"/>
  <c r="J42" i="18"/>
  <c r="K18" i="20"/>
  <c r="I18" i="20"/>
  <c r="G8" i="29"/>
  <c r="K162" i="25"/>
  <c r="M57" i="13"/>
  <c r="Q10" i="25"/>
  <c r="O10" i="25"/>
  <c r="P10" i="25"/>
  <c r="Q57" i="25"/>
  <c r="P57" i="25"/>
  <c r="O57" i="25"/>
  <c r="K22" i="20"/>
  <c r="I22" i="20"/>
  <c r="F162" i="25"/>
  <c r="N101" i="25"/>
  <c r="O101" i="25" s="1"/>
  <c r="K101" i="25"/>
  <c r="R101" i="25" s="1"/>
  <c r="S101" i="25"/>
  <c r="P17" i="25"/>
  <c r="O17" i="25"/>
  <c r="Q17" i="25"/>
  <c r="E141" i="25"/>
  <c r="Q141" i="25"/>
  <c r="O16" i="25"/>
  <c r="P16" i="25"/>
  <c r="Q16" i="25"/>
  <c r="K163" i="25"/>
  <c r="G9" i="29"/>
  <c r="M58" i="13"/>
  <c r="O9" i="25"/>
  <c r="P9" i="25"/>
  <c r="Q9" i="25"/>
  <c r="R10" i="24"/>
  <c r="S9" i="24"/>
  <c r="J29" i="18"/>
  <c r="L29" i="18"/>
  <c r="K17" i="24"/>
  <c r="L16" i="24"/>
  <c r="I26" i="20"/>
  <c r="K26" i="20"/>
  <c r="J101" i="25"/>
  <c r="X12" i="24"/>
  <c r="Y11" i="24"/>
  <c r="K31" i="20"/>
  <c r="I31" i="20"/>
  <c r="K27" i="20"/>
  <c r="I27" i="20"/>
  <c r="P58" i="25"/>
  <c r="O58" i="25"/>
  <c r="Q58" i="25"/>
  <c r="I41" i="20"/>
  <c r="K41" i="20"/>
  <c r="N109" i="25"/>
  <c r="O109" i="25" s="1"/>
  <c r="S109" i="25"/>
  <c r="K109" i="25"/>
  <c r="R109" i="25" s="1"/>
  <c r="K7" i="20"/>
  <c r="I7" i="20"/>
  <c r="I32" i="20"/>
  <c r="K32" i="20"/>
  <c r="Q150" i="25"/>
  <c r="E150" i="25"/>
  <c r="K35" i="20"/>
  <c r="I35" i="20"/>
  <c r="L32" i="18"/>
  <c r="J32" i="18"/>
  <c r="M32" i="18" s="1"/>
  <c r="L44" i="25"/>
  <c r="I11" i="20"/>
  <c r="K11" i="20"/>
  <c r="N99" i="25"/>
  <c r="O99" i="25" s="1"/>
  <c r="K99" i="25"/>
  <c r="R99" i="25" s="1"/>
  <c r="S99" i="25"/>
  <c r="N149" i="25"/>
  <c r="O149" i="25" s="1"/>
  <c r="S149" i="25"/>
  <c r="K149" i="25"/>
  <c r="R149" i="25" s="1"/>
  <c r="E121" i="25"/>
  <c r="Q121" i="25"/>
  <c r="I9" i="24"/>
  <c r="H10" i="24"/>
  <c r="O34" i="25"/>
  <c r="Q34" i="25"/>
  <c r="P34" i="25"/>
  <c r="N120" i="25"/>
  <c r="O120" i="25" s="1"/>
  <c r="K120" i="25"/>
  <c r="R120" i="25" s="1"/>
  <c r="S120" i="25"/>
  <c r="Q116" i="25"/>
  <c r="E116" i="25"/>
  <c r="A14" i="12"/>
  <c r="B14" i="12" s="1"/>
  <c r="B13" i="12"/>
  <c r="I128" i="25"/>
  <c r="F112" i="25"/>
  <c r="J112" i="25" s="1"/>
  <c r="Q96" i="25"/>
  <c r="D170" i="25"/>
  <c r="M65" i="13" s="1"/>
  <c r="E96" i="25"/>
  <c r="B170" i="25"/>
  <c r="C170" i="25"/>
  <c r="M63" i="13" s="1"/>
  <c r="L8" i="18"/>
  <c r="J8" i="18"/>
  <c r="M8" i="18" s="1"/>
  <c r="Q130" i="25"/>
  <c r="E130" i="25"/>
  <c r="L38" i="25"/>
  <c r="P38" i="25"/>
  <c r="O38" i="25"/>
  <c r="Q38" i="25"/>
  <c r="L23" i="25"/>
  <c r="F139" i="25"/>
  <c r="J139" i="25" s="1"/>
  <c r="L30" i="25"/>
  <c r="J147" i="25"/>
  <c r="I133" i="25"/>
  <c r="C45" i="20"/>
  <c r="M7" i="18"/>
  <c r="O10" i="24"/>
  <c r="P9" i="24"/>
  <c r="L5" i="17"/>
  <c r="J46" i="17"/>
  <c r="M19" i="13" s="1"/>
  <c r="L16" i="4"/>
  <c r="F152" i="25"/>
  <c r="J152" i="25" s="1"/>
  <c r="F134" i="25"/>
  <c r="J134" i="25" s="1"/>
  <c r="N152" i="25"/>
  <c r="O152" i="25" s="1"/>
  <c r="K152" i="25"/>
  <c r="R152" i="25" s="1"/>
  <c r="S152" i="25"/>
  <c r="C46" i="17"/>
  <c r="G10" i="18"/>
  <c r="T39" i="15"/>
  <c r="B6" i="21"/>
  <c r="I26" i="17"/>
  <c r="J26" i="17" s="1"/>
  <c r="L26" i="17" s="1"/>
  <c r="I46" i="17"/>
  <c r="G30" i="20"/>
  <c r="O18" i="25"/>
  <c r="Q18" i="25"/>
  <c r="P18" i="25"/>
  <c r="P36" i="25"/>
  <c r="O36" i="25"/>
  <c r="Q36" i="25"/>
  <c r="K33" i="20"/>
  <c r="I33" i="20"/>
  <c r="G35" i="18"/>
  <c r="K105" i="25"/>
  <c r="R105" i="25" s="1"/>
  <c r="S105" i="25"/>
  <c r="N105" i="25"/>
  <c r="O105" i="25" s="1"/>
  <c r="H159" i="25"/>
  <c r="F164" i="25"/>
  <c r="A10" i="24"/>
  <c r="AA9" i="24"/>
  <c r="AB9" i="24" s="1"/>
  <c r="AE9" i="24" s="1"/>
  <c r="B9" i="24"/>
  <c r="J11" i="18"/>
  <c r="M11" i="18" s="1"/>
  <c r="L11" i="18"/>
  <c r="L14" i="18"/>
  <c r="J14" i="18"/>
  <c r="M14" i="18" s="1"/>
  <c r="K40" i="20"/>
  <c r="I40" i="20"/>
  <c r="E135" i="25"/>
  <c r="Q135" i="25"/>
  <c r="L41" i="18"/>
  <c r="J41" i="18"/>
  <c r="Q42" i="25"/>
  <c r="P42" i="25"/>
  <c r="O42" i="25"/>
  <c r="E122" i="25"/>
  <c r="Q122" i="25"/>
  <c r="L36" i="25"/>
  <c r="P61" i="25"/>
  <c r="Q61" i="25"/>
  <c r="O61" i="25"/>
  <c r="O51" i="25"/>
  <c r="P51" i="25"/>
  <c r="Q51" i="25"/>
  <c r="K16" i="20"/>
  <c r="I16" i="20"/>
  <c r="Q14" i="25"/>
  <c r="P14" i="25"/>
  <c r="O14" i="25"/>
  <c r="L36" i="18"/>
  <c r="J36" i="18"/>
  <c r="N139" i="25"/>
  <c r="O139" i="25" s="1"/>
  <c r="S139" i="25"/>
  <c r="K139" i="25"/>
  <c r="R139" i="25" s="1"/>
  <c r="I101" i="25"/>
  <c r="F127" i="25"/>
  <c r="J127" i="25" s="1"/>
  <c r="K142" i="25"/>
  <c r="R142" i="25" s="1"/>
  <c r="S142" i="25"/>
  <c r="N142" i="25"/>
  <c r="O142" i="25" s="1"/>
  <c r="N121" i="25"/>
  <c r="O121" i="25" s="1"/>
  <c r="S121" i="25"/>
  <c r="K121" i="25"/>
  <c r="R121" i="25" s="1"/>
  <c r="Q20" i="25"/>
  <c r="P20" i="25"/>
  <c r="O20" i="25"/>
  <c r="I15" i="20"/>
  <c r="K15" i="20"/>
  <c r="L31" i="25"/>
  <c r="O6" i="16"/>
  <c r="O69" i="16" s="1"/>
  <c r="L61" i="16"/>
  <c r="G38" i="20"/>
  <c r="L14" i="4"/>
  <c r="O50" i="16"/>
  <c r="S127" i="25"/>
  <c r="N127" i="25"/>
  <c r="O127" i="25" s="1"/>
  <c r="K127" i="25"/>
  <c r="R127" i="25" s="1"/>
  <c r="K96" i="25"/>
  <c r="S96" i="25"/>
  <c r="N96" i="25"/>
  <c r="O96" i="25" s="1"/>
  <c r="F140" i="25"/>
  <c r="J140" i="25" s="1"/>
  <c r="K125" i="25"/>
  <c r="R125" i="25" s="1"/>
  <c r="S125" i="25"/>
  <c r="N125" i="25"/>
  <c r="O125" i="25" s="1"/>
  <c r="E51" i="24"/>
  <c r="M96" i="13" s="1"/>
  <c r="Q44" i="25"/>
  <c r="P44" i="25"/>
  <c r="O44" i="25"/>
  <c r="K132" i="25"/>
  <c r="R132" i="25" s="1"/>
  <c r="N132" i="25"/>
  <c r="O132" i="25" s="1"/>
  <c r="S132" i="25"/>
  <c r="N129" i="25"/>
  <c r="O129" i="25" s="1"/>
  <c r="S129" i="25"/>
  <c r="K129" i="25"/>
  <c r="R129" i="25" s="1"/>
  <c r="P30" i="25"/>
  <c r="O30" i="25"/>
  <c r="Q30" i="25"/>
  <c r="G160" i="25"/>
  <c r="M51" i="13" s="1"/>
  <c r="S128" i="25"/>
  <c r="N128" i="25"/>
  <c r="O128" i="25" s="1"/>
  <c r="K128" i="25"/>
  <c r="R128" i="25" s="1"/>
  <c r="D45" i="13"/>
  <c r="F165" i="25"/>
  <c r="E114" i="25"/>
  <c r="Q114" i="25"/>
  <c r="Q59" i="25"/>
  <c r="P59" i="25"/>
  <c r="O59" i="25"/>
  <c r="G4" i="20"/>
  <c r="E45" i="20"/>
  <c r="C46" i="18"/>
  <c r="L11" i="4"/>
  <c r="E129" i="25"/>
  <c r="Q129" i="25"/>
  <c r="Q45" i="15"/>
  <c r="L18" i="18"/>
  <c r="J18" i="18"/>
  <c r="L45" i="18"/>
  <c r="J45" i="18"/>
  <c r="I125" i="25"/>
  <c r="F103" i="25"/>
  <c r="J103" i="25" s="1"/>
  <c r="L56" i="25"/>
  <c r="N110" i="25"/>
  <c r="O110" i="25" s="1"/>
  <c r="K110" i="25"/>
  <c r="R110" i="25" s="1"/>
  <c r="S110" i="25"/>
  <c r="L25" i="25"/>
  <c r="K138" i="25"/>
  <c r="R138" i="25" s="1"/>
  <c r="S138" i="25"/>
  <c r="N138" i="25"/>
  <c r="O138" i="25" s="1"/>
  <c r="I111" i="25"/>
  <c r="G34" i="18"/>
  <c r="J44" i="18"/>
  <c r="L44" i="18"/>
  <c r="K122" i="25"/>
  <c r="R122" i="25" s="1"/>
  <c r="S122" i="25"/>
  <c r="N122" i="25"/>
  <c r="O122" i="25" s="1"/>
  <c r="J20" i="18"/>
  <c r="M20" i="18" s="1"/>
  <c r="L20" i="18"/>
  <c r="I28" i="20"/>
  <c r="K28" i="20"/>
  <c r="G6" i="18"/>
  <c r="F143" i="25"/>
  <c r="J143" i="25" s="1"/>
  <c r="S147" i="25"/>
  <c r="N147" i="25"/>
  <c r="O147" i="25" s="1"/>
  <c r="K147" i="25"/>
  <c r="R147" i="25" s="1"/>
  <c r="E113" i="25"/>
  <c r="Q113" i="25"/>
  <c r="G7" i="29"/>
  <c r="K161" i="25"/>
  <c r="M56" i="13"/>
  <c r="Q47" i="25"/>
  <c r="P47" i="25"/>
  <c r="O47" i="25"/>
  <c r="U10" i="24"/>
  <c r="V9" i="24"/>
  <c r="K6" i="20"/>
  <c r="I6" i="20"/>
  <c r="O31" i="25"/>
  <c r="Q31" i="25"/>
  <c r="P31" i="25"/>
  <c r="L12" i="18"/>
  <c r="J12" i="18"/>
  <c r="M12" i="18" s="1"/>
  <c r="K37" i="20"/>
  <c r="I37" i="20"/>
  <c r="F132" i="25"/>
  <c r="J132" i="25" s="1"/>
  <c r="F149" i="25"/>
  <c r="J149" i="25" s="1"/>
  <c r="O21" i="25"/>
  <c r="Q21" i="25"/>
  <c r="P21" i="25"/>
  <c r="K25" i="20"/>
  <c r="I25" i="20"/>
  <c r="E46" i="18"/>
  <c r="G5" i="18"/>
  <c r="M43" i="18"/>
  <c r="L23" i="18"/>
  <c r="J23" i="18"/>
  <c r="M23" i="18" s="1"/>
  <c r="O15" i="16"/>
  <c r="K36" i="20"/>
  <c r="I36" i="20"/>
  <c r="O12" i="16"/>
  <c r="O61" i="16" s="1"/>
  <c r="G17" i="20"/>
  <c r="P27" i="25"/>
  <c r="Q27" i="25"/>
  <c r="O27" i="25"/>
  <c r="P56" i="25"/>
  <c r="Q56" i="25"/>
  <c r="O56" i="25"/>
  <c r="Q108" i="25"/>
  <c r="E108" i="25"/>
  <c r="F124" i="25"/>
  <c r="J124" i="25" s="1"/>
  <c r="Q28" i="25"/>
  <c r="O28" i="25"/>
  <c r="P28" i="25"/>
  <c r="I119" i="25"/>
  <c r="K21" i="20"/>
  <c r="I21" i="20"/>
  <c r="M9" i="17"/>
  <c r="Q8" i="17"/>
  <c r="F11" i="24"/>
  <c r="E12" i="24"/>
  <c r="K13" i="20"/>
  <c r="I13" i="20"/>
  <c r="P19" i="25"/>
  <c r="O19" i="25"/>
  <c r="Q19" i="25"/>
  <c r="P23" i="25"/>
  <c r="O23" i="25"/>
  <c r="Q23" i="25"/>
  <c r="S103" i="25"/>
  <c r="N103" i="25"/>
  <c r="O103" i="25" s="1"/>
  <c r="K103" i="25"/>
  <c r="R103" i="25" s="1"/>
  <c r="E105" i="25"/>
  <c r="Q105" i="25"/>
  <c r="Q120" i="25"/>
  <c r="E120" i="25"/>
  <c r="K164" i="25"/>
  <c r="G10" i="29"/>
  <c r="M59" i="13"/>
  <c r="G33" i="18"/>
  <c r="I99" i="25"/>
  <c r="K115" i="25"/>
  <c r="R115" i="25" s="1"/>
  <c r="S115" i="25"/>
  <c r="N115" i="25"/>
  <c r="O115" i="25" s="1"/>
  <c r="F144" i="25"/>
  <c r="J144" i="25" s="1"/>
  <c r="Q39" i="25"/>
  <c r="P39" i="25"/>
  <c r="O39" i="25"/>
  <c r="O5" i="25"/>
  <c r="Q5" i="25"/>
  <c r="P5" i="25"/>
  <c r="K23" i="20"/>
  <c r="I23" i="20"/>
  <c r="Q97" i="25"/>
  <c r="E97" i="25"/>
  <c r="K148" i="25"/>
  <c r="R148" i="25" s="1"/>
  <c r="S148" i="25"/>
  <c r="N148" i="25"/>
  <c r="O148" i="25" s="1"/>
  <c r="K108" i="25"/>
  <c r="R108" i="25" s="1"/>
  <c r="S108" i="25"/>
  <c r="N108" i="25"/>
  <c r="O108" i="25" s="1"/>
  <c r="G31" i="18"/>
  <c r="L23" i="4"/>
  <c r="K34" i="20"/>
  <c r="I34" i="20"/>
  <c r="G11" i="29"/>
  <c r="K165" i="25"/>
  <c r="M60" i="13"/>
  <c r="L5" i="25"/>
  <c r="J62" i="25"/>
  <c r="F161" i="25"/>
  <c r="N119" i="25"/>
  <c r="O119" i="25" s="1"/>
  <c r="S119" i="25"/>
  <c r="K119" i="25"/>
  <c r="R119" i="25" s="1"/>
  <c r="P50" i="25"/>
  <c r="O50" i="25"/>
  <c r="Q50" i="25"/>
  <c r="G19" i="18"/>
  <c r="O9" i="17"/>
  <c r="R56" i="24"/>
  <c r="L13" i="4"/>
  <c r="N141" i="25"/>
  <c r="O141" i="25" s="1"/>
  <c r="S141" i="25"/>
  <c r="K141" i="25"/>
  <c r="R141" i="25" s="1"/>
  <c r="M45" i="15"/>
  <c r="T32" i="15" s="1"/>
  <c r="T40" i="15" s="1"/>
  <c r="O4" i="15"/>
  <c r="O45" i="15" s="1"/>
  <c r="Q43" i="25"/>
  <c r="O43" i="25"/>
  <c r="P43" i="25"/>
  <c r="P25" i="25"/>
  <c r="Q25" i="25"/>
  <c r="O25" i="25"/>
  <c r="L28" i="18"/>
  <c r="J28" i="18"/>
  <c r="M28" i="18" s="1"/>
  <c r="Q117" i="25"/>
  <c r="E117" i="25"/>
  <c r="E102" i="25"/>
  <c r="Q102" i="25"/>
  <c r="Q6" i="25"/>
  <c r="P6" i="25"/>
  <c r="O6" i="25"/>
  <c r="G14" i="20"/>
  <c r="O54" i="25"/>
  <c r="Q54" i="25"/>
  <c r="P54" i="25"/>
  <c r="F110" i="25"/>
  <c r="J110" i="25" s="1"/>
  <c r="E142" i="25"/>
  <c r="Q142" i="25"/>
  <c r="S114" i="25"/>
  <c r="K114" i="25"/>
  <c r="R114" i="25" s="1"/>
  <c r="N114" i="25"/>
  <c r="O114" i="25" s="1"/>
  <c r="F107" i="25"/>
  <c r="J107" i="25" s="1"/>
  <c r="K62" i="25"/>
  <c r="F131" i="25"/>
  <c r="J131" i="25" s="1"/>
  <c r="F145" i="25"/>
  <c r="J145" i="25" s="1"/>
  <c r="L50" i="25"/>
  <c r="D58" i="13" l="1"/>
  <c r="L24" i="4"/>
  <c r="L25" i="4" s="1"/>
  <c r="F146" i="25"/>
  <c r="J146" i="25" s="1"/>
  <c r="I137" i="25"/>
  <c r="I140" i="25"/>
  <c r="F166" i="25"/>
  <c r="I144" i="25"/>
  <c r="D65" i="13"/>
  <c r="G165" i="25"/>
  <c r="H165" i="25" s="1"/>
  <c r="I165" i="25" s="1"/>
  <c r="I145" i="25"/>
  <c r="G162" i="25"/>
  <c r="H162" i="25" s="1"/>
  <c r="I162" i="25" s="1"/>
  <c r="J166" i="25"/>
  <c r="I134" i="25"/>
  <c r="I107" i="25"/>
  <c r="I136" i="25"/>
  <c r="D57" i="13"/>
  <c r="I149" i="25"/>
  <c r="I100" i="25"/>
  <c r="F148" i="25"/>
  <c r="J148" i="25" s="1"/>
  <c r="D59" i="13"/>
  <c r="G163" i="25"/>
  <c r="H163" i="25" s="1"/>
  <c r="I163" i="25" s="1"/>
  <c r="H164" i="25"/>
  <c r="I164" i="25" s="1"/>
  <c r="F118" i="25"/>
  <c r="J118" i="25" s="1"/>
  <c r="K166" i="25"/>
  <c r="M76" i="13" s="1"/>
  <c r="I132" i="25"/>
  <c r="Q58" i="16"/>
  <c r="M18" i="13"/>
  <c r="B5" i="21"/>
  <c r="T33" i="15"/>
  <c r="M28" i="13"/>
  <c r="G45" i="20"/>
  <c r="I4" i="20"/>
  <c r="I45" i="20" s="1"/>
  <c r="K4" i="20"/>
  <c r="K45" i="20" s="1"/>
  <c r="F121" i="25"/>
  <c r="J121" i="25" s="1"/>
  <c r="M30" i="18"/>
  <c r="E64" i="25"/>
  <c r="D64" i="25" s="1"/>
  <c r="M53" i="13" s="1"/>
  <c r="D13" i="13"/>
  <c r="D68" i="13"/>
  <c r="D16" i="13"/>
  <c r="D78" i="13"/>
  <c r="U11" i="24"/>
  <c r="V10" i="24"/>
  <c r="I139" i="25"/>
  <c r="D44" i="13"/>
  <c r="H64" i="25"/>
  <c r="G64" i="25" s="1"/>
  <c r="D77" i="13"/>
  <c r="F12" i="24"/>
  <c r="E13" i="24"/>
  <c r="I103" i="25"/>
  <c r="I127" i="25"/>
  <c r="I126" i="25"/>
  <c r="G25" i="29"/>
  <c r="K25" i="29" s="1"/>
  <c r="M25" i="29" s="1"/>
  <c r="G17" i="29"/>
  <c r="K17" i="29" s="1"/>
  <c r="M17" i="29" s="1"/>
  <c r="K9" i="29"/>
  <c r="M9" i="29" s="1"/>
  <c r="D70" i="13"/>
  <c r="F102" i="25"/>
  <c r="J102" i="25" s="1"/>
  <c r="F117" i="25"/>
  <c r="J117" i="25" s="1"/>
  <c r="L19" i="18"/>
  <c r="J19" i="18"/>
  <c r="M19" i="18" s="1"/>
  <c r="D69" i="13"/>
  <c r="D88" i="13"/>
  <c r="Q9" i="17"/>
  <c r="M10" i="17"/>
  <c r="I104" i="25"/>
  <c r="K7" i="29"/>
  <c r="M7" i="29" s="1"/>
  <c r="G15" i="29"/>
  <c r="K15" i="29" s="1"/>
  <c r="M15" i="29" s="1"/>
  <c r="G23" i="29"/>
  <c r="K23" i="29" s="1"/>
  <c r="M23" i="29" s="1"/>
  <c r="M45" i="18"/>
  <c r="D96" i="13"/>
  <c r="A11" i="24"/>
  <c r="B10" i="24"/>
  <c r="AA10" i="24"/>
  <c r="AB10" i="24" s="1"/>
  <c r="AE10" i="24" s="1"/>
  <c r="K30" i="20"/>
  <c r="I30" i="20"/>
  <c r="I152" i="25"/>
  <c r="F116" i="25"/>
  <c r="J116" i="25" s="1"/>
  <c r="F114" i="25"/>
  <c r="J114" i="25" s="1"/>
  <c r="J31" i="18"/>
  <c r="M31" i="18" s="1"/>
  <c r="L31" i="18"/>
  <c r="I106" i="25"/>
  <c r="D90" i="13"/>
  <c r="D55" i="13"/>
  <c r="K64" i="25"/>
  <c r="F105" i="25"/>
  <c r="J105" i="25" s="1"/>
  <c r="F122" i="25"/>
  <c r="J122" i="25" s="1"/>
  <c r="D79" i="13"/>
  <c r="F113" i="25"/>
  <c r="J113" i="25" s="1"/>
  <c r="M44" i="18"/>
  <c r="M18" i="18"/>
  <c r="M41" i="18"/>
  <c r="I109" i="25"/>
  <c r="F130" i="25"/>
  <c r="J130" i="25" s="1"/>
  <c r="F141" i="25"/>
  <c r="J141" i="25" s="1"/>
  <c r="K8" i="29"/>
  <c r="M8" i="29" s="1"/>
  <c r="G24" i="29"/>
  <c r="K24" i="29" s="1"/>
  <c r="M24" i="29" s="1"/>
  <c r="G16" i="29"/>
  <c r="K16" i="29" s="1"/>
  <c r="M16" i="29" s="1"/>
  <c r="M22" i="18"/>
  <c r="I131" i="25"/>
  <c r="M36" i="18"/>
  <c r="C5" i="14"/>
  <c r="F8" i="10"/>
  <c r="C5" i="12"/>
  <c r="B6" i="11"/>
  <c r="H5" i="13"/>
  <c r="D19" i="13"/>
  <c r="M9" i="18"/>
  <c r="D60" i="13"/>
  <c r="K38" i="20"/>
  <c r="I38" i="20"/>
  <c r="D56" i="13"/>
  <c r="I159" i="25"/>
  <c r="Q5" i="17"/>
  <c r="L46" i="17"/>
  <c r="O5" i="17"/>
  <c r="Y12" i="24"/>
  <c r="X13" i="24"/>
  <c r="L34" i="18"/>
  <c r="J34" i="18"/>
  <c r="M34" i="18" s="1"/>
  <c r="H160" i="25"/>
  <c r="I160" i="25" s="1"/>
  <c r="F135" i="25"/>
  <c r="J135" i="25" s="1"/>
  <c r="L17" i="24"/>
  <c r="K18" i="24"/>
  <c r="M42" i="18"/>
  <c r="M37" i="18"/>
  <c r="M15" i="18"/>
  <c r="L62" i="25"/>
  <c r="G161" i="25"/>
  <c r="H161" i="25" s="1"/>
  <c r="I161" i="25" s="1"/>
  <c r="G19" i="29"/>
  <c r="K19" i="29" s="1"/>
  <c r="M19" i="29" s="1"/>
  <c r="K11" i="29"/>
  <c r="M11" i="29" s="1"/>
  <c r="G27" i="29"/>
  <c r="K27" i="29" s="1"/>
  <c r="M27" i="29" s="1"/>
  <c r="L33" i="18"/>
  <c r="J33" i="18"/>
  <c r="O11" i="24"/>
  <c r="P10" i="24"/>
  <c r="K14" i="20"/>
  <c r="I14" i="20"/>
  <c r="D51" i="13"/>
  <c r="K17" i="20"/>
  <c r="I17" i="20"/>
  <c r="F150" i="25"/>
  <c r="J150" i="25" s="1"/>
  <c r="G18" i="29"/>
  <c r="K18" i="29" s="1"/>
  <c r="M18" i="29" s="1"/>
  <c r="G26" i="29"/>
  <c r="K26" i="29" s="1"/>
  <c r="M26" i="29" s="1"/>
  <c r="K10" i="29"/>
  <c r="M10" i="29" s="1"/>
  <c r="D74" i="13"/>
  <c r="F129" i="25"/>
  <c r="J129" i="25" s="1"/>
  <c r="M61" i="13"/>
  <c r="M72" i="13"/>
  <c r="M29" i="18"/>
  <c r="D49" i="13"/>
  <c r="F142" i="25"/>
  <c r="J142" i="25" s="1"/>
  <c r="I110" i="25"/>
  <c r="F97" i="25"/>
  <c r="J97" i="25" s="1"/>
  <c r="D91" i="13"/>
  <c r="I124" i="25"/>
  <c r="I143" i="25"/>
  <c r="H155" i="25"/>
  <c r="I138" i="25"/>
  <c r="F96" i="25"/>
  <c r="I96" i="25" s="1"/>
  <c r="D10" i="13"/>
  <c r="D22" i="13"/>
  <c r="D93" i="13"/>
  <c r="D15" i="13"/>
  <c r="F120" i="25"/>
  <c r="J120" i="25" s="1"/>
  <c r="D63" i="13"/>
  <c r="D73" i="13"/>
  <c r="L5" i="18"/>
  <c r="G46" i="18"/>
  <c r="M25" i="13" s="1"/>
  <c r="J5" i="18"/>
  <c r="J6" i="18"/>
  <c r="L6" i="18"/>
  <c r="I10" i="24"/>
  <c r="H11" i="24"/>
  <c r="R11" i="24"/>
  <c r="S10" i="24"/>
  <c r="M16" i="18"/>
  <c r="K153" i="25"/>
  <c r="L35" i="18"/>
  <c r="J35" i="18"/>
  <c r="M35" i="18" s="1"/>
  <c r="F108" i="25"/>
  <c r="J108" i="25" s="1"/>
  <c r="D67" i="13"/>
  <c r="R96" i="25"/>
  <c r="I170" i="25" s="1"/>
  <c r="M71" i="13" s="1"/>
  <c r="J10" i="18"/>
  <c r="M10" i="18" s="1"/>
  <c r="L10" i="18"/>
  <c r="I112" i="25"/>
  <c r="D76" i="13" l="1"/>
  <c r="I97" i="25"/>
  <c r="I122" i="25"/>
  <c r="I146" i="25"/>
  <c r="I114" i="25"/>
  <c r="I121" i="25"/>
  <c r="I130" i="25"/>
  <c r="I116" i="25"/>
  <c r="I118" i="25"/>
  <c r="I148" i="25"/>
  <c r="M20" i="29"/>
  <c r="M82" i="13" s="1"/>
  <c r="I141" i="25"/>
  <c r="G166" i="25"/>
  <c r="I113" i="25"/>
  <c r="I117" i="25"/>
  <c r="H12" i="24"/>
  <c r="I11" i="24"/>
  <c r="P11" i="24"/>
  <c r="O12" i="24"/>
  <c r="M28" i="29"/>
  <c r="M83" i="13" s="1"/>
  <c r="I142" i="25"/>
  <c r="M33" i="18"/>
  <c r="M12" i="29"/>
  <c r="M81" i="13" s="1"/>
  <c r="X14" i="24"/>
  <c r="Y13" i="24"/>
  <c r="H26" i="22"/>
  <c r="M32" i="13"/>
  <c r="P11" i="13"/>
  <c r="G49" i="20"/>
  <c r="D25" i="22"/>
  <c r="G48" i="20"/>
  <c r="H166" i="25"/>
  <c r="G30" i="29" s="1"/>
  <c r="U12" i="24"/>
  <c r="V11" i="24"/>
  <c r="D71" i="13"/>
  <c r="H25" i="22"/>
  <c r="M31" i="13"/>
  <c r="P9" i="13"/>
  <c r="D12" i="13"/>
  <c r="D72" i="13"/>
  <c r="I150" i="25"/>
  <c r="J64" i="25"/>
  <c r="M52" i="13" s="1"/>
  <c r="I105" i="25"/>
  <c r="J46" i="18"/>
  <c r="M5" i="18"/>
  <c r="M6" i="18"/>
  <c r="I120" i="25"/>
  <c r="I129" i="25"/>
  <c r="C4" i="14"/>
  <c r="H4" i="13"/>
  <c r="F7" i="10"/>
  <c r="C4" i="12"/>
  <c r="B5" i="11"/>
  <c r="I108" i="25"/>
  <c r="M29" i="13"/>
  <c r="D28" i="13"/>
  <c r="D75" i="13"/>
  <c r="I135" i="25"/>
  <c r="AA11" i="24"/>
  <c r="AB11" i="24" s="1"/>
  <c r="AE11" i="24" s="1"/>
  <c r="B11" i="24"/>
  <c r="A12" i="24"/>
  <c r="I166" i="25"/>
  <c r="D18" i="13"/>
  <c r="M11" i="17"/>
  <c r="Q10" i="17"/>
  <c r="O10" i="17"/>
  <c r="D92" i="13"/>
  <c r="D25" i="13"/>
  <c r="L46" i="18"/>
  <c r="H170" i="25"/>
  <c r="M66" i="13" s="1"/>
  <c r="J96" i="25"/>
  <c r="J153" i="25" s="1"/>
  <c r="G170" i="25"/>
  <c r="M64" i="13" s="1"/>
  <c r="F170" i="25"/>
  <c r="M62" i="13" s="1"/>
  <c r="K19" i="24"/>
  <c r="L18" i="24"/>
  <c r="F13" i="24"/>
  <c r="E14" i="24"/>
  <c r="R12" i="24"/>
  <c r="S11" i="24"/>
  <c r="P14" i="13"/>
  <c r="D80" i="13"/>
  <c r="I102" i="25"/>
  <c r="D89" i="13"/>
  <c r="D82" i="13" l="1"/>
  <c r="I153" i="25"/>
  <c r="G155" i="25" s="1"/>
  <c r="M50" i="13" s="1"/>
  <c r="H30" i="22"/>
  <c r="K30" i="22" s="1"/>
  <c r="H34" i="22"/>
  <c r="K34" i="22" s="1"/>
  <c r="K26" i="22"/>
  <c r="D66" i="13"/>
  <c r="D52" i="13"/>
  <c r="D14" i="13"/>
  <c r="R13" i="24"/>
  <c r="S12" i="24"/>
  <c r="G33" i="29"/>
  <c r="K33" i="29" s="1"/>
  <c r="M33" i="29" s="1"/>
  <c r="M34" i="29" s="1"/>
  <c r="M85" i="13" s="1"/>
  <c r="K30" i="29"/>
  <c r="M30" i="29" s="1"/>
  <c r="M31" i="29" s="1"/>
  <c r="D6" i="22"/>
  <c r="H6" i="22" s="1"/>
  <c r="K6" i="22" s="1"/>
  <c r="D10" i="22"/>
  <c r="H10" i="22" s="1"/>
  <c r="K10" i="22" s="1"/>
  <c r="M27" i="13"/>
  <c r="D53" i="13"/>
  <c r="D9" i="13"/>
  <c r="D26" i="22"/>
  <c r="D13" i="22"/>
  <c r="D29" i="22"/>
  <c r="D33" i="22"/>
  <c r="D64" i="13"/>
  <c r="K25" i="22"/>
  <c r="H33" i="22"/>
  <c r="K33" i="22" s="1"/>
  <c r="K35" i="22" s="1"/>
  <c r="M41" i="13" s="1"/>
  <c r="H29" i="22"/>
  <c r="K29" i="22" s="1"/>
  <c r="K31" i="22" s="1"/>
  <c r="M40" i="13" s="1"/>
  <c r="D11" i="13"/>
  <c r="K20" i="24"/>
  <c r="L19" i="24"/>
  <c r="O13" i="24"/>
  <c r="P12" i="24"/>
  <c r="Y14" i="24"/>
  <c r="X15" i="24"/>
  <c r="E15" i="24"/>
  <c r="F14" i="24"/>
  <c r="M12" i="17"/>
  <c r="Q11" i="17"/>
  <c r="O11" i="17"/>
  <c r="AA12" i="24"/>
  <c r="AB12" i="24" s="1"/>
  <c r="AE12" i="24" s="1"/>
  <c r="A13" i="24"/>
  <c r="B12" i="24"/>
  <c r="D83" i="13"/>
  <c r="D61" i="13"/>
  <c r="M46" i="18"/>
  <c r="D5" i="22"/>
  <c r="H5" i="22" s="1"/>
  <c r="K5" i="22" s="1"/>
  <c r="K7" i="22" s="1"/>
  <c r="M34" i="13" s="1"/>
  <c r="D9" i="22"/>
  <c r="H9" i="22" s="1"/>
  <c r="K9" i="22" s="1"/>
  <c r="K11" i="22" s="1"/>
  <c r="M35" i="13" s="1"/>
  <c r="M26" i="13"/>
  <c r="U13" i="24"/>
  <c r="V12" i="24"/>
  <c r="D32" i="13"/>
  <c r="I12" i="24"/>
  <c r="H13" i="24"/>
  <c r="AA13" i="24" l="1"/>
  <c r="AB13" i="24" s="1"/>
  <c r="AE13" i="24" s="1"/>
  <c r="B13" i="24"/>
  <c r="A14" i="24"/>
  <c r="D30" i="22"/>
  <c r="D34" i="22"/>
  <c r="D14" i="22"/>
  <c r="H13" i="22"/>
  <c r="K13" i="22" s="1"/>
  <c r="D17" i="22"/>
  <c r="H17" i="22" s="1"/>
  <c r="K17" i="22" s="1"/>
  <c r="D21" i="22"/>
  <c r="H21" i="22" s="1"/>
  <c r="K21" i="22" s="1"/>
  <c r="M13" i="17"/>
  <c r="Q12" i="17"/>
  <c r="O12" i="17"/>
  <c r="A9" i="13"/>
  <c r="A10" i="13" s="1"/>
  <c r="B10" i="13" s="1"/>
  <c r="J10" i="13" s="1"/>
  <c r="E16" i="24"/>
  <c r="F15" i="24"/>
  <c r="D40" i="13"/>
  <c r="D41" i="13"/>
  <c r="D81" i="13"/>
  <c r="D26" i="13"/>
  <c r="K27" i="22"/>
  <c r="M39" i="13" s="1"/>
  <c r="K21" i="24"/>
  <c r="L20" i="24"/>
  <c r="D85" i="13"/>
  <c r="P13" i="24"/>
  <c r="O14" i="24"/>
  <c r="R14" i="24"/>
  <c r="S13" i="24"/>
  <c r="R31" i="13"/>
  <c r="D31" i="13" s="1"/>
  <c r="U14" i="24"/>
  <c r="V13" i="24"/>
  <c r="X16" i="24"/>
  <c r="Y15" i="24"/>
  <c r="M54" i="13"/>
  <c r="M84" i="13"/>
  <c r="H14" i="24"/>
  <c r="I13" i="24"/>
  <c r="D29" i="13"/>
  <c r="D62" i="13"/>
  <c r="D50" i="13"/>
  <c r="A11" i="13" l="1"/>
  <c r="A12" i="13" s="1"/>
  <c r="B12" i="13" s="1"/>
  <c r="J12" i="13" s="1"/>
  <c r="B9" i="13"/>
  <c r="J9" i="13" s="1"/>
  <c r="Q13" i="17"/>
  <c r="M14" i="17"/>
  <c r="O13" i="17"/>
  <c r="D18" i="22"/>
  <c r="H18" i="22" s="1"/>
  <c r="K18" i="22" s="1"/>
  <c r="K19" i="22" s="1"/>
  <c r="M37" i="13" s="1"/>
  <c r="H14" i="22"/>
  <c r="K14" i="22" s="1"/>
  <c r="K15" i="22" s="1"/>
  <c r="M36" i="13" s="1"/>
  <c r="D22" i="22"/>
  <c r="H22" i="22" s="1"/>
  <c r="K22" i="22" s="1"/>
  <c r="K23" i="22" s="1"/>
  <c r="M38" i="13" s="1"/>
  <c r="Y16" i="24"/>
  <c r="X17" i="24"/>
  <c r="D27" i="13"/>
  <c r="AA14" i="24"/>
  <c r="AB14" i="24" s="1"/>
  <c r="AE14" i="24" s="1"/>
  <c r="A15" i="24"/>
  <c r="B14" i="24"/>
  <c r="D39" i="13"/>
  <c r="D35" i="13"/>
  <c r="K22" i="24"/>
  <c r="L21" i="24"/>
  <c r="U15" i="24"/>
  <c r="V14" i="24"/>
  <c r="D84" i="13"/>
  <c r="D54" i="13"/>
  <c r="I14" i="24"/>
  <c r="H15" i="24"/>
  <c r="S14" i="24"/>
  <c r="R15" i="24"/>
  <c r="E17" i="24"/>
  <c r="F16" i="24"/>
  <c r="O15" i="24"/>
  <c r="P14" i="24"/>
  <c r="D8" i="12" l="1"/>
  <c r="E8" i="14" s="1"/>
  <c r="A13" i="13"/>
  <c r="B13" i="13" s="1"/>
  <c r="J13" i="13" s="1"/>
  <c r="C8" i="12"/>
  <c r="C8" i="14" s="1"/>
  <c r="B11" i="13"/>
  <c r="J11" i="13" s="1"/>
  <c r="C9" i="12" s="1"/>
  <c r="C10" i="14" s="1"/>
  <c r="R34" i="13"/>
  <c r="D34" i="13" s="1"/>
  <c r="M15" i="17"/>
  <c r="Q14" i="17"/>
  <c r="O14" i="17"/>
  <c r="H16" i="24"/>
  <c r="I15" i="24"/>
  <c r="AA15" i="24"/>
  <c r="AB15" i="24" s="1"/>
  <c r="AE15" i="24" s="1"/>
  <c r="B15" i="24"/>
  <c r="A16" i="24"/>
  <c r="Y17" i="24"/>
  <c r="X18" i="24"/>
  <c r="P15" i="24"/>
  <c r="O16" i="24"/>
  <c r="U16" i="24"/>
  <c r="V15" i="24"/>
  <c r="K23" i="24"/>
  <c r="L22" i="24"/>
  <c r="S15" i="24"/>
  <c r="R16" i="24"/>
  <c r="F17" i="24"/>
  <c r="E18" i="24"/>
  <c r="D9" i="12" l="1"/>
  <c r="E10" i="14" s="1"/>
  <c r="G10" i="14" s="1"/>
  <c r="A14" i="13"/>
  <c r="B14" i="13" s="1"/>
  <c r="J14" i="13" s="1"/>
  <c r="D10" i="12" s="1"/>
  <c r="A17" i="24"/>
  <c r="B16" i="24"/>
  <c r="AA16" i="24"/>
  <c r="AB16" i="24" s="1"/>
  <c r="AE16" i="24" s="1"/>
  <c r="K24" i="24"/>
  <c r="L23" i="24"/>
  <c r="Q15" i="17"/>
  <c r="M16" i="17"/>
  <c r="O15" i="17"/>
  <c r="P23" i="13"/>
  <c r="X19" i="24"/>
  <c r="Y18" i="24"/>
  <c r="H17" i="24"/>
  <c r="I16" i="24"/>
  <c r="D36" i="13"/>
  <c r="D42" i="13"/>
  <c r="F18" i="24"/>
  <c r="E19" i="24"/>
  <c r="D38" i="13"/>
  <c r="D37" i="13"/>
  <c r="V16" i="24"/>
  <c r="U17" i="24"/>
  <c r="P16" i="24"/>
  <c r="O17" i="24"/>
  <c r="R17" i="24"/>
  <c r="S16" i="24"/>
  <c r="A15" i="13" l="1"/>
  <c r="A16" i="13" s="1"/>
  <c r="B16" i="13" s="1"/>
  <c r="J16" i="13" s="1"/>
  <c r="L10" i="14"/>
  <c r="K10" i="14"/>
  <c r="I10" i="14"/>
  <c r="F10" i="14"/>
  <c r="J10" i="14"/>
  <c r="H10" i="14"/>
  <c r="M10" i="14"/>
  <c r="C10" i="12"/>
  <c r="C12" i="14" s="1"/>
  <c r="D23" i="13"/>
  <c r="E20" i="24"/>
  <c r="F19" i="24"/>
  <c r="E12" i="14"/>
  <c r="U18" i="24"/>
  <c r="V17" i="24"/>
  <c r="L24" i="24"/>
  <c r="K25" i="24"/>
  <c r="B17" i="24"/>
  <c r="AA17" i="24"/>
  <c r="AB17" i="24" s="1"/>
  <c r="AE17" i="24" s="1"/>
  <c r="A18" i="24"/>
  <c r="M17" i="17"/>
  <c r="Q16" i="17"/>
  <c r="O16" i="17"/>
  <c r="H18" i="24"/>
  <c r="I17" i="24"/>
  <c r="R18" i="24"/>
  <c r="S17" i="24"/>
  <c r="P17" i="24"/>
  <c r="O18" i="24"/>
  <c r="X20" i="24"/>
  <c r="Y19" i="24"/>
  <c r="B15" i="13" l="1"/>
  <c r="J15" i="13" s="1"/>
  <c r="O10" i="14"/>
  <c r="P10" i="14" s="1"/>
  <c r="O19" i="24"/>
  <c r="P18" i="24"/>
  <c r="V18" i="24"/>
  <c r="U19" i="24"/>
  <c r="R19" i="24"/>
  <c r="S18" i="24"/>
  <c r="K26" i="24"/>
  <c r="L25" i="24"/>
  <c r="X21" i="24"/>
  <c r="Y20" i="24"/>
  <c r="J12" i="14"/>
  <c r="I12" i="14"/>
  <c r="H12" i="14"/>
  <c r="G12" i="14"/>
  <c r="F12" i="14"/>
  <c r="K12" i="14"/>
  <c r="M12" i="14"/>
  <c r="L12" i="14"/>
  <c r="E21" i="24"/>
  <c r="F20" i="24"/>
  <c r="Q17" i="17"/>
  <c r="M18" i="17"/>
  <c r="O17" i="17"/>
  <c r="A19" i="24"/>
  <c r="B18" i="24"/>
  <c r="AA18" i="24"/>
  <c r="AB18" i="24" s="1"/>
  <c r="AE18" i="24" s="1"/>
  <c r="I18" i="24"/>
  <c r="H19" i="24"/>
  <c r="Q18" i="17" l="1"/>
  <c r="M19" i="17"/>
  <c r="O18" i="17"/>
  <c r="Y21" i="24"/>
  <c r="X22" i="24"/>
  <c r="H20" i="24"/>
  <c r="I19" i="24"/>
  <c r="A20" i="24"/>
  <c r="B19" i="24"/>
  <c r="AA19" i="24"/>
  <c r="AB19" i="24" s="1"/>
  <c r="AE19" i="24" s="1"/>
  <c r="K27" i="24"/>
  <c r="L26" i="24"/>
  <c r="F21" i="24"/>
  <c r="E22" i="24"/>
  <c r="U20" i="24"/>
  <c r="V19" i="24"/>
  <c r="O12" i="14"/>
  <c r="P12" i="14" s="1"/>
  <c r="S19" i="24"/>
  <c r="R20" i="24"/>
  <c r="P19" i="24"/>
  <c r="O20" i="24"/>
  <c r="K28" i="24" l="1"/>
  <c r="L27" i="24"/>
  <c r="O21" i="24"/>
  <c r="P20" i="24"/>
  <c r="A21" i="24"/>
  <c r="AA20" i="24"/>
  <c r="AB20" i="24" s="1"/>
  <c r="AE20" i="24" s="1"/>
  <c r="B20" i="24"/>
  <c r="U21" i="24"/>
  <c r="V20" i="24"/>
  <c r="E23" i="24"/>
  <c r="F22" i="24"/>
  <c r="I20" i="24"/>
  <c r="H21" i="24"/>
  <c r="Y22" i="24"/>
  <c r="X23" i="24"/>
  <c r="M20" i="17"/>
  <c r="Q19" i="17"/>
  <c r="O19" i="17"/>
  <c r="R21" i="24"/>
  <c r="S20" i="24"/>
  <c r="F23" i="24" l="1"/>
  <c r="E24" i="24"/>
  <c r="R22" i="24"/>
  <c r="S21" i="24"/>
  <c r="X24" i="24"/>
  <c r="Y23" i="24"/>
  <c r="U22" i="24"/>
  <c r="V21" i="24"/>
  <c r="M21" i="17"/>
  <c r="Q20" i="17"/>
  <c r="O20" i="17"/>
  <c r="B21" i="24"/>
  <c r="A22" i="24"/>
  <c r="AA21" i="24"/>
  <c r="AB21" i="24" s="1"/>
  <c r="AE21" i="24" s="1"/>
  <c r="O22" i="24"/>
  <c r="P21" i="24"/>
  <c r="H22" i="24"/>
  <c r="I21" i="24"/>
  <c r="K29" i="24"/>
  <c r="L28" i="24"/>
  <c r="K30" i="24" l="1"/>
  <c r="L29" i="24"/>
  <c r="B22" i="24"/>
  <c r="A23" i="24"/>
  <c r="AA22" i="24"/>
  <c r="AB22" i="24" s="1"/>
  <c r="AE22" i="24" s="1"/>
  <c r="Q21" i="17"/>
  <c r="M22" i="17"/>
  <c r="O21" i="17"/>
  <c r="U23" i="24"/>
  <c r="V22" i="24"/>
  <c r="H23" i="24"/>
  <c r="I22" i="24"/>
  <c r="Y24" i="24"/>
  <c r="X25" i="24"/>
  <c r="P22" i="24"/>
  <c r="O23" i="24"/>
  <c r="S22" i="24"/>
  <c r="R23" i="24"/>
  <c r="E25" i="24"/>
  <c r="F24" i="24"/>
  <c r="I23" i="24" l="1"/>
  <c r="H24" i="24"/>
  <c r="U24" i="24"/>
  <c r="V23" i="24"/>
  <c r="E26" i="24"/>
  <c r="F25" i="24"/>
  <c r="M23" i="17"/>
  <c r="Q22" i="17"/>
  <c r="O22" i="17"/>
  <c r="R24" i="24"/>
  <c r="S23" i="24"/>
  <c r="B23" i="24"/>
  <c r="A24" i="24"/>
  <c r="AA23" i="24"/>
  <c r="AB23" i="24" s="1"/>
  <c r="AE23" i="24" s="1"/>
  <c r="Y25" i="24"/>
  <c r="X26" i="24"/>
  <c r="P23" i="24"/>
  <c r="O24" i="24"/>
  <c r="L30" i="24"/>
  <c r="K31" i="24"/>
  <c r="X27" i="24" l="1"/>
  <c r="Y26" i="24"/>
  <c r="M24" i="17"/>
  <c r="Q23" i="17"/>
  <c r="O23" i="17"/>
  <c r="AA24" i="24"/>
  <c r="AB24" i="24" s="1"/>
  <c r="AE24" i="24" s="1"/>
  <c r="B24" i="24"/>
  <c r="A25" i="24"/>
  <c r="O25" i="24"/>
  <c r="P24" i="24"/>
  <c r="R25" i="24"/>
  <c r="S24" i="24"/>
  <c r="U25" i="24"/>
  <c r="V24" i="24"/>
  <c r="E27" i="24"/>
  <c r="F26" i="24"/>
  <c r="I24" i="24"/>
  <c r="H25" i="24"/>
  <c r="K32" i="24"/>
  <c r="L31" i="24"/>
  <c r="K33" i="24" l="1"/>
  <c r="L32" i="24"/>
  <c r="F27" i="24"/>
  <c r="E28" i="24"/>
  <c r="V25" i="24"/>
  <c r="U26" i="24"/>
  <c r="I25" i="24"/>
  <c r="H26" i="24"/>
  <c r="S25" i="24"/>
  <c r="R26" i="24"/>
  <c r="O26" i="24"/>
  <c r="P25" i="24"/>
  <c r="A26" i="24"/>
  <c r="B25" i="24"/>
  <c r="AA25" i="24"/>
  <c r="AB25" i="24" s="1"/>
  <c r="AE25" i="24" s="1"/>
  <c r="M25" i="17"/>
  <c r="Q24" i="17"/>
  <c r="O24" i="17"/>
  <c r="X28" i="24"/>
  <c r="Y27" i="24"/>
  <c r="B26" i="24" l="1"/>
  <c r="AA26" i="24"/>
  <c r="AB26" i="24" s="1"/>
  <c r="AE26" i="24" s="1"/>
  <c r="A27" i="24"/>
  <c r="F28" i="24"/>
  <c r="E29" i="24"/>
  <c r="O27" i="24"/>
  <c r="P26" i="24"/>
  <c r="R27" i="24"/>
  <c r="S26" i="24"/>
  <c r="H27" i="24"/>
  <c r="I26" i="24"/>
  <c r="U27" i="24"/>
  <c r="V26" i="24"/>
  <c r="Y28" i="24"/>
  <c r="X29" i="24"/>
  <c r="Q25" i="17"/>
  <c r="M26" i="17"/>
  <c r="O25" i="17"/>
  <c r="K34" i="24"/>
  <c r="L33" i="24"/>
  <c r="O28" i="24" l="1"/>
  <c r="P27" i="24"/>
  <c r="I27" i="24"/>
  <c r="H28" i="24"/>
  <c r="E30" i="24"/>
  <c r="F29" i="24"/>
  <c r="A28" i="24"/>
  <c r="B27" i="24"/>
  <c r="AA27" i="24"/>
  <c r="AB27" i="24" s="1"/>
  <c r="AE27" i="24" s="1"/>
  <c r="K35" i="24"/>
  <c r="L34" i="24"/>
  <c r="M27" i="17"/>
  <c r="Q26" i="17"/>
  <c r="O26" i="17"/>
  <c r="X30" i="24"/>
  <c r="Y29" i="24"/>
  <c r="U28" i="24"/>
  <c r="V27" i="24"/>
  <c r="R28" i="24"/>
  <c r="S27" i="24"/>
  <c r="Q27" i="17" l="1"/>
  <c r="M28" i="17"/>
  <c r="O27" i="17"/>
  <c r="R29" i="24"/>
  <c r="S28" i="24"/>
  <c r="X31" i="24"/>
  <c r="Y30" i="24"/>
  <c r="K36" i="24"/>
  <c r="L35" i="24"/>
  <c r="B28" i="24"/>
  <c r="AA28" i="24"/>
  <c r="AB28" i="24" s="1"/>
  <c r="AE28" i="24" s="1"/>
  <c r="A29" i="24"/>
  <c r="H29" i="24"/>
  <c r="I28" i="24"/>
  <c r="V28" i="24"/>
  <c r="U29" i="24"/>
  <c r="E31" i="24"/>
  <c r="F30" i="24"/>
  <c r="O29" i="24"/>
  <c r="P28" i="24"/>
  <c r="E32" i="24" l="1"/>
  <c r="F31" i="24"/>
  <c r="P29" i="24"/>
  <c r="O30" i="24"/>
  <c r="K37" i="24"/>
  <c r="L36" i="24"/>
  <c r="Y31" i="24"/>
  <c r="X32" i="24"/>
  <c r="R30" i="24"/>
  <c r="S29" i="24"/>
  <c r="V29" i="24"/>
  <c r="U30" i="24"/>
  <c r="H30" i="24"/>
  <c r="I29" i="24"/>
  <c r="AA29" i="24"/>
  <c r="AB29" i="24" s="1"/>
  <c r="AE29" i="24" s="1"/>
  <c r="A30" i="24"/>
  <c r="B29" i="24"/>
  <c r="M29" i="17"/>
  <c r="Q28" i="17"/>
  <c r="O28" i="17"/>
  <c r="A31" i="24" l="1"/>
  <c r="AA30" i="24"/>
  <c r="AB30" i="24" s="1"/>
  <c r="AE30" i="24" s="1"/>
  <c r="B30" i="24"/>
  <c r="S30" i="24"/>
  <c r="R31" i="24"/>
  <c r="X33" i="24"/>
  <c r="Y32" i="24"/>
  <c r="K38" i="24"/>
  <c r="L37" i="24"/>
  <c r="P30" i="24"/>
  <c r="O31" i="24"/>
  <c r="U31" i="24"/>
  <c r="V30" i="24"/>
  <c r="I30" i="24"/>
  <c r="H31" i="24"/>
  <c r="Q29" i="17"/>
  <c r="M30" i="17"/>
  <c r="O29" i="17"/>
  <c r="E33" i="24"/>
  <c r="F32" i="24"/>
  <c r="E34" i="24" l="1"/>
  <c r="F33" i="24"/>
  <c r="H32" i="24"/>
  <c r="I31" i="24"/>
  <c r="U32" i="24"/>
  <c r="V31" i="24"/>
  <c r="P31" i="24"/>
  <c r="O32" i="24"/>
  <c r="K39" i="24"/>
  <c r="L38" i="24"/>
  <c r="X34" i="24"/>
  <c r="Y33" i="24"/>
  <c r="R32" i="24"/>
  <c r="S31" i="24"/>
  <c r="M31" i="17"/>
  <c r="Q30" i="17"/>
  <c r="O30" i="17"/>
  <c r="AA31" i="24"/>
  <c r="AB31" i="24" s="1"/>
  <c r="AE31" i="24" s="1"/>
  <c r="B31" i="24"/>
  <c r="A32" i="24"/>
  <c r="O33" i="24" l="1"/>
  <c r="P32" i="24"/>
  <c r="H33" i="24"/>
  <c r="I32" i="24"/>
  <c r="AA32" i="24"/>
  <c r="AB32" i="24" s="1"/>
  <c r="AE32" i="24" s="1"/>
  <c r="A33" i="24"/>
  <c r="B32" i="24"/>
  <c r="V32" i="24"/>
  <c r="U33" i="24"/>
  <c r="M32" i="17"/>
  <c r="Q31" i="17"/>
  <c r="O31" i="17"/>
  <c r="R33" i="24"/>
  <c r="S32" i="24"/>
  <c r="X35" i="24"/>
  <c r="Y34" i="24"/>
  <c r="K40" i="24"/>
  <c r="L39" i="24"/>
  <c r="E35" i="24"/>
  <c r="F34" i="24"/>
  <c r="S33" i="24" l="1"/>
  <c r="R34" i="24"/>
  <c r="M33" i="17"/>
  <c r="Q32" i="17"/>
  <c r="O32" i="17"/>
  <c r="L40" i="24"/>
  <c r="K41" i="24"/>
  <c r="Y35" i="24"/>
  <c r="X36" i="24"/>
  <c r="U34" i="24"/>
  <c r="V33" i="24"/>
  <c r="B33" i="24"/>
  <c r="AA33" i="24"/>
  <c r="AB33" i="24" s="1"/>
  <c r="AE33" i="24" s="1"/>
  <c r="A34" i="24"/>
  <c r="E36" i="24"/>
  <c r="F35" i="24"/>
  <c r="H34" i="24"/>
  <c r="I33" i="24"/>
  <c r="P33" i="24"/>
  <c r="O34" i="24"/>
  <c r="H35" i="24" l="1"/>
  <c r="I34" i="24"/>
  <c r="Y36" i="24"/>
  <c r="X37" i="24"/>
  <c r="O35" i="24"/>
  <c r="P34" i="24"/>
  <c r="E37" i="24"/>
  <c r="F36" i="24"/>
  <c r="A35" i="24"/>
  <c r="AA34" i="24"/>
  <c r="AB34" i="24" s="1"/>
  <c r="AE34" i="24" s="1"/>
  <c r="B34" i="24"/>
  <c r="U35" i="24"/>
  <c r="V34" i="24"/>
  <c r="L41" i="24"/>
  <c r="K42" i="24"/>
  <c r="Q33" i="17"/>
  <c r="M34" i="17"/>
  <c r="O33" i="17"/>
  <c r="R35" i="24"/>
  <c r="S34" i="24"/>
  <c r="M35" i="17" l="1"/>
  <c r="Q34" i="17"/>
  <c r="O34" i="17"/>
  <c r="L42" i="24"/>
  <c r="K43" i="24"/>
  <c r="U36" i="24"/>
  <c r="V35" i="24"/>
  <c r="R36" i="24"/>
  <c r="S35" i="24"/>
  <c r="B35" i="24"/>
  <c r="AA35" i="24"/>
  <c r="AB35" i="24" s="1"/>
  <c r="AE35" i="24" s="1"/>
  <c r="A36" i="24"/>
  <c r="E38" i="24"/>
  <c r="F37" i="24"/>
  <c r="O36" i="24"/>
  <c r="P35" i="24"/>
  <c r="Y37" i="24"/>
  <c r="X38" i="24"/>
  <c r="H36" i="24"/>
  <c r="I35" i="24"/>
  <c r="H37" i="24" l="1"/>
  <c r="I36" i="24"/>
  <c r="S36" i="24"/>
  <c r="R37" i="24"/>
  <c r="E39" i="24"/>
  <c r="F38" i="24"/>
  <c r="U37" i="24"/>
  <c r="V36" i="24"/>
  <c r="P36" i="24"/>
  <c r="O37" i="24"/>
  <c r="K44" i="24"/>
  <c r="L43" i="24"/>
  <c r="Y38" i="24"/>
  <c r="X39" i="24"/>
  <c r="B36" i="24"/>
  <c r="A37" i="24"/>
  <c r="AA36" i="24"/>
  <c r="AB36" i="24" s="1"/>
  <c r="AE36" i="24" s="1"/>
  <c r="M36" i="17"/>
  <c r="Q35" i="17"/>
  <c r="O35" i="17"/>
  <c r="K45" i="24" l="1"/>
  <c r="L44" i="24"/>
  <c r="M37" i="17"/>
  <c r="Q36" i="17"/>
  <c r="O36" i="17"/>
  <c r="AA37" i="24"/>
  <c r="AB37" i="24" s="1"/>
  <c r="AE37" i="24" s="1"/>
  <c r="A38" i="24"/>
  <c r="B37" i="24"/>
  <c r="X40" i="24"/>
  <c r="Y39" i="24"/>
  <c r="V37" i="24"/>
  <c r="U38" i="24"/>
  <c r="O38" i="24"/>
  <c r="P37" i="24"/>
  <c r="E40" i="24"/>
  <c r="F39" i="24"/>
  <c r="S37" i="24"/>
  <c r="R38" i="24"/>
  <c r="H38" i="24"/>
  <c r="I37" i="24"/>
  <c r="R39" i="24" l="1"/>
  <c r="S38" i="24"/>
  <c r="E41" i="24"/>
  <c r="F40" i="24"/>
  <c r="Y40" i="24"/>
  <c r="X41" i="24"/>
  <c r="Q37" i="17"/>
  <c r="M38" i="17"/>
  <c r="O37" i="17"/>
  <c r="H39" i="24"/>
  <c r="I38" i="24"/>
  <c r="O39" i="24"/>
  <c r="P38" i="24"/>
  <c r="U39" i="24"/>
  <c r="V38" i="24"/>
  <c r="AA38" i="24"/>
  <c r="AB38" i="24" s="1"/>
  <c r="AE38" i="24" s="1"/>
  <c r="A39" i="24"/>
  <c r="B38" i="24"/>
  <c r="K46" i="24"/>
  <c r="L45" i="24"/>
  <c r="K47" i="24" l="1"/>
  <c r="L47" i="24" s="1"/>
  <c r="L46" i="24"/>
  <c r="AA39" i="24"/>
  <c r="AB39" i="24" s="1"/>
  <c r="AE39" i="24" s="1"/>
  <c r="B39" i="24"/>
  <c r="A40" i="24"/>
  <c r="X42" i="24"/>
  <c r="Y41" i="24"/>
  <c r="V39" i="24"/>
  <c r="U40" i="24"/>
  <c r="P39" i="24"/>
  <c r="O40" i="24"/>
  <c r="H40" i="24"/>
  <c r="I39" i="24"/>
  <c r="M39" i="17"/>
  <c r="Q38" i="17"/>
  <c r="O38" i="17"/>
  <c r="F41" i="24"/>
  <c r="E42" i="24"/>
  <c r="S39" i="24"/>
  <c r="R40" i="24"/>
  <c r="S40" i="24" l="1"/>
  <c r="R41" i="24"/>
  <c r="E43" i="24"/>
  <c r="F42" i="24"/>
  <c r="M40" i="17"/>
  <c r="Q39" i="17"/>
  <c r="O39" i="17"/>
  <c r="A41" i="24"/>
  <c r="AA40" i="24"/>
  <c r="AB40" i="24" s="1"/>
  <c r="AE40" i="24" s="1"/>
  <c r="B40" i="24"/>
  <c r="X43" i="24"/>
  <c r="Y42" i="24"/>
  <c r="H41" i="24"/>
  <c r="I40" i="24"/>
  <c r="O41" i="24"/>
  <c r="P40" i="24"/>
  <c r="U41" i="24"/>
  <c r="V40" i="24"/>
  <c r="A42" i="24" l="1"/>
  <c r="B41" i="24"/>
  <c r="AA41" i="24"/>
  <c r="AB41" i="24" s="1"/>
  <c r="AE41" i="24" s="1"/>
  <c r="U42" i="24"/>
  <c r="V41" i="24"/>
  <c r="O42" i="24"/>
  <c r="P41" i="24"/>
  <c r="I41" i="24"/>
  <c r="H42" i="24"/>
  <c r="M41" i="17"/>
  <c r="Q40" i="17"/>
  <c r="O40" i="17"/>
  <c r="E44" i="24"/>
  <c r="F43" i="24"/>
  <c r="Y43" i="24"/>
  <c r="X44" i="24"/>
  <c r="R42" i="24"/>
  <c r="S41" i="24"/>
  <c r="O43" i="24" l="1"/>
  <c r="P42" i="24"/>
  <c r="V42" i="24"/>
  <c r="U43" i="24"/>
  <c r="S42" i="24"/>
  <c r="R43" i="24"/>
  <c r="X45" i="24"/>
  <c r="Y44" i="24"/>
  <c r="E45" i="24"/>
  <c r="F44" i="24"/>
  <c r="Q41" i="17"/>
  <c r="M42" i="17"/>
  <c r="O41" i="17"/>
  <c r="H43" i="24"/>
  <c r="I42" i="24"/>
  <c r="B42" i="24"/>
  <c r="AA42" i="24"/>
  <c r="AB42" i="24" s="1"/>
  <c r="AE42" i="24" s="1"/>
  <c r="A43" i="24"/>
  <c r="H44" i="24" l="1"/>
  <c r="I43" i="24"/>
  <c r="U44" i="24"/>
  <c r="V43" i="24"/>
  <c r="A44" i="24"/>
  <c r="AA43" i="24"/>
  <c r="AB43" i="24" s="1"/>
  <c r="AE43" i="24" s="1"/>
  <c r="B43" i="24"/>
  <c r="Q42" i="17"/>
  <c r="M43" i="17"/>
  <c r="O42" i="17"/>
  <c r="E46" i="24"/>
  <c r="F45" i="24"/>
  <c r="X46" i="24"/>
  <c r="Y45" i="24"/>
  <c r="R44" i="24"/>
  <c r="S43" i="24"/>
  <c r="P43" i="24"/>
  <c r="O44" i="24"/>
  <c r="M44" i="17" l="1"/>
  <c r="Q43" i="17"/>
  <c r="O43" i="17"/>
  <c r="V44" i="24"/>
  <c r="U45" i="24"/>
  <c r="A45" i="24"/>
  <c r="B44" i="24"/>
  <c r="AA44" i="24"/>
  <c r="AB44" i="24" s="1"/>
  <c r="AE44" i="24" s="1"/>
  <c r="P44" i="24"/>
  <c r="O45" i="24"/>
  <c r="R45" i="24"/>
  <c r="S44" i="24"/>
  <c r="X47" i="24"/>
  <c r="Y47" i="24" s="1"/>
  <c r="Y48" i="24" s="1"/>
  <c r="E53" i="24" s="1"/>
  <c r="M98" i="13" s="1"/>
  <c r="Y46" i="24"/>
  <c r="E47" i="24"/>
  <c r="F47" i="24" s="1"/>
  <c r="F46" i="24"/>
  <c r="H45" i="24"/>
  <c r="I44" i="24"/>
  <c r="H46" i="24" l="1"/>
  <c r="I45" i="24"/>
  <c r="S45" i="24"/>
  <c r="R46" i="24"/>
  <c r="P45" i="24"/>
  <c r="O46" i="24"/>
  <c r="A46" i="24"/>
  <c r="B45" i="24"/>
  <c r="AA45" i="24"/>
  <c r="AB45" i="24" s="1"/>
  <c r="AE45" i="24" s="1"/>
  <c r="U46" i="24"/>
  <c r="V45" i="24"/>
  <c r="Q44" i="17"/>
  <c r="M45" i="17"/>
  <c r="O44" i="17"/>
  <c r="O47" i="24" l="1"/>
  <c r="P47" i="24" s="1"/>
  <c r="P46" i="24"/>
  <c r="H47" i="24"/>
  <c r="I47" i="24" s="1"/>
  <c r="I46" i="24"/>
  <c r="Q45" i="17"/>
  <c r="Q46" i="17" s="1"/>
  <c r="M21" i="13" s="1"/>
  <c r="O45" i="17"/>
  <c r="O46" i="17" s="1"/>
  <c r="M20" i="13" s="1"/>
  <c r="U47" i="24"/>
  <c r="V47" i="24" s="1"/>
  <c r="V46" i="24"/>
  <c r="B46" i="24"/>
  <c r="AA46" i="24"/>
  <c r="AB46" i="24" s="1"/>
  <c r="AE46" i="24" s="1"/>
  <c r="A47" i="24"/>
  <c r="R47" i="24"/>
  <c r="S47" i="24" s="1"/>
  <c r="S46" i="24"/>
  <c r="D98" i="13"/>
  <c r="B47" i="24" l="1"/>
  <c r="AA47" i="24"/>
  <c r="AB47" i="24" s="1"/>
  <c r="AE47" i="24" s="1"/>
  <c r="AE48" i="24" s="1"/>
  <c r="V48" i="24"/>
  <c r="E52" i="24" l="1"/>
  <c r="M97" i="13" s="1"/>
  <c r="O62" i="24"/>
  <c r="P17" i="13"/>
  <c r="D21" i="13"/>
  <c r="D20" i="13"/>
  <c r="D17" i="13" l="1"/>
  <c r="A17" i="13" l="1"/>
  <c r="A18" i="13" s="1"/>
  <c r="D97" i="13"/>
  <c r="D86" i="13" l="1"/>
  <c r="P99" i="13"/>
  <c r="B17" i="13"/>
  <c r="J17" i="13" s="1"/>
  <c r="A19" i="13"/>
  <c r="B18" i="13"/>
  <c r="J18" i="13" s="1"/>
  <c r="D11" i="12" l="1"/>
  <c r="B19" i="13"/>
  <c r="J19" i="13" s="1"/>
  <c r="A20" i="13"/>
  <c r="Q99" i="13"/>
  <c r="Q65" i="13"/>
  <c r="Q19" i="13"/>
  <c r="Q47" i="13"/>
  <c r="Q44" i="13"/>
  <c r="Q49" i="13"/>
  <c r="Q45" i="13"/>
  <c r="Q57" i="13"/>
  <c r="Q58" i="13"/>
  <c r="Q59" i="13"/>
  <c r="Q96" i="13"/>
  <c r="Q46" i="13"/>
  <c r="Q73" i="13"/>
  <c r="Q22" i="13"/>
  <c r="Q13" i="13"/>
  <c r="Q10" i="13"/>
  <c r="Q93" i="13"/>
  <c r="Q91" i="13"/>
  <c r="Q79" i="13"/>
  <c r="Q18" i="13"/>
  <c r="Q78" i="13"/>
  <c r="Q51" i="13"/>
  <c r="Q89" i="13"/>
  <c r="Q70" i="13"/>
  <c r="Q67" i="13"/>
  <c r="Q90" i="13"/>
  <c r="Q55" i="13"/>
  <c r="Q68" i="13"/>
  <c r="Q28" i="13"/>
  <c r="Q16" i="13"/>
  <c r="Q69" i="13"/>
  <c r="Q12" i="13"/>
  <c r="Q71" i="13"/>
  <c r="Q80" i="13"/>
  <c r="Q60" i="13"/>
  <c r="Q63" i="13"/>
  <c r="Q56" i="13"/>
  <c r="Q77" i="13"/>
  <c r="Q76" i="13"/>
  <c r="Q25" i="13"/>
  <c r="Q74" i="13"/>
  <c r="Q88" i="13"/>
  <c r="Q75" i="13"/>
  <c r="Q15" i="13"/>
  <c r="Q72" i="13"/>
  <c r="Q92" i="13"/>
  <c r="Q14" i="13"/>
  <c r="Q82" i="13"/>
  <c r="Q53" i="13"/>
  <c r="Q61" i="13"/>
  <c r="Q9" i="13"/>
  <c r="E8" i="12" s="1"/>
  <c r="Q11" i="13"/>
  <c r="E9" i="12" s="1"/>
  <c r="Q62" i="13"/>
  <c r="Q50" i="13"/>
  <c r="Q31" i="13"/>
  <c r="Q32" i="13"/>
  <c r="Q66" i="13"/>
  <c r="Q83" i="13"/>
  <c r="Q29" i="13"/>
  <c r="Q81" i="13"/>
  <c r="Q52" i="13"/>
  <c r="Q64" i="13"/>
  <c r="Q27" i="13"/>
  <c r="Q35" i="13"/>
  <c r="Q34" i="13"/>
  <c r="Q26" i="13"/>
  <c r="Q41" i="13"/>
  <c r="Q40" i="13"/>
  <c r="Q85" i="13"/>
  <c r="Q39" i="13"/>
  <c r="Q84" i="13"/>
  <c r="Q54" i="13"/>
  <c r="Q38" i="13"/>
  <c r="Q42" i="13"/>
  <c r="Q36" i="13"/>
  <c r="Q37" i="13"/>
  <c r="Q23" i="13"/>
  <c r="Q98" i="13"/>
  <c r="Q21" i="13"/>
  <c r="Q20" i="13"/>
  <c r="Q17" i="13"/>
  <c r="Q97" i="13"/>
  <c r="Q86" i="13"/>
  <c r="B20" i="13" l="1"/>
  <c r="J20" i="13" s="1"/>
  <c r="A21" i="13"/>
  <c r="E10" i="12"/>
  <c r="A22" i="13" l="1"/>
  <c r="B21" i="13"/>
  <c r="J21" i="13" s="1"/>
  <c r="B22" i="13" l="1"/>
  <c r="J22" i="13" s="1"/>
  <c r="A23" i="13"/>
  <c r="A24" i="13" l="1"/>
  <c r="A25" i="13" s="1"/>
  <c r="B23" i="13"/>
  <c r="J23" i="13" s="1"/>
  <c r="B25" i="13" l="1"/>
  <c r="J25" i="13" s="1"/>
  <c r="A26" i="13"/>
  <c r="B26" i="13" l="1"/>
  <c r="J26" i="13" s="1"/>
  <c r="A27" i="13"/>
  <c r="A28" i="13" l="1"/>
  <c r="B27" i="13"/>
  <c r="J27" i="13" s="1"/>
  <c r="B28" i="13" l="1"/>
  <c r="J28" i="13" s="1"/>
  <c r="A29" i="13"/>
  <c r="A30" i="13" l="1"/>
  <c r="A31" i="13" s="1"/>
  <c r="B29" i="13"/>
  <c r="J29" i="13" s="1"/>
  <c r="A32" i="13" l="1"/>
  <c r="B31" i="13"/>
  <c r="J31" i="13" s="1"/>
  <c r="A33" i="13" l="1"/>
  <c r="A34" i="13" s="1"/>
  <c r="B32" i="13"/>
  <c r="J32" i="13" s="1"/>
  <c r="A35" i="13" l="1"/>
  <c r="B34" i="13"/>
  <c r="J34" i="13" s="1"/>
  <c r="B35" i="13" l="1"/>
  <c r="J35" i="13" s="1"/>
  <c r="A36" i="13"/>
  <c r="B36" i="13" l="1"/>
  <c r="J36" i="13" s="1"/>
  <c r="A37" i="13"/>
  <c r="B37" i="13" l="1"/>
  <c r="J37" i="13" s="1"/>
  <c r="A38" i="13"/>
  <c r="A39" i="13" l="1"/>
  <c r="B38" i="13"/>
  <c r="J38" i="13" s="1"/>
  <c r="A40" i="13" l="1"/>
  <c r="B39" i="13"/>
  <c r="J39" i="13" s="1"/>
  <c r="B40" i="13" l="1"/>
  <c r="J40" i="13" s="1"/>
  <c r="A41" i="13"/>
  <c r="B41" i="13" l="1"/>
  <c r="J41" i="13" s="1"/>
  <c r="A42" i="13"/>
  <c r="A43" i="13" l="1"/>
  <c r="A44" i="13" s="1"/>
  <c r="B42" i="13"/>
  <c r="J42" i="13" s="1"/>
  <c r="A45" i="13" l="1"/>
  <c r="B44" i="13"/>
  <c r="J44" i="13" s="1"/>
  <c r="A46" i="13" l="1"/>
  <c r="B45" i="13"/>
  <c r="J45" i="13" s="1"/>
  <c r="A47" i="13" l="1"/>
  <c r="B46" i="13"/>
  <c r="J46" i="13" s="1"/>
  <c r="A48" i="13" l="1"/>
  <c r="A49" i="13" s="1"/>
  <c r="B47" i="13"/>
  <c r="J47" i="13" s="1"/>
  <c r="B49" i="13" l="1"/>
  <c r="J49" i="13" s="1"/>
  <c r="A50" i="13"/>
  <c r="A51" i="13" l="1"/>
  <c r="B50" i="13"/>
  <c r="J50" i="13" s="1"/>
  <c r="B51" i="13" l="1"/>
  <c r="J51" i="13" s="1"/>
  <c r="A52" i="13"/>
  <c r="B52" i="13" l="1"/>
  <c r="J52" i="13" s="1"/>
  <c r="A53" i="13"/>
  <c r="B53" i="13" l="1"/>
  <c r="J53" i="13" s="1"/>
  <c r="A54" i="13"/>
  <c r="A55" i="13" l="1"/>
  <c r="B54" i="13"/>
  <c r="J54" i="13" s="1"/>
  <c r="A56" i="13" l="1"/>
  <c r="B55" i="13"/>
  <c r="J55" i="13" s="1"/>
  <c r="A57" i="13" l="1"/>
  <c r="B56" i="13"/>
  <c r="J56" i="13" s="1"/>
  <c r="A58" i="13" l="1"/>
  <c r="B57" i="13"/>
  <c r="J57" i="13" s="1"/>
  <c r="B58" i="13" l="1"/>
  <c r="J58" i="13" s="1"/>
  <c r="A59" i="13"/>
  <c r="B59" i="13" l="1"/>
  <c r="J59" i="13" s="1"/>
  <c r="A60" i="13"/>
  <c r="B60" i="13" l="1"/>
  <c r="J60" i="13" s="1"/>
  <c r="A61" i="13"/>
  <c r="B61" i="13" l="1"/>
  <c r="J61" i="13" s="1"/>
  <c r="A62" i="13"/>
  <c r="A63" i="13" l="1"/>
  <c r="B62" i="13"/>
  <c r="J62" i="13" s="1"/>
  <c r="B63" i="13" l="1"/>
  <c r="J63" i="13" s="1"/>
  <c r="A64" i="13"/>
  <c r="A65" i="13" l="1"/>
  <c r="B64" i="13"/>
  <c r="J64" i="13" s="1"/>
  <c r="B65" i="13" l="1"/>
  <c r="J65" i="13" s="1"/>
  <c r="A66" i="13"/>
  <c r="A67" i="13" l="1"/>
  <c r="B66" i="13"/>
  <c r="J66" i="13" s="1"/>
  <c r="B67" i="13" l="1"/>
  <c r="J67" i="13" s="1"/>
  <c r="A68" i="13"/>
  <c r="B68" i="13" l="1"/>
  <c r="J68" i="13" s="1"/>
  <c r="A69" i="13"/>
  <c r="A70" i="13" l="1"/>
  <c r="B69" i="13"/>
  <c r="J69" i="13" s="1"/>
  <c r="B70" i="13" l="1"/>
  <c r="J70" i="13" s="1"/>
  <c r="A71" i="13"/>
  <c r="A72" i="13" l="1"/>
  <c r="B71" i="13"/>
  <c r="J71" i="13" s="1"/>
  <c r="A73" i="13" l="1"/>
  <c r="B72" i="13"/>
  <c r="J72" i="13" s="1"/>
  <c r="B73" i="13" l="1"/>
  <c r="J73" i="13" s="1"/>
  <c r="A74" i="13"/>
  <c r="B74" i="13" l="1"/>
  <c r="J74" i="13" s="1"/>
  <c r="A75" i="13"/>
  <c r="A76" i="13" l="1"/>
  <c r="B75" i="13"/>
  <c r="J75" i="13" s="1"/>
  <c r="A77" i="13" l="1"/>
  <c r="B76" i="13"/>
  <c r="J76" i="13" s="1"/>
  <c r="B77" i="13" l="1"/>
  <c r="J77" i="13" s="1"/>
  <c r="A78" i="13"/>
  <c r="A79" i="13" l="1"/>
  <c r="B78" i="13"/>
  <c r="J78" i="13" s="1"/>
  <c r="B79" i="13" l="1"/>
  <c r="J79" i="13" s="1"/>
  <c r="A80" i="13"/>
  <c r="B80" i="13" l="1"/>
  <c r="J80" i="13" s="1"/>
  <c r="A81" i="13"/>
  <c r="A82" i="13" l="1"/>
  <c r="B81" i="13"/>
  <c r="J81" i="13" s="1"/>
  <c r="B82" i="13" l="1"/>
  <c r="J82" i="13" s="1"/>
  <c r="A83" i="13"/>
  <c r="B83" i="13" l="1"/>
  <c r="J83" i="13" s="1"/>
  <c r="A84" i="13"/>
  <c r="A85" i="13" l="1"/>
  <c r="B84" i="13"/>
  <c r="J84" i="13" s="1"/>
  <c r="B85" i="13" l="1"/>
  <c r="J85" i="13" s="1"/>
  <c r="A86" i="13"/>
  <c r="A87" i="13" l="1"/>
  <c r="A88" i="13" s="1"/>
  <c r="B86" i="13"/>
  <c r="B88" i="13" l="1"/>
  <c r="J88" i="13" s="1"/>
  <c r="A89" i="13"/>
  <c r="A90" i="13" l="1"/>
  <c r="B89" i="13"/>
  <c r="J89" i="13" s="1"/>
  <c r="A91" i="13" l="1"/>
  <c r="B90" i="13"/>
  <c r="J90" i="13" s="1"/>
  <c r="B91" i="13" l="1"/>
  <c r="J91" i="13" s="1"/>
  <c r="A92" i="13"/>
  <c r="A93" i="13" l="1"/>
  <c r="B92" i="13"/>
  <c r="J92" i="13" s="1"/>
  <c r="A94" i="13" l="1"/>
  <c r="A95" i="13" s="1"/>
  <c r="A96" i="13" s="1"/>
  <c r="B93" i="13"/>
  <c r="J93" i="13" s="1"/>
  <c r="B96" i="13" l="1"/>
  <c r="J96" i="13" s="1"/>
  <c r="A97" i="13"/>
  <c r="A98" i="13" l="1"/>
  <c r="B98" i="13" s="1"/>
  <c r="J98" i="13" s="1"/>
  <c r="B97" i="13"/>
  <c r="J97" i="13" s="1"/>
  <c r="C13" i="12" l="1"/>
  <c r="C14" i="12"/>
  <c r="D12" i="12"/>
  <c r="D14" i="12"/>
  <c r="E20" i="14" s="1"/>
  <c r="D13" i="12"/>
  <c r="E18" i="14" s="1"/>
  <c r="C11" i="12"/>
  <c r="C14" i="14" s="1"/>
  <c r="C12" i="12"/>
  <c r="C16" i="14" s="1"/>
  <c r="E11" i="12"/>
  <c r="E13" i="12"/>
  <c r="E16" i="14"/>
  <c r="C20" i="14"/>
  <c r="E14" i="12"/>
  <c r="C18" i="14"/>
  <c r="E12" i="12"/>
  <c r="M18" i="14" l="1"/>
  <c r="L18" i="14"/>
  <c r="K18" i="14"/>
  <c r="I18" i="14"/>
  <c r="H18" i="14"/>
  <c r="G18" i="14"/>
  <c r="F18" i="14"/>
  <c r="J18" i="14"/>
  <c r="F16" i="14"/>
  <c r="J16" i="14"/>
  <c r="G16" i="14"/>
  <c r="M16" i="14"/>
  <c r="L16" i="14"/>
  <c r="I16" i="14"/>
  <c r="H16" i="14"/>
  <c r="K16" i="14"/>
  <c r="E15" i="12"/>
  <c r="I20" i="14"/>
  <c r="H20" i="14"/>
  <c r="F20" i="14"/>
  <c r="J20" i="14"/>
  <c r="G20" i="14"/>
  <c r="M20" i="14"/>
  <c r="L20" i="14"/>
  <c r="K20" i="14"/>
  <c r="E14" i="14"/>
  <c r="D15" i="12"/>
  <c r="E22" i="14" s="1"/>
  <c r="O20" i="14" l="1"/>
  <c r="P20" i="14" s="1"/>
  <c r="O18" i="14"/>
  <c r="P18" i="14" s="1"/>
  <c r="O16" i="14"/>
  <c r="P16" i="14" s="1"/>
  <c r="H14" i="14"/>
  <c r="H9" i="14" s="1"/>
  <c r="H8" i="14" s="1"/>
  <c r="H24" i="14" s="1"/>
  <c r="H23" i="14" s="1"/>
  <c r="G14" i="14"/>
  <c r="G9" i="14" s="1"/>
  <c r="G8" i="14" s="1"/>
  <c r="G24" i="14" s="1"/>
  <c r="G23" i="14" s="1"/>
  <c r="M14" i="14"/>
  <c r="M9" i="14" s="1"/>
  <c r="M8" i="14" s="1"/>
  <c r="M24" i="14" s="1"/>
  <c r="M23" i="14" s="1"/>
  <c r="L14" i="14"/>
  <c r="L9" i="14" s="1"/>
  <c r="L8" i="14" s="1"/>
  <c r="L24" i="14" s="1"/>
  <c r="L23" i="14" s="1"/>
  <c r="K14" i="14"/>
  <c r="K9" i="14" s="1"/>
  <c r="K8" i="14" s="1"/>
  <c r="K24" i="14" s="1"/>
  <c r="K23" i="14" s="1"/>
  <c r="J14" i="14"/>
  <c r="J9" i="14" s="1"/>
  <c r="J8" i="14" s="1"/>
  <c r="J24" i="14" s="1"/>
  <c r="J23" i="14" s="1"/>
  <c r="I14" i="14"/>
  <c r="I9" i="14" s="1"/>
  <c r="I8" i="14" s="1"/>
  <c r="I24" i="14" s="1"/>
  <c r="I23" i="14" s="1"/>
  <c r="F14" i="14"/>
  <c r="O14" i="14" l="1"/>
  <c r="P14" i="14" s="1"/>
  <c r="F9" i="14"/>
  <c r="E9" i="14" l="1"/>
  <c r="F8" i="14"/>
  <c r="O8" i="14" l="1"/>
  <c r="P8" i="14" s="1"/>
  <c r="F24" i="14"/>
  <c r="F26" i="14" l="1"/>
  <c r="G26" i="14" s="1"/>
  <c r="H26" i="14" s="1"/>
  <c r="I26" i="14" s="1"/>
  <c r="J26" i="14" s="1"/>
  <c r="K26" i="14" s="1"/>
  <c r="L26" i="14" s="1"/>
  <c r="M26" i="14" s="1"/>
  <c r="F23" i="14"/>
  <c r="F25" i="14" s="1"/>
  <c r="G25" i="14" s="1"/>
  <c r="H25" i="14" s="1"/>
  <c r="I25" i="14" s="1"/>
  <c r="J25" i="14" s="1"/>
  <c r="K25" i="14" s="1"/>
  <c r="L25" i="14" s="1"/>
  <c r="M25" i="14" s="1"/>
</calcChain>
</file>

<file path=xl/sharedStrings.xml><?xml version="1.0" encoding="utf-8"?>
<sst xmlns="http://schemas.openxmlformats.org/spreadsheetml/2006/main" count="2722" uniqueCount="1228">
  <si>
    <t>SINAPI</t>
  </si>
  <si>
    <t>I-SINAPI</t>
  </si>
  <si>
    <t>SICRO-SERVIÇOS</t>
  </si>
  <si>
    <t>SICRO-EQUIPAMENTOS</t>
  </si>
  <si>
    <t>SICRO-MÃO-DE-OBRA</t>
  </si>
  <si>
    <t>CÓDIGO:</t>
  </si>
  <si>
    <t>SERVIÇO:</t>
  </si>
  <si>
    <t>UNIDADE:</t>
  </si>
  <si>
    <t>SICRO-MATERIAIS</t>
  </si>
  <si>
    <t>CPAV001</t>
  </si>
  <si>
    <t xml:space="preserve">ADMINISTRAÇÃO LOCAL </t>
  </si>
  <si>
    <t>UN</t>
  </si>
  <si>
    <t>ANP</t>
  </si>
  <si>
    <t xml:space="preserve">CÓDIGO REFERÊNCIA: </t>
  </si>
  <si>
    <t>COMPOSIÇÃO</t>
  </si>
  <si>
    <t>TIPO</t>
  </si>
  <si>
    <t>Mão de obra</t>
  </si>
  <si>
    <t>Horas/  Dia</t>
  </si>
  <si>
    <t>Dias/  Mês</t>
  </si>
  <si>
    <t>Meses</t>
  </si>
  <si>
    <t>Total  Horas</t>
  </si>
  <si>
    <t>Unidade</t>
  </si>
  <si>
    <t>Custo</t>
  </si>
  <si>
    <t>Horário</t>
  </si>
  <si>
    <t>Total</t>
  </si>
  <si>
    <t>CUSTO UNITÁRIO TOTAL  :</t>
  </si>
  <si>
    <t>OBRA:</t>
  </si>
  <si>
    <t>LOCAL:</t>
  </si>
  <si>
    <t>PROPR.:</t>
  </si>
  <si>
    <t>DATA:</t>
  </si>
  <si>
    <t>COMPOSIÇÃO DE CUSTO UNITÁRIO - NÃO DESONERADO</t>
  </si>
  <si>
    <t>FORNECIMENTO E INSTALAÇÃO DE PLACA DE OBRA COM CHAPA GALVANIZADA E ESTRUTURA DE MADEIRA. AF_03/2022_PS</t>
  </si>
  <si>
    <t>M2</t>
  </si>
  <si>
    <t>CÓDIGO</t>
  </si>
  <si>
    <t>UNIDADE</t>
  </si>
  <si>
    <t>COEFICIENTE</t>
  </si>
  <si>
    <t>DETALHAMENTO DE PLACA DE OBRA</t>
  </si>
  <si>
    <t>A medida indicada para confecção desta placa é de 5x2,5m.</t>
  </si>
  <si>
    <t>A medida indicada para confecção desta placa é de 2,5X1,25m.</t>
  </si>
  <si>
    <t>Usar sempre a família de fontes Uni Neue para confeccção das placas.</t>
  </si>
  <si>
    <t>C100 m M 90 Y 00 K 20</t>
  </si>
  <si>
    <t>* De acordo com o Manual de Placas SINFRA</t>
  </si>
  <si>
    <t>BARRACÃO FECHADO PORTE PEQUENO PARA DEPÓSITO DE CIMENTO E ALMOXARIFADO (S=38,72 M2) COM MATERIAIS NOVOS</t>
  </si>
  <si>
    <t>CPAV002</t>
  </si>
  <si>
    <t>00062/ORSE (JANEIRO 2025)</t>
  </si>
  <si>
    <t>COTAÇÃO</t>
  </si>
  <si>
    <t>PONTO DE LUZ EM TETO OU PAREDE, COM ELETRODUTO DE PVC FLEXIVEL SANFONADO APARENTE Ø 3/4"</t>
  </si>
  <si>
    <t>COMP AUX 001</t>
  </si>
  <si>
    <t>UND</t>
  </si>
  <si>
    <t>00641/ORSE (JANEIRO 2025)</t>
  </si>
  <si>
    <t>INTERRUPTOR 01 SEÇÃO, COM CAIXA PVC 4" X 2", APARENTE</t>
  </si>
  <si>
    <t>COMP AUX 002</t>
  </si>
  <si>
    <t>00773/ORSE (JANEIRO 2025)</t>
  </si>
  <si>
    <t>PONTO DE TOMADA 2P+T, ABNT, DE EMBUTIR, 10 A, COM ELETRODUTO DE PVC RÍGIDO EMBUTIDO Ø 3/4", FIO RIGIDO 2,5MM² (FIO 12), INCLUSIVE PLACA EM PVC E ATERRAMENTO</t>
  </si>
  <si>
    <t>COMP AUX 003</t>
  </si>
  <si>
    <t>03297/ORSE (JANEIRO 2025)</t>
  </si>
  <si>
    <t>ORIGEM</t>
  </si>
  <si>
    <t>DMT                                                     (km)</t>
  </si>
  <si>
    <t>PAVIMENTADO</t>
  </si>
  <si>
    <t>CPAV003</t>
  </si>
  <si>
    <t>MOBILIZAÇÃO E DESMOBILIZAÇÃO</t>
  </si>
  <si>
    <t>DESTINO</t>
  </si>
  <si>
    <t>REVESTIMENTO PRIMÁRIO</t>
  </si>
  <si>
    <t>EQUIPAMENTOS DE GRANDE PORTE</t>
  </si>
  <si>
    <t>VIAGENS (K)</t>
  </si>
  <si>
    <t>NÃO PAVIMENTADO</t>
  </si>
  <si>
    <t>QUANT.</t>
  </si>
  <si>
    <t>FU</t>
  </si>
  <si>
    <t>VALOR UNITÁRIO (CH)</t>
  </si>
  <si>
    <t>VALOR TOTAL</t>
  </si>
  <si>
    <t>TRANSPORTADOR</t>
  </si>
  <si>
    <t>DISTÂNCIA (DM)</t>
  </si>
  <si>
    <t>VELOCIDADE (V)</t>
  </si>
  <si>
    <t>E9685</t>
  </si>
  <si>
    <t>E9762</t>
  </si>
  <si>
    <t>E9511</t>
  </si>
  <si>
    <t>E9577</t>
  </si>
  <si>
    <t>E9524</t>
  </si>
  <si>
    <t>E9558</t>
  </si>
  <si>
    <t>E9515</t>
  </si>
  <si>
    <t>CONDUÇÃO PRÓPRIA</t>
  </si>
  <si>
    <t>CONDUÇÃO POR CONTA PRÓPRIA</t>
  </si>
  <si>
    <t xml:space="preserve">TOTAL MOBILIZAÇÃO </t>
  </si>
  <si>
    <t>TOTAL DESMOBILIZAÇÃO</t>
  </si>
  <si>
    <t>FÓRMULA</t>
  </si>
  <si>
    <t xml:space="preserve">• CMob representa o custo de mobilização; </t>
  </si>
  <si>
    <t>• DM representa a distância de mobilização, em quilômetros (km) ou em milhas náuticas (mi)</t>
  </si>
  <si>
    <t xml:space="preserve">• K representa o fator relacionado à necessidade de retorno do veículo a sua origem; </t>
  </si>
  <si>
    <t xml:space="preserve">• FU representa o fator de utilização do veículo transportador; </t>
  </si>
  <si>
    <t xml:space="preserve">• V representa a velocidade média de transporte, em km/h ou nós; </t>
  </si>
  <si>
    <t xml:space="preserve">• CH representa o custo horário do veículo transportador. </t>
  </si>
  <si>
    <t xml:space="preserve">• O fator K será igual a 1 quando o veículo não retornar e 2 quando o veículo transportador retornar ao local de origem. </t>
  </si>
  <si>
    <t>• O fator FU representa o inverso do número de equipamentos a serem transportados nos diferentes veículos transportadores.</t>
  </si>
  <si>
    <t>PLANILHA PARA COMPOSIÇÃO DE CUSTO UNITÁRIO</t>
  </si>
  <si>
    <t>SISTEMA DE CUSTOS REFERENCIAIS DE OBRAS - SICRO</t>
  </si>
  <si>
    <t xml:space="preserve">ESTADO: </t>
  </si>
  <si>
    <t>MATO GROSSO</t>
  </si>
  <si>
    <t>FIC</t>
  </si>
  <si>
    <t>CPAV004</t>
  </si>
  <si>
    <t>ESCAVAÇÃO E CARGA DE MATERIAL COM ESCAVADEIRA HIDRÁULICA DE 1,56 M³</t>
  </si>
  <si>
    <t>Prod. Equipe:</t>
  </si>
  <si>
    <t>M³</t>
  </si>
  <si>
    <t>A</t>
  </si>
  <si>
    <t>Equipamentos</t>
  </si>
  <si>
    <t>Quant.</t>
  </si>
  <si>
    <t>Utilização</t>
  </si>
  <si>
    <t>SEM DESONERAÇÃO</t>
  </si>
  <si>
    <t>COM DESONERAÇÃO</t>
  </si>
  <si>
    <t>Custo Operacional</t>
  </si>
  <si>
    <t>Operativa</t>
  </si>
  <si>
    <t>Improdutiva</t>
  </si>
  <si>
    <t>Produtivo</t>
  </si>
  <si>
    <t>Improdutivo</t>
  </si>
  <si>
    <t>ESCAVAÇÃO E CARGA DE MATERIAL DE JAZIDA COM ESCAVADEIRA HIDRÁULICA DE 1,56 M³</t>
  </si>
  <si>
    <t>Custo Horário de Equipamentos &gt;&gt;</t>
  </si>
  <si>
    <t>B</t>
  </si>
  <si>
    <t>Mão de Obra</t>
  </si>
  <si>
    <t>Custo Horario</t>
  </si>
  <si>
    <t>Custo Horário Total</t>
  </si>
  <si>
    <t>P9824</t>
  </si>
  <si>
    <t xml:space="preserve">Custo Horário da Mão de Obra &gt;&gt;  </t>
  </si>
  <si>
    <t xml:space="preserve">Custo Horário total de execução &gt;&gt;  </t>
  </si>
  <si>
    <t xml:space="preserve">Custo Unitário de Execução &gt;&gt; </t>
  </si>
  <si>
    <t xml:space="preserve">Custo FIC &gt;&gt; </t>
  </si>
  <si>
    <t>C</t>
  </si>
  <si>
    <t>Material</t>
  </si>
  <si>
    <t>Und</t>
  </si>
  <si>
    <t>Preço Unitário</t>
  </si>
  <si>
    <t>Custo Unitário</t>
  </si>
  <si>
    <t>M0284</t>
  </si>
  <si>
    <t>Custo Total do Material &gt;&gt;</t>
  </si>
  <si>
    <t>D</t>
  </si>
  <si>
    <t>ATIVIDADES AUXILIARES**</t>
  </si>
  <si>
    <t>Custo Unitário Total</t>
  </si>
  <si>
    <t>Custo total de atividades auxiliares &gt;&gt;</t>
  </si>
  <si>
    <t>Subtotal &gt;&gt;</t>
  </si>
  <si>
    <t>E</t>
  </si>
  <si>
    <t>TEMPO FIXO*</t>
  </si>
  <si>
    <t>Código</t>
  </si>
  <si>
    <t xml:space="preserve">Custo total de atividades auxiliares &gt;&gt; </t>
  </si>
  <si>
    <t>F</t>
  </si>
  <si>
    <t>MOMENTO DE TRANSPORTE</t>
  </si>
  <si>
    <t>DMT</t>
  </si>
  <si>
    <t>LN</t>
  </si>
  <si>
    <t>RP</t>
  </si>
  <si>
    <t>P</t>
  </si>
  <si>
    <t xml:space="preserve">CUSTO UNITÁRIO DIRETO TOTAL  &gt;&gt;  </t>
  </si>
  <si>
    <t>NOTA: COMPOSIÇÃO DE REFERENCIA SICRO 4016096 - ESCAVAÇÃO E CARGA DE MATERIAL DE JAZIDA COM ESCAVADEIRA HIDRÁULICA DE 1,56 M³</t>
  </si>
  <si>
    <t>PAVIMENTO COM TRATAMENTO SUPERFICIAL DUPLO, COM EMULSÃO ASFÁLTICA RR-2C. AF_01/2020</t>
  </si>
  <si>
    <t>CPAV006-1</t>
  </si>
  <si>
    <t>104389  - SINAPI - Caderno Técnico do Serviço - Tratamentos Superficiais (04/2023)</t>
  </si>
  <si>
    <t>PEDRA BRITADA N. 0, OU PEDRISCO (4,8 A 9,5 MM) POSTO PEDREIRA/FORNECEDOR, SEM FRETE</t>
  </si>
  <si>
    <t xml:space="preserve">M3    </t>
  </si>
  <si>
    <t>PEDRA BRITADA N. 1 (9,5 a 19 MM) POSTO PEDREIRA/FORNECEDOR, SEM FRETE</t>
  </si>
  <si>
    <t>EMULSAO ASFALTICA CATIONICA RR-2C PARA USO EM PAVIMENTACAO ASFALTICA</t>
  </si>
  <si>
    <t>KG</t>
  </si>
  <si>
    <t>FORNECIMENTO E IMPLANTAÇÃO DE PLACA DE IDENTIFICAÇÃO DE LOGRADOURO</t>
  </si>
  <si>
    <t>CPAV008</t>
  </si>
  <si>
    <t>04526-ORSE MARÇO/2024</t>
  </si>
  <si>
    <t>FORNECIMENTO E IMPLANTAÇÃO DO POSTE EM TUBO DE AÇO GALVANIZADO 2</t>
  </si>
  <si>
    <t>CPAV009</t>
  </si>
  <si>
    <t>00799/ORSE MARÇO/2024</t>
  </si>
  <si>
    <t>Agência Nacional do Petróleo, Gás Natural e Biocombustíveis</t>
  </si>
  <si>
    <t>PIS:</t>
  </si>
  <si>
    <t>Superintendência de Defesa da Concorrência, Estudos e Regulação Econômica</t>
  </si>
  <si>
    <t>COFINS:</t>
  </si>
  <si>
    <t>ICMS*:</t>
  </si>
  <si>
    <t xml:space="preserve">PREÇO MÉDIO MENSAL PONDERADO PRATICADO PELOS DISTRIBUIDORES DE PRODUTOS ASFÁLTICOS (R$/KG) </t>
  </si>
  <si>
    <t>Produto</t>
  </si>
  <si>
    <t>Mato Grosso</t>
  </si>
  <si>
    <t>PIS/COFINS</t>
  </si>
  <si>
    <t>ASFALTOS DILUÍDOS CM-30</t>
  </si>
  <si>
    <t>-</t>
  </si>
  <si>
    <t>ASFALTOS DILUÍDOS CM-70</t>
  </si>
  <si>
    <t>ASFALTOS DILUÍDOS CR-250</t>
  </si>
  <si>
    <t>ASFALTOS DILUÍDOS CR-70</t>
  </si>
  <si>
    <t>CAP MODIFICADO POR BORRACHA DE PNEU AB22</t>
  </si>
  <si>
    <t>CAP MODIFICADO POR BORRACHA DE PNEU AB8</t>
  </si>
  <si>
    <t>CAP MODIFICADO POR POLÍMERO 55-75-E</t>
  </si>
  <si>
    <t>CAP MODIFICADO POR POLÍMERO 60-85-E</t>
  </si>
  <si>
    <t>CAP MODIFICADO POR POLÍMERO 65-90-E</t>
  </si>
  <si>
    <t>CIMENTOS ASFÁLTICOS CAP-150-200</t>
  </si>
  <si>
    <t>CIMENTOS ASFÁLTICOS CAP-30-45</t>
  </si>
  <si>
    <t>CIMENTOS ASFÁLTICOS CAP-50-70</t>
  </si>
  <si>
    <t>CIMENTOS ASFÁLTICOS CAP-85-100</t>
  </si>
  <si>
    <t>EMULSÃO ASFÁLTICA CATIÔNICA DE RUPTURA CONTROLADA PARA SERVIÇO DE LAMA ASFÁLTICA</t>
  </si>
  <si>
    <t>EMULSÃO ASFÁLTICA DE RUPTURA LENTA CATIÔNICA PARA SERVIÇO DE LAMA ASFÁLTICA</t>
  </si>
  <si>
    <t>EMULSÃO ASFÁLTICA DE RUPTURA LENTA DE CARGA NEUTRA PARA SERVIÇO DE LAMA ASFÁLTICA</t>
  </si>
  <si>
    <t>EMULSÃO ASFÁLTICA PARA SERVIÇO DE IMPRIMAÇÃO</t>
  </si>
  <si>
    <t>EMULSÕES ASF. MOD. POR POLÍMEROS RC1C-E</t>
  </si>
  <si>
    <t>EMULSÕES ASF. MOD. POR POLÍMEROS RL1C-E</t>
  </si>
  <si>
    <t>EMULSÕES ASF. MOD. POR POLÍMEROS RM1C-E</t>
  </si>
  <si>
    <t>EMULSÕES ASF. MOD. POR POLÍMEROS RR1C-E</t>
  </si>
  <si>
    <t>EMULSÕES ASF. MOD. POR POLÍMEROS RR2C-E</t>
  </si>
  <si>
    <t>EMULSÕES ASFÁLTICAS RL-1C</t>
  </si>
  <si>
    <t>EMULSÕES ASFÁLTICAS RM-1C</t>
  </si>
  <si>
    <t>EMULSÕES ASFÁLTICAS RM-2C</t>
  </si>
  <si>
    <t>EMULSÕES ASFÁLTICAS RR-1C</t>
  </si>
  <si>
    <t>EMULSÕES ASFÁLTICAS RR-2C</t>
  </si>
  <si>
    <t>OBS: No cálculo dos preços médios mensais, são considerados os preços à vista segundo regiões de origem do produto, ponderados pelos respectivos volumes comercializados, sem ICMS (em função das diferenças tributárias existentes entre estados), PIS/Pasep e Cofins e sem inclusões de fretes entre origem e destino.</t>
  </si>
  <si>
    <t>BINÔMIO "AQUISIÇÃO + TRANSPORTE" DE BRITA</t>
  </si>
  <si>
    <t>DATA DA COTAÇÃO</t>
  </si>
  <si>
    <t>PREÇO</t>
  </si>
  <si>
    <t>Rodovia não pav.</t>
  </si>
  <si>
    <t>Rodovia pav. Até 30km</t>
  </si>
  <si>
    <t>Adicional 30km</t>
  </si>
  <si>
    <t>CUSTO TRANSP</t>
  </si>
  <si>
    <t>AQUIS + TRANSP</t>
  </si>
  <si>
    <t>DADOS DA EMPRESA</t>
  </si>
  <si>
    <t xml:space="preserve">CUSTO </t>
  </si>
  <si>
    <t>em ton</t>
  </si>
  <si>
    <t>em m³</t>
  </si>
  <si>
    <t>Km</t>
  </si>
  <si>
    <t>(R$)</t>
  </si>
  <si>
    <t>(R$/m³)</t>
  </si>
  <si>
    <t>DISTRIBUIDORA</t>
  </si>
  <si>
    <t>CNPJ</t>
  </si>
  <si>
    <t>LOCALIZAÇÃO</t>
  </si>
  <si>
    <t>TELEFONE</t>
  </si>
  <si>
    <t>CONTATO</t>
  </si>
  <si>
    <t>TIPO DE MATERIAL: PÓ DE PEDRA</t>
  </si>
  <si>
    <t>PEDREIRA SHALON</t>
  </si>
  <si>
    <t xml:space="preserve">20.739.103/0001-85 </t>
  </si>
  <si>
    <t>ÁGUA BOA</t>
  </si>
  <si>
    <t>(66) 99281-0169</t>
  </si>
  <si>
    <t>Ingridi Oliveira</t>
  </si>
  <si>
    <t>J A  MACHNIC-ME</t>
  </si>
  <si>
    <t>PRIMAVERA DO LESTE</t>
  </si>
  <si>
    <t>(66) 99636-4053</t>
  </si>
  <si>
    <t>BRITAZIL</t>
  </si>
  <si>
    <t>28.942.414/0001-59</t>
  </si>
  <si>
    <t>CONFRESA</t>
  </si>
  <si>
    <t xml:space="preserve">Francieli Darui </t>
  </si>
  <si>
    <t xml:space="preserve">VALOR ADOTADO = </t>
  </si>
  <si>
    <t>TIPO DE MATERIAL: BRITA 0 ou PEDRISCO</t>
  </si>
  <si>
    <t>TIPO DE MATERIAL: BRITA 1</t>
  </si>
  <si>
    <t>TIPO DE MATERIAL: BRITA 2</t>
  </si>
  <si>
    <t>* As cotações fornecidas pelas empresas seguem em anexo.</t>
  </si>
  <si>
    <t>** Considerou-se a densidade dos materiais pétreos = 1,5</t>
  </si>
  <si>
    <t xml:space="preserve">Pesquisa de Mercado: </t>
  </si>
  <si>
    <t xml:space="preserve">Na cotação direta com os fornecedores somente serão admitidos os preços cujas datas não se diferenciem em mais de 180 (cento e oitenta) dias, ou seja, nenhuma proposta direta de fornecedor deve conter diferença de data maior que 180 dias quando comparadas às demais em um grupo de pesquisa de preços junto a fornecedores no mesmo processo. A partir das cotações obtidas, deve-se realizar algum tratamento estatístico sobre os valores coletados para se obter um custo referencial. Entre outros critérios, pode ser utilizada a média, mediana, moda, primeiro quartil ou valor mínimo dos dados pesquisados. Nesse aspecto, a Instrução Normativa SLTI/MPOG nº 7/2014 dispõe que o resultado da pesquisa de preços será a média ou o menor dos preços obtidos, podendo o gestor adotar a forma que melhor atenda ao objeto a ser contratado e à realidade local. </t>
  </si>
  <si>
    <t xml:space="preserve">O TCU no Acórdão 7.290/2013 –  Segunda Câmara entendeu que, quando da pesquisa de preços de mercado para definição de valores referenciais de licitações, devem ser adotadas as cotações mínimas encontradas sempre que se tratar de insumo ou equipamento fornecido exclusivamente por um conjunto restrito de empresas. </t>
  </si>
  <si>
    <t>Fonte: TCU - ORIENTAÇÕES PARA ELABORAÇÃO DE PLANILHAS ORÇAMENTÁRIAS  DE OBRAS PÚBLICAS</t>
  </si>
  <si>
    <t>ITEM</t>
  </si>
  <si>
    <t>DISCRIMINAÇÃO</t>
  </si>
  <si>
    <t>PERCENTUAL</t>
  </si>
  <si>
    <t>( % )</t>
  </si>
  <si>
    <t>MAX</t>
  </si>
  <si>
    <t>MIN</t>
  </si>
  <si>
    <t>ADMINISTRAÇÃO DA OBRA</t>
  </si>
  <si>
    <t>1.1</t>
  </si>
  <si>
    <r>
      <rPr>
        <b/>
        <sz val="11"/>
        <rFont val="Arial"/>
        <family val="2"/>
      </rPr>
      <t>AC -</t>
    </r>
    <r>
      <rPr>
        <sz val="11"/>
        <rFont val="Arial"/>
        <family val="2"/>
      </rPr>
      <t xml:space="preserve"> Administração Central</t>
    </r>
  </si>
  <si>
    <t>1.2</t>
  </si>
  <si>
    <r>
      <rPr>
        <b/>
        <sz val="11"/>
        <rFont val="Arial"/>
        <family val="2"/>
      </rPr>
      <t>DF -</t>
    </r>
    <r>
      <rPr>
        <sz val="11"/>
        <rFont val="Arial"/>
        <family val="2"/>
      </rPr>
      <t xml:space="preserve"> Custos Financeiras</t>
    </r>
  </si>
  <si>
    <t>1.3</t>
  </si>
  <si>
    <r>
      <rPr>
        <b/>
        <sz val="11"/>
        <rFont val="Arial"/>
        <family val="2"/>
      </rPr>
      <t xml:space="preserve">R - </t>
    </r>
    <r>
      <rPr>
        <sz val="11"/>
        <rFont val="Arial"/>
        <family val="2"/>
      </rPr>
      <t>Riscos</t>
    </r>
  </si>
  <si>
    <t>1.4</t>
  </si>
  <si>
    <r>
      <rPr>
        <b/>
        <sz val="11"/>
        <rFont val="Arial"/>
        <family val="2"/>
      </rPr>
      <t>S + G -</t>
    </r>
    <r>
      <rPr>
        <sz val="11"/>
        <rFont val="Arial"/>
        <family val="2"/>
      </rPr>
      <t xml:space="preserve"> Seguros + Garantias</t>
    </r>
  </si>
  <si>
    <t>2.0</t>
  </si>
  <si>
    <t>LUCRO</t>
  </si>
  <si>
    <t>2.1</t>
  </si>
  <si>
    <r>
      <rPr>
        <b/>
        <sz val="11"/>
        <rFont val="Arial"/>
        <family val="2"/>
      </rPr>
      <t>L -</t>
    </r>
    <r>
      <rPr>
        <sz val="11"/>
        <rFont val="Arial"/>
        <family val="2"/>
      </rPr>
      <t xml:space="preserve"> Lucro Operacional</t>
    </r>
  </si>
  <si>
    <t>3.0</t>
  </si>
  <si>
    <t>TRIBUTOS</t>
  </si>
  <si>
    <t>3.1</t>
  </si>
  <si>
    <t>**ISS</t>
  </si>
  <si>
    <t>3.2</t>
  </si>
  <si>
    <t>COFINS</t>
  </si>
  <si>
    <t>3.3</t>
  </si>
  <si>
    <t>PIS</t>
  </si>
  <si>
    <t>3.4</t>
  </si>
  <si>
    <t>Contribuição Previdenciária - Lei nº 12.546/13</t>
  </si>
  <si>
    <t>**ISS - Repassado pelo município</t>
  </si>
  <si>
    <t>De acordo com o acórdão 2622/2013  TCU- Critérios de aceitabilidade para lucros e despesas indiretas.</t>
  </si>
  <si>
    <t xml:space="preserve">TAXA DE BDI A SER APLICADA SOBRE O CUSTO DIRETO </t>
  </si>
  <si>
    <t>Não incidem IRPJ e CSLL na composição de Tributos.</t>
  </si>
  <si>
    <t>ISS - Repassado pelo município</t>
  </si>
  <si>
    <t>% SOBRE MÃO DE OBRA</t>
  </si>
  <si>
    <t>**Conforme declarado pela prefeitura municipal</t>
  </si>
  <si>
    <t>Etapa</t>
  </si>
  <si>
    <t>Descrição da Meta / Sub-Meta</t>
  </si>
  <si>
    <t>Repasse</t>
  </si>
  <si>
    <t>Contrapartida Financeira</t>
  </si>
  <si>
    <t>Outros</t>
  </si>
  <si>
    <t>Investimento</t>
  </si>
  <si>
    <t xml:space="preserve">PAVIMENTAÇÃO </t>
  </si>
  <si>
    <t>EXECUÇÃO DE OBRA DE PAVIMENTAÇÃO</t>
  </si>
  <si>
    <t>TOTAL</t>
  </si>
  <si>
    <t>DESCRIÇÃO DO SERVIÇO</t>
  </si>
  <si>
    <t xml:space="preserve"> TOTAL EXECUÇÃO</t>
  </si>
  <si>
    <t>%</t>
  </si>
  <si>
    <t>TOTAL GERAL &gt;&gt;</t>
  </si>
  <si>
    <t>TABELAS DE REFERÊNCIA:</t>
  </si>
  <si>
    <t>SINAPI (DEZEMBRO/2025)
ANP (DEZEMBRO/2025)
SICRO (OUTUBRO/2025)</t>
  </si>
  <si>
    <t>DESONERADO</t>
  </si>
  <si>
    <t>SERVIÇO</t>
  </si>
  <si>
    <t>INSUMO</t>
  </si>
  <si>
    <t>ENCARGOS SOCIAIS:</t>
  </si>
  <si>
    <t>NÃO DESONERADO</t>
  </si>
  <si>
    <t>DIFERENCIADO</t>
  </si>
  <si>
    <t>BDI SERVIÇOS:</t>
  </si>
  <si>
    <t>BDI DIFERENCIADO:</t>
  </si>
  <si>
    <t>BOLETIM</t>
  </si>
  <si>
    <t>BDI</t>
  </si>
  <si>
    <t>QUANTIDADE</t>
  </si>
  <si>
    <t>VALOR</t>
  </si>
  <si>
    <t>UNITÁRIO</t>
  </si>
  <si>
    <t>COM BDI</t>
  </si>
  <si>
    <t>ADMINISTRAÇÃO LOCAL</t>
  </si>
  <si>
    <t>SERVIÇOS PRELIMINARES</t>
  </si>
  <si>
    <t>CPAV003-1</t>
  </si>
  <si>
    <t>CPAV003-2</t>
  </si>
  <si>
    <t>TERRAPLANAGEM</t>
  </si>
  <si>
    <t>PAVIMENTAÇÃO</t>
  </si>
  <si>
    <t>EXECUÇÃO DE PAVIMENTO</t>
  </si>
  <si>
    <t>AQUISIÇÃO DOS PRODUTOS ASFÁLTICOS</t>
  </si>
  <si>
    <t>T</t>
  </si>
  <si>
    <t>TRANSPORTE DE MATERIAIS DE PAVIMENTAÇÃO</t>
  </si>
  <si>
    <t>DRENAGEM</t>
  </si>
  <si>
    <t>DRENAGEM SUPERFICIAL</t>
  </si>
  <si>
    <t>DRENAGEM PROFUNDA</t>
  </si>
  <si>
    <t>SINALIZAÇÃO VIÁRIA</t>
  </si>
  <si>
    <t>SINALIZAÇÃO VERTICAL</t>
  </si>
  <si>
    <t>SINALIZAÇÃO HORIZONTAL</t>
  </si>
  <si>
    <t>TOTAL GERAL DO ORÇAMENTO &gt;&gt;</t>
  </si>
  <si>
    <t>TOTAL POR ETAPA</t>
  </si>
  <si>
    <t>1.0</t>
  </si>
  <si>
    <t>4.0</t>
  </si>
  <si>
    <t>5.0</t>
  </si>
  <si>
    <t>6.0</t>
  </si>
  <si>
    <t>7.0</t>
  </si>
  <si>
    <t>TOTAL GERAL</t>
  </si>
  <si>
    <t>PORCENTAGEM MENSAL</t>
  </si>
  <si>
    <t>CUSTO MENSAL</t>
  </si>
  <si>
    <t>PORCENTAGEM ACUMULADA</t>
  </si>
  <si>
    <t>CUSTO ACUMULADO</t>
  </si>
  <si>
    <t xml:space="preserve">QUADRO DE RUAS </t>
  </si>
  <si>
    <t>LOGRADOURO</t>
  </si>
  <si>
    <t>COORDENADAS</t>
  </si>
  <si>
    <t>ESTACAS</t>
  </si>
  <si>
    <t>EXTENSÃO</t>
  </si>
  <si>
    <t>LARGURA</t>
  </si>
  <si>
    <t>ÁREA</t>
  </si>
  <si>
    <t>LIMPA RODAS E EMBOC.</t>
  </si>
  <si>
    <t>ÁREA TOTAL</t>
  </si>
  <si>
    <t>INICIAL</t>
  </si>
  <si>
    <t>FINAL</t>
  </si>
  <si>
    <t>(m)</t>
  </si>
  <si>
    <t>(m²)</t>
  </si>
  <si>
    <t>RUA LAGES</t>
  </si>
  <si>
    <t>13°32'17.27"S   52°15'55.97"O</t>
  </si>
  <si>
    <t>13°32'16.43"S   52°15'49.15"O</t>
  </si>
  <si>
    <t>+</t>
  </si>
  <si>
    <t>RUA RESERVA - T1</t>
  </si>
  <si>
    <t>13°32'18.19"S   52°15'55.78"O</t>
  </si>
  <si>
    <t>13°32'17.77"S   52°15'53.81"O</t>
  </si>
  <si>
    <t>RUA RESERVA - T2</t>
  </si>
  <si>
    <t>13°32'17.71"S   52°15'53.61"O</t>
  </si>
  <si>
    <t>13°32'16.95"S   52°15'50.12"O</t>
  </si>
  <si>
    <t>RUA ANDIRÁ - T1</t>
  </si>
  <si>
    <t>13°32'20.14"S   52°15'55.39"O</t>
  </si>
  <si>
    <t>13°32'19.73"S   52°15'53.36"O</t>
  </si>
  <si>
    <t>RUA ANDIRÁ - T2</t>
  </si>
  <si>
    <t>13°32'19.70"S   52°15'53.16"O</t>
  </si>
  <si>
    <t>13°32'18.90"S   52°15'49.73"O</t>
  </si>
  <si>
    <t>AVENIDA SETE DE SETEMBRO - LE</t>
  </si>
  <si>
    <t>13°32'22.16"S   52°15'54.87"O</t>
  </si>
  <si>
    <t>13°32'20.89"S   52°15'49.27"O</t>
  </si>
  <si>
    <t>AVENIDA SETE DE SETEMBRO - LD</t>
  </si>
  <si>
    <t>13°32'23.59"S   52°15'54.64"O</t>
  </si>
  <si>
    <t>13°32'22.32"S   52°15'48.95"O</t>
  </si>
  <si>
    <t>RUA INDEPENDÊNCIA - T1</t>
  </si>
  <si>
    <t>13°32'26.00"S   52°15'54.16"O</t>
  </si>
  <si>
    <t>13°32'25.56"S   52°15'52.06"O</t>
  </si>
  <si>
    <t>RUA INDEPENDÊNCIA - T2</t>
  </si>
  <si>
    <t>13°32'25.50"S  52°15'51.86"O</t>
  </si>
  <si>
    <t>13°32'24.76"S   52°15'48.39"O</t>
  </si>
  <si>
    <t>RUA PARANAVAÍ - T1</t>
  </si>
  <si>
    <t>13°32'27.90"S   52°15'53.43"O</t>
  </si>
  <si>
    <t>13°32'27.51"S   52°15'51.60"O</t>
  </si>
  <si>
    <t>RUA PARANAVAÍ - T2</t>
  </si>
  <si>
    <t>13°32'27.45"S   52°15'51.40"O</t>
  </si>
  <si>
    <t>13°32'26.72"S   52°15'47.97"O</t>
  </si>
  <si>
    <t>RUA PONTA GROSSA - T1</t>
  </si>
  <si>
    <t>13°32'31.19"S   52°15'59.14"O</t>
  </si>
  <si>
    <t>13°32'30.14"S  52°15'54.14"O</t>
  </si>
  <si>
    <t>RUA PONTA GROSSA - T2</t>
  </si>
  <si>
    <t>13°32'30.07"S   52°15'53.88"O</t>
  </si>
  <si>
    <t>13°32'29.50"S   52°15'51.21"O</t>
  </si>
  <si>
    <t>RUA PONTA GROSSA - T3</t>
  </si>
  <si>
    <t>13°32'29.44"S  52°15'50.98"O</t>
  </si>
  <si>
    <t>13°32'28.71"S   52°15'47.52"O</t>
  </si>
  <si>
    <t>RUA ASTORGA - T1</t>
  </si>
  <si>
    <t>13°32'33.27"S   52°15'59.05"O</t>
  </si>
  <si>
    <t>13°32'32.92"S   52°15'57.35"O</t>
  </si>
  <si>
    <t>RUA ASTORGA - T2</t>
  </si>
  <si>
    <t>13°32'32.82"S   52°15'57.15"O</t>
  </si>
  <si>
    <t>13°32'32.09"S  52°15'53.72"O</t>
  </si>
  <si>
    <t>RUA ASTORGA - T3</t>
  </si>
  <si>
    <t>13°32'32.06"S   52°15'53.42"O</t>
  </si>
  <si>
    <t>13°32'31.46"S   52°15'50.79"O</t>
  </si>
  <si>
    <t>RUA ASTORGA - T4</t>
  </si>
  <si>
    <t>13°32'31.43"S   52°15'50.56"O</t>
  </si>
  <si>
    <t>13°32'30.69"S   52°15'47.09"O</t>
  </si>
  <si>
    <t>RUA SÃO JOSÉ DOS PINHAIS - T1</t>
  </si>
  <si>
    <t>13°32'35.13"S  52°15'58.30"O</t>
  </si>
  <si>
    <t>13°32'34.84"S   52°15'56.96"O</t>
  </si>
  <si>
    <t>RUA SÃO JOSÉ DOS PINHAIS - T2</t>
  </si>
  <si>
    <t>13°32'34.81"S   52°15'56.73"O</t>
  </si>
  <si>
    <t>13°32'34.05"S   52°15'53.27"O</t>
  </si>
  <si>
    <t>RUA SÃO JOSÉ DOS PINHAIS - T3</t>
  </si>
  <si>
    <t>13°32'34.02"S   52°15'53.00"O</t>
  </si>
  <si>
    <t>13°32'33.44"S   52°15'50.30"O</t>
  </si>
  <si>
    <t>RUA SÃO JOSÉ DOS PINHAIS - T4</t>
  </si>
  <si>
    <t>13°32'33.38"S   52°15'50.10"O</t>
  </si>
  <si>
    <t>13°32'32.65"S  52°15'46.64"O</t>
  </si>
  <si>
    <t>RUA COLORADO - T1</t>
  </si>
  <si>
    <t>13°32'36.80"S   52°15'56.27"O</t>
  </si>
  <si>
    <t>13°32'36.04"S   52°15'52.84"O</t>
  </si>
  <si>
    <t>RUA COLORADO - T2</t>
  </si>
  <si>
    <t>13°32'36.00"S   52°15'52.54"O</t>
  </si>
  <si>
    <t>13°32'35.40"S   52°15'49.88"O</t>
  </si>
  <si>
    <t>RUA COLORADO - T3</t>
  </si>
  <si>
    <t>13°32'35.37"S  52°15'49.65"O</t>
  </si>
  <si>
    <t>13°32'34.60"S   52°15'46.22"O</t>
  </si>
  <si>
    <t>RUA FOZ DO IGUAÇU - T1</t>
  </si>
  <si>
    <t>13°32'39.04"S   52°15'57.42"O</t>
  </si>
  <si>
    <t>13°32'38.79"S   52°15'56.05"O</t>
  </si>
  <si>
    <t>RUA FOZ DO IGUAÇU - T2</t>
  </si>
  <si>
    <t>13°32'38.72"S   52°15'55.85"O</t>
  </si>
  <si>
    <t>13°32'37.99"S   52°15'52.39"O</t>
  </si>
  <si>
    <t>RUA FOZ DO IGUAÇU - T3</t>
  </si>
  <si>
    <t>13°32'37.93"S  52°15'52.12"O</t>
  </si>
  <si>
    <t>13°32'37.39"S   52°15'49.46"O</t>
  </si>
  <si>
    <t>RUA FOZ DO IGUAÇU - T4</t>
  </si>
  <si>
    <t>13°32'37.36"S   52°15'49.26"O</t>
  </si>
  <si>
    <t>13°32'36.59"S    52°15'45.76"O</t>
  </si>
  <si>
    <t>RUA CARAZINHO</t>
  </si>
  <si>
    <t>13°32'39.95"S   52°15'51.70"O</t>
  </si>
  <si>
    <t>13°32'38.55"S   52°15'45.34"O</t>
  </si>
  <si>
    <t>RUA LONDRINA</t>
  </si>
  <si>
    <t>13°32'42.59"S   52°15'50.95"O</t>
  </si>
  <si>
    <t>13°32'41.54"S   52°15'45.72"O</t>
  </si>
  <si>
    <t>RUA CENTRO NOVO</t>
  </si>
  <si>
    <t>13°32'40.68"S   52°15'55.56"O</t>
  </si>
  <si>
    <t>13°32'31.03"S  52°15'57.67"O</t>
  </si>
  <si>
    <t>RUA DESEMIGRADOS</t>
  </si>
  <si>
    <t>13°32'39.85"S   52°15'51.87"O</t>
  </si>
  <si>
    <t>13°32'28.84"S   52°15'54.30"O</t>
  </si>
  <si>
    <t>RUA MARIALVA - T1</t>
  </si>
  <si>
    <t>13°32'39.21"S   52°15'48.97"O</t>
  </si>
  <si>
    <t>13°32'23.25"S  52°15'52.48"O</t>
  </si>
  <si>
    <t>RUA MARIALVA - T2</t>
  </si>
  <si>
    <t>13°32'22.95"S   52°15'52.54"O</t>
  </si>
  <si>
    <t>13°32'21.85"S   52°15'52.80"O</t>
  </si>
  <si>
    <t>RUA MARIALVA - T3</t>
  </si>
  <si>
    <t>13°32'21.52"S   52°15'52.87"O</t>
  </si>
  <si>
    <t>13°32'17.12"S   52°15'53.88"O</t>
  </si>
  <si>
    <t>RUA CAMPO LARGO</t>
  </si>
  <si>
    <t>13°32'41.60"S   52°15'46.65"O</t>
  </si>
  <si>
    <t>13°32'39.12"S   52°15'47.21"O</t>
  </si>
  <si>
    <t>RUA PARANAGUÁ</t>
  </si>
  <si>
    <t>13°32'41.44"S   52°15'45.42"O</t>
  </si>
  <si>
    <t>13°32'16.69"S   52°15'50.05"O</t>
  </si>
  <si>
    <t>RUA CAMPINAS</t>
  </si>
  <si>
    <t>13°32'38.94"S  52°15'44.14"O</t>
  </si>
  <si>
    <t>13°32'26.07"S  52°15'47.07"O</t>
  </si>
  <si>
    <t>ACESSO 1</t>
  </si>
  <si>
    <t>13°32'38.58"S  52°15'45.11"O</t>
  </si>
  <si>
    <t>13°32'38.39"S  52°15'44.44"O</t>
  </si>
  <si>
    <t>ACESSO 2</t>
  </si>
  <si>
    <t>13°32'26.79"S  52°15'47.74"O</t>
  </si>
  <si>
    <t>13°32'26.43"S  52°15'47.14"O</t>
  </si>
  <si>
    <t>TOTAL &gt;&gt;</t>
  </si>
  <si>
    <t>OBS: ÁREAS DOS LIMPA RODAS E EMBOCADURAS DISCRIMINADAS NO PROJETO GEOMÉTRICO.</t>
  </si>
  <si>
    <t>LIMPEZA DE CAMADA VEGETAL</t>
  </si>
  <si>
    <t>LADO DIREITO</t>
  </si>
  <si>
    <t>LADO ESQUERDO</t>
  </si>
  <si>
    <t>LARGURA (m)</t>
  </si>
  <si>
    <t>ÁREA (m²)</t>
  </si>
  <si>
    <t>SERVIÇOS DE TERRAPLENAGEM</t>
  </si>
  <si>
    <t>SEÇÕES (VOLUME)</t>
  </si>
  <si>
    <t>LIMPA RODAS E EMBOCADURAS</t>
  </si>
  <si>
    <t>VOLUME TOTAL DE ESCAVAÇÃO</t>
  </si>
  <si>
    <t>COMPENSADO CORTE/ATERRO</t>
  </si>
  <si>
    <t>BOTA-FORA</t>
  </si>
  <si>
    <t>TRANSPORTE PARA BOTA FORA</t>
  </si>
  <si>
    <t>CORTE</t>
  </si>
  <si>
    <t>ATERRO</t>
  </si>
  <si>
    <t>PROF. DE ESCAVAÇÃO</t>
  </si>
  <si>
    <t>VOLUME</t>
  </si>
  <si>
    <t>FATOR EMPOL.</t>
  </si>
  <si>
    <t>DMT RP</t>
  </si>
  <si>
    <t>MOM. DE TRANSP.</t>
  </si>
  <si>
    <t>DMT                 P</t>
  </si>
  <si>
    <t>(m³)</t>
  </si>
  <si>
    <t>(km)</t>
  </si>
  <si>
    <t>(m³.km)</t>
  </si>
  <si>
    <t>TOTAL &gt;&gt;&gt;</t>
  </si>
  <si>
    <t>Quantitativos dos volumes de Corte e de Aterro foram retirados da planilha de Cálculo de Terraplenagem</t>
  </si>
  <si>
    <t>P - Transporte com caminhao basculante 14 m3, em via urbana pavimentada</t>
  </si>
  <si>
    <t>RP - Transporte com caminhao basculante 14 m3, em via urbana em revestimento primário</t>
  </si>
  <si>
    <t>REGULARIZAÇÃO DO SUBLEITO, BASE E SUB-BASE</t>
  </si>
  <si>
    <t>EXT.</t>
  </si>
  <si>
    <t>LARGURA MÉDIA</t>
  </si>
  <si>
    <t xml:space="preserve">ÁREA </t>
  </si>
  <si>
    <t>ÁREA LIMPA RODAS</t>
  </si>
  <si>
    <t>CAMADA DE SUB-BASE</t>
  </si>
  <si>
    <t>CAMADA DE BASE</t>
  </si>
  <si>
    <t>ESP.</t>
  </si>
  <si>
    <t xml:space="preserve">TOTAL &gt;&gt;    </t>
  </si>
  <si>
    <t>REMOÇÃO DE POSTE</t>
  </si>
  <si>
    <t>Nº POSTE</t>
  </si>
  <si>
    <t>COORDENADA</t>
  </si>
  <si>
    <t>363023948 8502579.987</t>
  </si>
  <si>
    <t>363060.402 8502588.2</t>
  </si>
  <si>
    <t>363014.905 8502513.962</t>
  </si>
  <si>
    <t>363149.052 8502544.492</t>
  </si>
  <si>
    <t>363064.205 8502398.288</t>
  </si>
  <si>
    <t>363175.813 8502423.472</t>
  </si>
  <si>
    <t>363276.777 8502319.273</t>
  </si>
  <si>
    <t>363390.3 8502281.614</t>
  </si>
  <si>
    <t>IMPRIMAÇÃO E TSD</t>
  </si>
  <si>
    <t>EAI</t>
  </si>
  <si>
    <t>EMULSÃO    ASFÁLTICA RR-2C</t>
  </si>
  <si>
    <t>(t/m²)</t>
  </si>
  <si>
    <t>OBJETO:</t>
  </si>
  <si>
    <t>PAVIMENTAÇÃO ASFÁLTICA E DRENAGEM</t>
  </si>
  <si>
    <t>cabeçalho</t>
  </si>
  <si>
    <t>CONTRATANTE:</t>
  </si>
  <si>
    <t>PREFEITURA MUNICIPAL DE CANARANA</t>
  </si>
  <si>
    <t>BAIRRO JARDIM FORTALEZA - PARTE 1</t>
  </si>
  <si>
    <t>ÁREA TOTAL:</t>
  </si>
  <si>
    <t>EXTENSÃO TOTAL:</t>
  </si>
  <si>
    <t>MUNICÍPIO:</t>
  </si>
  <si>
    <t>CANARANA</t>
  </si>
  <si>
    <t>POLO:</t>
  </si>
  <si>
    <t>DMT PAV:</t>
  </si>
  <si>
    <t>DMT NPAV:</t>
  </si>
  <si>
    <t>DISTÂNCIAS DE TRANSPORTE</t>
  </si>
  <si>
    <t>MATERIAL</t>
  </si>
  <si>
    <t>PERCURSO</t>
  </si>
  <si>
    <t>TRANPORTE LOCAL                         (DMT)</t>
  </si>
  <si>
    <t>Terraplenagem</t>
  </si>
  <si>
    <t>Solo</t>
  </si>
  <si>
    <t>Pista</t>
  </si>
  <si>
    <t>Bota fora</t>
  </si>
  <si>
    <t>Base/Sub base</t>
  </si>
  <si>
    <t>Jazida</t>
  </si>
  <si>
    <t>Imprimação</t>
  </si>
  <si>
    <t>Distribuidora - Cuiabá</t>
  </si>
  <si>
    <t>TSD - Tratamento Superficial Duplo</t>
  </si>
  <si>
    <t>RR-2C</t>
  </si>
  <si>
    <t>Brita comercial</t>
  </si>
  <si>
    <t>Pedreira Shalon - Água Boa</t>
  </si>
  <si>
    <t>Drenagem</t>
  </si>
  <si>
    <t>Tubo</t>
  </si>
  <si>
    <t>Observações:  RP - Revestimento primário</t>
  </si>
  <si>
    <t xml:space="preserve">                         P - Pavimentado</t>
  </si>
  <si>
    <t>TAREFA OU SERVIÇO</t>
  </si>
  <si>
    <t xml:space="preserve">QUANT. </t>
  </si>
  <si>
    <t>F. UTILIZAÇÃO</t>
  </si>
  <si>
    <t>PESO A</t>
  </si>
  <si>
    <t>MOMENTO DE</t>
  </si>
  <si>
    <t>FATOR</t>
  </si>
  <si>
    <t>TRANSPORTAR</t>
  </si>
  <si>
    <t>( Km )</t>
  </si>
  <si>
    <t>TRANSPORTE</t>
  </si>
  <si>
    <t>SUB-BASE</t>
  </si>
  <si>
    <t>SOLO</t>
  </si>
  <si>
    <t>m³</t>
  </si>
  <si>
    <t>t/m³</t>
  </si>
  <si>
    <t>t</t>
  </si>
  <si>
    <t>t.Km</t>
  </si>
  <si>
    <t>BASE</t>
  </si>
  <si>
    <t>TOTAL &gt;</t>
  </si>
  <si>
    <t>BRITA 0</t>
  </si>
  <si>
    <t>m²</t>
  </si>
  <si>
    <t>t/m²</t>
  </si>
  <si>
    <t>BRITA 1</t>
  </si>
  <si>
    <t>SERVIÇOS DE SINALIZAÇÃO VERTICAL</t>
  </si>
  <si>
    <t>CÓDIGO: R-1</t>
  </si>
  <si>
    <t>CÓDIGO: R-19</t>
  </si>
  <si>
    <t>CÓDIGO: A-32b</t>
  </si>
  <si>
    <t>CÓDIGO: P.I.L</t>
  </si>
  <si>
    <t>TOTAL GERAL DE PLACAS &gt;&gt;</t>
  </si>
  <si>
    <t xml:space="preserve">NOTA:  </t>
  </si>
  <si>
    <t>Ver detalhes no Projeto de sinalização, pertencente ao Volume 2 - Projeto de Execução.</t>
  </si>
  <si>
    <t>SERVIÇOS DE SINALIZAÇÃO HORIZONTAL</t>
  </si>
  <si>
    <t>LINHA SIMPLES SECCIONADA (LFO-02) - SENTIDO OPOSTO DE CIRCULAÇÃO</t>
  </si>
  <si>
    <t>LINHA SIMPLES CONTÍNUA (LFO-01) - SENTIDO OPOSTO DE CIRCULAÇÃO</t>
  </si>
  <si>
    <t>LINHA DE BORDO (LBO)</t>
  </si>
  <si>
    <t>LINHA SIMPLES SECCIONADA (LMS-2) - SENTIDO ÚNICO DE CIRCULAÇÃO</t>
  </si>
  <si>
    <t>LINHA SIMPLES CONTÍNUA (LMS-1)  - SENTIDO ÚNICO DE CIRCULAÇÃO</t>
  </si>
  <si>
    <t>LINHA DE RETENÇÃO (LRE)</t>
  </si>
  <si>
    <t>PARE ESCRITO</t>
  </si>
  <si>
    <t>FAIXA DE TRAVESSIA DE PEDESTRES TIPO ZEBRADA (FTP1)</t>
  </si>
  <si>
    <t>EXTENSÃO PINTADA</t>
  </si>
  <si>
    <t xml:space="preserve">ESP. </t>
  </si>
  <si>
    <t>ÁREA UNI.</t>
  </si>
  <si>
    <t>QUANT</t>
  </si>
  <si>
    <t>COMP.</t>
  </si>
  <si>
    <t>(Und)</t>
  </si>
  <si>
    <t>faixas</t>
  </si>
  <si>
    <t>por faixa</t>
  </si>
  <si>
    <t>OK</t>
  </si>
  <si>
    <t>TOTAL&gt;&gt;&gt;</t>
  </si>
  <si>
    <t>UN.</t>
  </si>
  <si>
    <t>QTD</t>
  </si>
  <si>
    <t>REF. CÁLCULO</t>
  </si>
  <si>
    <t>PINTURA DE EIXO VIÁRIO</t>
  </si>
  <si>
    <t>M</t>
  </si>
  <si>
    <t>LFO+LMS+LBO</t>
  </si>
  <si>
    <t>PINTURA DE FAIXA OU ZEBRADO</t>
  </si>
  <si>
    <t>LRE + FTP1+LDP</t>
  </si>
  <si>
    <t>PINTURA DE SÍMBOLOS E TEXTOS</t>
  </si>
  <si>
    <t>PARE E DÊ A PREFERENCIA</t>
  </si>
  <si>
    <t>SERVIÇOS DE DRENAGEM</t>
  </si>
  <si>
    <t>TUBULAÇÃO PRINCIPAL</t>
  </si>
  <si>
    <t>PLANILHA DE APOIO (NÃO EXCLUIR)</t>
  </si>
  <si>
    <t>Trecho</t>
  </si>
  <si>
    <t>Tipo</t>
  </si>
  <si>
    <t>Diâmetro (m)</t>
  </si>
  <si>
    <t>Prof PV Montante (m)</t>
  </si>
  <si>
    <t>Prof PV Jusante (m)</t>
  </si>
  <si>
    <t>Extensão (m)</t>
  </si>
  <si>
    <t>Extensão Total (m)</t>
  </si>
  <si>
    <t>Largura da Vala (m)</t>
  </si>
  <si>
    <t>Lastro de areia (m3) (0,10m de espessura)</t>
  </si>
  <si>
    <t>Volume Escavação (m3)</t>
  </si>
  <si>
    <t>Escoramento (m²)</t>
  </si>
  <si>
    <t>Volume de Reaterro (m3)</t>
  </si>
  <si>
    <t>&gt;3,00m</t>
  </si>
  <si>
    <t>ESCORA</t>
  </si>
  <si>
    <t>ESCAV</t>
  </si>
  <si>
    <t>REATERR</t>
  </si>
  <si>
    <t>RAIO TUBO</t>
  </si>
  <si>
    <t>VOL. TUBO</t>
  </si>
  <si>
    <t>SIMPLES</t>
  </si>
  <si>
    <t>ESCORAMENTO</t>
  </si>
  <si>
    <t>1,5 a 3,0</t>
  </si>
  <si>
    <t>3,0 a 4,5</t>
  </si>
  <si>
    <t>ESCAVAÇÃO</t>
  </si>
  <si>
    <t>REATERRO</t>
  </si>
  <si>
    <t>TOTAL:</t>
  </si>
  <si>
    <t>BOCAS-DE-LOBO SIMPLES</t>
  </si>
  <si>
    <t>Descrição</t>
  </si>
  <si>
    <t>Profundidade (m)</t>
  </si>
  <si>
    <t>Comprimento (m)</t>
  </si>
  <si>
    <t>Largura (m)</t>
  </si>
  <si>
    <t>Profundidade de escavação            (m)</t>
  </si>
  <si>
    <t>Comprimento de escavação                (m)</t>
  </si>
  <si>
    <t>Largura de escavação            (m)</t>
  </si>
  <si>
    <t>Quantidade (unid)</t>
  </si>
  <si>
    <t>Volume de escavação (m3) ATÉ 1,5 M</t>
  </si>
  <si>
    <t>Prepraro de fundo (m2)</t>
  </si>
  <si>
    <t>BLS</t>
  </si>
  <si>
    <t>BOCAS-DE-LOBO DUPLAS</t>
  </si>
  <si>
    <t>Volume de escavação (m3) ATÉ 1,5M</t>
  </si>
  <si>
    <t>BLD</t>
  </si>
  <si>
    <t>CAIXA DE PASSAGEM</t>
  </si>
  <si>
    <t>CLP02</t>
  </si>
  <si>
    <t>CLP03</t>
  </si>
  <si>
    <t>CLP04</t>
  </si>
  <si>
    <t>CLP05</t>
  </si>
  <si>
    <t>CLP06</t>
  </si>
  <si>
    <t>POÇOS DE VISITA</t>
  </si>
  <si>
    <t>Diâmetro do coletor                              (Ø)</t>
  </si>
  <si>
    <t>Profundidade SINAPI (m)</t>
  </si>
  <si>
    <t>Largura de escavação             (m)</t>
  </si>
  <si>
    <t>Profundi-dade de escavação (m)</t>
  </si>
  <si>
    <t>Preparo de fundo            (m2)</t>
  </si>
  <si>
    <t>Acréscimo de PV            (m)</t>
  </si>
  <si>
    <t>Chaminé (m)</t>
  </si>
  <si>
    <t>TUBOS</t>
  </si>
  <si>
    <t>REDE</t>
  </si>
  <si>
    <t>Comprimento         (m)</t>
  </si>
  <si>
    <t>Largura de escavação (m)</t>
  </si>
  <si>
    <t>Profundidade de escavação (m)</t>
  </si>
  <si>
    <t>Volume Escavação                          (m3)</t>
  </si>
  <si>
    <t>Volume de reaterro (m3)</t>
  </si>
  <si>
    <t>Volume de bota fora (m3)</t>
  </si>
  <si>
    <t>Volume empolado (m³) + 25%</t>
  </si>
  <si>
    <t>Escoramento</t>
  </si>
  <si>
    <t>Lastro de areia (m3)                           (0,10 de espessura)</t>
  </si>
  <si>
    <t>BL-PV Ø 400 mm</t>
  </si>
  <si>
    <t>var.</t>
  </si>
  <si>
    <t>CLP-PVØ 600 mm</t>
  </si>
  <si>
    <t>Ø 600 mm</t>
  </si>
  <si>
    <t>Ø 800 mm</t>
  </si>
  <si>
    <t>Ø 1000 mm</t>
  </si>
  <si>
    <t>Ø 1200 mm</t>
  </si>
  <si>
    <t>Ø 1500 mm</t>
  </si>
  <si>
    <t>QUANTIDADE E TIPO DO POÇO DE VISITA</t>
  </si>
  <si>
    <t>ACRÉSCIMO DE PV (M)</t>
  </si>
  <si>
    <t>CHAMINÉ</t>
  </si>
  <si>
    <t>PV (1,5m x 1,5m)</t>
  </si>
  <si>
    <t>PV (2,0m x 2,0m)</t>
  </si>
  <si>
    <t>PV (2,5m x 2,5m)</t>
  </si>
  <si>
    <t>SOMENTE PARA PROFUNDIDADE ACIMA DE 2,5M</t>
  </si>
  <si>
    <t>RESULTADO DOS CÁLCULOS DAS GALERIAS</t>
  </si>
  <si>
    <t>Grupo</t>
  </si>
  <si>
    <t>Vazão (m³/s)</t>
  </si>
  <si>
    <t>Decli-vidade</t>
  </si>
  <si>
    <t>Tirante</t>
  </si>
  <si>
    <t>Vel. Real (m/s)</t>
  </si>
  <si>
    <t>Q Seção Plena (m²/s)</t>
  </si>
  <si>
    <t>V Seção Pelna (m/s)</t>
  </si>
  <si>
    <t>Cota Ter. Montante</t>
  </si>
  <si>
    <t>Cota Ter. Jusante</t>
  </si>
  <si>
    <t>Cota GI Gal. Montante</t>
  </si>
  <si>
    <t>Cota GI Gal. Jusante</t>
  </si>
  <si>
    <t>Prof. Montante</t>
  </si>
  <si>
    <t>Prof. Jusante</t>
  </si>
  <si>
    <t>n Manning</t>
  </si>
  <si>
    <t>Larg. Vala (m)</t>
  </si>
  <si>
    <t>INDICE</t>
  </si>
  <si>
    <t>G1</t>
  </si>
  <si>
    <t>A19.3</t>
  </si>
  <si>
    <t>A19.2</t>
  </si>
  <si>
    <t>DUPLO</t>
  </si>
  <si>
    <t>A19.1</t>
  </si>
  <si>
    <t>TRIPLO</t>
  </si>
  <si>
    <t>A18</t>
  </si>
  <si>
    <t>A17</t>
  </si>
  <si>
    <t>A16</t>
  </si>
  <si>
    <t>A15</t>
  </si>
  <si>
    <t>A14</t>
  </si>
  <si>
    <t>A13</t>
  </si>
  <si>
    <t>A12</t>
  </si>
  <si>
    <t>A11</t>
  </si>
  <si>
    <t>A10</t>
  </si>
  <si>
    <t>A9</t>
  </si>
  <si>
    <t>A8</t>
  </si>
  <si>
    <t>A7</t>
  </si>
  <si>
    <t>A6</t>
  </si>
  <si>
    <t>A5</t>
  </si>
  <si>
    <t>A4</t>
  </si>
  <si>
    <t>A3</t>
  </si>
  <si>
    <t>A2</t>
  </si>
  <si>
    <t>A1</t>
  </si>
  <si>
    <t>G2</t>
  </si>
  <si>
    <t>A22.2</t>
  </si>
  <si>
    <t>A22.1</t>
  </si>
  <si>
    <t>A22</t>
  </si>
  <si>
    <t>A21</t>
  </si>
  <si>
    <t>A20</t>
  </si>
  <si>
    <t>A19</t>
  </si>
  <si>
    <t>G3</t>
  </si>
  <si>
    <t>A26.2</t>
  </si>
  <si>
    <t>A26.1</t>
  </si>
  <si>
    <t>A26</t>
  </si>
  <si>
    <t>A25</t>
  </si>
  <si>
    <t>A24</t>
  </si>
  <si>
    <t>A23</t>
  </si>
  <si>
    <t>G4</t>
  </si>
  <si>
    <t>A25.2</t>
  </si>
  <si>
    <t>A25.1</t>
  </si>
  <si>
    <t>G5</t>
  </si>
  <si>
    <t>A18.8</t>
  </si>
  <si>
    <t>A18.7</t>
  </si>
  <si>
    <t>A18.6</t>
  </si>
  <si>
    <t>A18.5</t>
  </si>
  <si>
    <t>A18.4</t>
  </si>
  <si>
    <t>A18.3</t>
  </si>
  <si>
    <t>A18.2</t>
  </si>
  <si>
    <t>A18.1</t>
  </si>
  <si>
    <t>G6</t>
  </si>
  <si>
    <t>B3.3</t>
  </si>
  <si>
    <t>B3.2</t>
  </si>
  <si>
    <t>B3.1</t>
  </si>
  <si>
    <t>B3</t>
  </si>
  <si>
    <t>B2</t>
  </si>
  <si>
    <t>B1</t>
  </si>
  <si>
    <t>G7</t>
  </si>
  <si>
    <t>A24.2</t>
  </si>
  <si>
    <t>A24.1</t>
  </si>
  <si>
    <t>G8</t>
  </si>
  <si>
    <t>B5.3</t>
  </si>
  <si>
    <t>B5.2</t>
  </si>
  <si>
    <t>B5.1</t>
  </si>
  <si>
    <t>B5</t>
  </si>
  <si>
    <t>B4</t>
  </si>
  <si>
    <t>G9</t>
  </si>
  <si>
    <t>A18.3.1</t>
  </si>
  <si>
    <t>MEIO-FIO E SARJETA CONJUGADOS</t>
  </si>
  <si>
    <t xml:space="preserve">TRECHOS RETOS </t>
  </si>
  <si>
    <t>TRECHOS CURVOS</t>
  </si>
  <si>
    <t>EXTENSÃO DETALHADA</t>
  </si>
  <si>
    <t>EXT. TOTAL</t>
  </si>
  <si>
    <t>LADO ESQUERDO (m)</t>
  </si>
  <si>
    <t>LADO DIREITO (m)</t>
  </si>
  <si>
    <t>(M)</t>
  </si>
  <si>
    <t>84,17+109,41</t>
  </si>
  <si>
    <t>55,5+12,19+75,7+19,37</t>
  </si>
  <si>
    <t>13,13+13,31</t>
  </si>
  <si>
    <t>RUA RESERVA</t>
  </si>
  <si>
    <t>54,89+100,56</t>
  </si>
  <si>
    <t>55,11+97,51</t>
  </si>
  <si>
    <t>RUA ANDIRÁ</t>
  </si>
  <si>
    <t>57,57+95,85</t>
  </si>
  <si>
    <t>57,88+95,74</t>
  </si>
  <si>
    <t>AVENIDA SETE DE SETEMBRO LE</t>
  </si>
  <si>
    <t>22,41+23,57+76,35</t>
  </si>
  <si>
    <t>22,41+22,27+76,18</t>
  </si>
  <si>
    <t>18,91+18,71+9,13+9,17</t>
  </si>
  <si>
    <t>AVENIDA SETE DE SETEMBRO LD</t>
  </si>
  <si>
    <t>56,79+96,78</t>
  </si>
  <si>
    <t>57,06+96,31</t>
  </si>
  <si>
    <t>RUA INDEPENDÊNCIA</t>
  </si>
  <si>
    <t>59,78+59,49+26,37</t>
  </si>
  <si>
    <t>59,93+59,47+26,6</t>
  </si>
  <si>
    <t>9,97+10,11</t>
  </si>
  <si>
    <t>RUA PARANAVAÍ</t>
  </si>
  <si>
    <t>62,92+95,76</t>
  </si>
  <si>
    <t>63,17+95,77</t>
  </si>
  <si>
    <t>RUA PONTA GROSSA</t>
  </si>
  <si>
    <t>34,26+82,15+72,59+96,38</t>
  </si>
  <si>
    <t>36,61+95,85+72,07+96,89</t>
  </si>
  <si>
    <t>RUA ASTORGA</t>
  </si>
  <si>
    <t>12,91+46,88+95,9+71,72+97,24</t>
  </si>
  <si>
    <t>12,8+46,92+95,92+72,05+96,9</t>
  </si>
  <si>
    <t>7,34+7,42</t>
  </si>
  <si>
    <t>RUA SÃO JOSÉ DOS PINHAIS</t>
  </si>
  <si>
    <t>35,88+96,69+72,84+96,08</t>
  </si>
  <si>
    <t>36,16+96,76+73,17+95,74</t>
  </si>
  <si>
    <t>RUA COLORADO</t>
  </si>
  <si>
    <t>96,44+72,99+95,9</t>
  </si>
  <si>
    <t>96,29+72,66+96,22</t>
  </si>
  <si>
    <t>RUA FOZ DO IGUAÇU</t>
  </si>
  <si>
    <t>36,46+95,86+71,95+96,99</t>
  </si>
  <si>
    <t>36,58+95,87+71,72+97,31</t>
  </si>
  <si>
    <t>71,16+98,08</t>
  </si>
  <si>
    <t>119,46+45,35</t>
  </si>
  <si>
    <t>119,24+29,47</t>
  </si>
  <si>
    <t>45,71+105,27+34,35+8,12+44,21</t>
  </si>
  <si>
    <t>46,18+42,35+33,44+24,12+9,83+9,41+42,75</t>
  </si>
  <si>
    <t>7,32+7,45+7,4+7,32+7,48+7,33+7,36+7,41+7,4+11,29+7,29+7,33+7,42+7,39+7,36+7,39+7,4+7,26+7,36</t>
  </si>
  <si>
    <t>46,05+9,88+23,69+43,32+43,76+42,89+36,6</t>
  </si>
  <si>
    <t>23,62+14,06+44,78+9,6+22,58+44,01+43+44,21+34,37</t>
  </si>
  <si>
    <t>7,32+7,37+7,33+7,33+7,43+7,4+7,37+7,37+7,4+10,33+10,28+7,44+7,32+7,44+7,32+7,38+7,38+7,39+7,39+7,39+7,31+7,37+7,45+7,4+7,38+7,36+7,39</t>
  </si>
  <si>
    <t>RUA MARIALVA</t>
  </si>
  <si>
    <t>44,26+43,67+20,86+10,3+44,06+14,45+13,22+43,62+57,09+25,2+24,3+44,45+7,25</t>
  </si>
  <si>
    <t>43,75+44+20,67+10+44,08+14,73+15,99+43,07+57,41+25,52+23,64+44,7+5,64</t>
  </si>
  <si>
    <t>7,49+7,28+7,46+7,31+7,49+7,28+7,28+7,53+7,24+7,48+12,37+12,12+7,46+7,3+7,46+7,3+7,48+7,37+7,4+7,29+12,74+13,1+7,54+7,22+7,26+7,26+43,72+44+7,37+7,39+7,42+7,35+7,34+7,39+7,38+7,42+7,41+7,35+7,43+7,34+7,52+7,19+7,57+7,25+19,19+19,12+7,33+7,33+7,34+7,49+7,32+7,45+7,32+7,44+7,86+6,91</t>
  </si>
  <si>
    <t>39,74+43,63+43,93+42,97+43,78+43,56+43,72+43,1+58,59+25,57+43,02+17,9+15,91</t>
  </si>
  <si>
    <t>30,35+15,04+7,38+7,36+7,4+7,36+7,4+7,37+7,39+7,38+7,37+7,39+7,39+7,37+7,37+7,39+7,33+7,44+7,43+7,33+7,42+7,34+7,44+7,32+10,33+7,58+6,98</t>
  </si>
  <si>
    <t>12,69+54,39+174,26+40,09+53,46+4,77</t>
  </si>
  <si>
    <t>4,79+12,93+4,02+10,92+16,19+8,53+4,91</t>
  </si>
  <si>
    <t>7,41+7,35+7,34+7,42</t>
  </si>
  <si>
    <t>TOTAL DE MEIO FIO E SARJETA CONJUGADOS &gt;&gt;</t>
  </si>
  <si>
    <t>MEIO-FIO</t>
  </si>
  <si>
    <t>53,43+354,09+150,62+98,21+26,68</t>
  </si>
  <si>
    <t>41,01+7,18+7,94+6,18+9,05+7,57+7,51+10,1+7,93</t>
  </si>
  <si>
    <t>9,3+54,39+3,82+174,26+11,04+40,09+16,04+48+2,51</t>
  </si>
  <si>
    <t>7,67+7,60+8,73+9,01+6,23</t>
  </si>
  <si>
    <t>ACESSO 01</t>
  </si>
  <si>
    <t>ACESSO 02</t>
  </si>
  <si>
    <t>RESULTADO DOS CÁLCULOS DAS SARJETAS</t>
  </si>
  <si>
    <t>Sarjeta</t>
  </si>
  <si>
    <t>Compr. (m)</t>
  </si>
  <si>
    <t>Decl. (m/m)</t>
  </si>
  <si>
    <t>Área Parcial (há)</t>
  </si>
  <si>
    <t>Coef. Esc.</t>
  </si>
  <si>
    <t>tc (min)</t>
  </si>
  <si>
    <t>i (mm/h)</t>
  </si>
  <si>
    <t>Q mon/jus (m3/s)</t>
  </si>
  <si>
    <t>Q Engolida (m3/s)</t>
  </si>
  <si>
    <t>nº Bocas de Lobo</t>
  </si>
  <si>
    <t>Cap. Por Boca (m3/s)</t>
  </si>
  <si>
    <t>V mon/jus (m/s)</t>
  </si>
  <si>
    <t>y (mon/jus)</t>
  </si>
  <si>
    <t>Larg. Mon/jus (m)</t>
  </si>
  <si>
    <t>Cap. Sarj. (m3/s)</t>
  </si>
  <si>
    <t>Condição</t>
  </si>
  <si>
    <t>S1</t>
  </si>
  <si>
    <t>S2</t>
  </si>
  <si>
    <t>S4</t>
  </si>
  <si>
    <t>S5</t>
  </si>
  <si>
    <t>S6</t>
  </si>
  <si>
    <t>S8</t>
  </si>
  <si>
    <t>S9</t>
  </si>
  <si>
    <t>S10</t>
  </si>
  <si>
    <t>S12</t>
  </si>
  <si>
    <t>S13</t>
  </si>
  <si>
    <t>S14</t>
  </si>
  <si>
    <t>S15</t>
  </si>
  <si>
    <t>S16</t>
  </si>
  <si>
    <t>S17</t>
  </si>
  <si>
    <t>Dispensa de Galeria</t>
  </si>
  <si>
    <t>S166</t>
  </si>
  <si>
    <t>Sarjetão</t>
  </si>
  <si>
    <t>S18</t>
  </si>
  <si>
    <t>S21</t>
  </si>
  <si>
    <t>S170</t>
  </si>
  <si>
    <t>S22</t>
  </si>
  <si>
    <t>S25</t>
  </si>
  <si>
    <t>S174</t>
  </si>
  <si>
    <t>S26</t>
  </si>
  <si>
    <t>S29</t>
  </si>
  <si>
    <t>S30</t>
  </si>
  <si>
    <t>S33</t>
  </si>
  <si>
    <t>S34</t>
  </si>
  <si>
    <t>S35</t>
  </si>
  <si>
    <t>S179</t>
  </si>
  <si>
    <t>S36</t>
  </si>
  <si>
    <t>S38</t>
  </si>
  <si>
    <t>S39</t>
  </si>
  <si>
    <t>S162</t>
  </si>
  <si>
    <t>S40</t>
  </si>
  <si>
    <t>S42</t>
  </si>
  <si>
    <t>S43</t>
  </si>
  <si>
    <t>S165</t>
  </si>
  <si>
    <t>S44</t>
  </si>
  <si>
    <t>S46</t>
  </si>
  <si>
    <t>S47</t>
  </si>
  <si>
    <t>S182</t>
  </si>
  <si>
    <t>S48</t>
  </si>
  <si>
    <t>S50</t>
  </si>
  <si>
    <t>S51</t>
  </si>
  <si>
    <t>S183</t>
  </si>
  <si>
    <t>S52</t>
  </si>
  <si>
    <t>S54</t>
  </si>
  <si>
    <t>S186</t>
  </si>
  <si>
    <t>S55</t>
  </si>
  <si>
    <t>S57</t>
  </si>
  <si>
    <t>S187</t>
  </si>
  <si>
    <t>S58</t>
  </si>
  <si>
    <t>S60</t>
  </si>
  <si>
    <t>S61</t>
  </si>
  <si>
    <t>S190</t>
  </si>
  <si>
    <t>S62</t>
  </si>
  <si>
    <t>S64</t>
  </si>
  <si>
    <t>S65</t>
  </si>
  <si>
    <t>S191</t>
  </si>
  <si>
    <t>S66</t>
  </si>
  <si>
    <t>S68</t>
  </si>
  <si>
    <t>S69</t>
  </si>
  <si>
    <t>S70</t>
  </si>
  <si>
    <t>S71</t>
  </si>
  <si>
    <t>S72</t>
  </si>
  <si>
    <t>S73</t>
  </si>
  <si>
    <t>S74</t>
  </si>
  <si>
    <t>S75</t>
  </si>
  <si>
    <t>S76</t>
  </si>
  <si>
    <t>S78</t>
  </si>
  <si>
    <t>S79</t>
  </si>
  <si>
    <t>S80</t>
  </si>
  <si>
    <t>S81</t>
  </si>
  <si>
    <t>S82</t>
  </si>
  <si>
    <t>S83</t>
  </si>
  <si>
    <t>S168</t>
  </si>
  <si>
    <t>S169</t>
  </si>
  <si>
    <t>S19</t>
  </si>
  <si>
    <t>S167</t>
  </si>
  <si>
    <t>S20</t>
  </si>
  <si>
    <t>S23</t>
  </si>
  <si>
    <t>S171</t>
  </si>
  <si>
    <t>S24</t>
  </si>
  <si>
    <t>S27</t>
  </si>
  <si>
    <t>S175</t>
  </si>
  <si>
    <t>S28</t>
  </si>
  <si>
    <t>S31</t>
  </si>
  <si>
    <t>S178</t>
  </si>
  <si>
    <t>S32</t>
  </si>
  <si>
    <t>S37</t>
  </si>
  <si>
    <t>S41</t>
  </si>
  <si>
    <t>S45</t>
  </si>
  <si>
    <t>S49</t>
  </si>
  <si>
    <t>S56</t>
  </si>
  <si>
    <t>S59</t>
  </si>
  <si>
    <t>S63</t>
  </si>
  <si>
    <t>S77</t>
  </si>
  <si>
    <t>S84</t>
  </si>
  <si>
    <t>S85</t>
  </si>
  <si>
    <t>S172</t>
  </si>
  <si>
    <t>S173</t>
  </si>
  <si>
    <t>S86</t>
  </si>
  <si>
    <t>S176</t>
  </si>
  <si>
    <t>S177</t>
  </si>
  <si>
    <t>S87</t>
  </si>
  <si>
    <t>S180</t>
  </si>
  <si>
    <t>S181</t>
  </si>
  <si>
    <t>S88</t>
  </si>
  <si>
    <t>S163</t>
  </si>
  <si>
    <t>S164</t>
  </si>
  <si>
    <t>S89</t>
  </si>
  <si>
    <t>S184</t>
  </si>
  <si>
    <t>S185</t>
  </si>
  <si>
    <t>S90</t>
  </si>
  <si>
    <t>S188</t>
  </si>
  <si>
    <t>S189</t>
  </si>
  <si>
    <t>S91</t>
  </si>
  <si>
    <t>S192</t>
  </si>
  <si>
    <t>S193</t>
  </si>
  <si>
    <t>S92</t>
  </si>
  <si>
    <t>S93</t>
  </si>
  <si>
    <t>S94</t>
  </si>
  <si>
    <t>S95</t>
  </si>
  <si>
    <t>S96</t>
  </si>
  <si>
    <t>S97</t>
  </si>
  <si>
    <t>S98</t>
  </si>
  <si>
    <t>S99</t>
  </si>
  <si>
    <t>S100</t>
  </si>
  <si>
    <t>S101</t>
  </si>
  <si>
    <t>S102</t>
  </si>
  <si>
    <t>S103</t>
  </si>
  <si>
    <t>S104</t>
  </si>
  <si>
    <t>S105</t>
  </si>
  <si>
    <t>S106</t>
  </si>
  <si>
    <t>S107</t>
  </si>
  <si>
    <t>S108</t>
  </si>
  <si>
    <t>S110</t>
  </si>
  <si>
    <t>S196</t>
  </si>
  <si>
    <t>S53</t>
  </si>
  <si>
    <t>S109</t>
  </si>
  <si>
    <t>S161</t>
  </si>
  <si>
    <t>S160</t>
  </si>
  <si>
    <t>S67</t>
  </si>
  <si>
    <t>S111</t>
  </si>
  <si>
    <t>S112</t>
  </si>
  <si>
    <t>S113</t>
  </si>
  <si>
    <t>S114</t>
  </si>
  <si>
    <t>S115</t>
  </si>
  <si>
    <t>S116</t>
  </si>
  <si>
    <t>S117</t>
  </si>
  <si>
    <t>S118</t>
  </si>
  <si>
    <t>S120</t>
  </si>
  <si>
    <t>S121</t>
  </si>
  <si>
    <t>S122</t>
  </si>
  <si>
    <t>S123</t>
  </si>
  <si>
    <t>S124</t>
  </si>
  <si>
    <t>S125</t>
  </si>
  <si>
    <t>S126</t>
  </si>
  <si>
    <t>S127</t>
  </si>
  <si>
    <t>S131</t>
  </si>
  <si>
    <t>S132</t>
  </si>
  <si>
    <t>S133</t>
  </si>
  <si>
    <t>S134</t>
  </si>
  <si>
    <t>S135</t>
  </si>
  <si>
    <t>S136</t>
  </si>
  <si>
    <t>S137</t>
  </si>
  <si>
    <t>S138</t>
  </si>
  <si>
    <t>S139</t>
  </si>
  <si>
    <t>S142</t>
  </si>
  <si>
    <t>S143</t>
  </si>
  <si>
    <t>S144</t>
  </si>
  <si>
    <t>S145</t>
  </si>
  <si>
    <t>S147</t>
  </si>
  <si>
    <t>S148</t>
  </si>
  <si>
    <t>S149</t>
  </si>
  <si>
    <t>S151</t>
  </si>
  <si>
    <t>S195</t>
  </si>
  <si>
    <t>S150</t>
  </si>
  <si>
    <t>S194</t>
  </si>
  <si>
    <t>S119</t>
  </si>
  <si>
    <t>S146</t>
  </si>
  <si>
    <t>S152</t>
  </si>
  <si>
    <t>S158</t>
  </si>
  <si>
    <t>S11</t>
  </si>
  <si>
    <t>S153</t>
  </si>
  <si>
    <t>S159</t>
  </si>
  <si>
    <t>S7</t>
  </si>
  <si>
    <t>S154</t>
  </si>
  <si>
    <t>S155</t>
  </si>
  <si>
    <t>S3</t>
  </si>
  <si>
    <t>TRANSPORTE DE MATERIAIS DE DRENAGEM</t>
  </si>
  <si>
    <t xml:space="preserve">TRANSPORTE              </t>
  </si>
  <si>
    <t>TRANSPORTE COM CAMINHÃO CARROCERIA COM GUINDAUTO (MUNCK),  MOMENTO MÁXIMO DE CARGA 11,7 TM, EM VIA URBANA EM REVESTIMENTO PRIMÁRIO (UNIDADE: TXKM). AF_07/2020</t>
  </si>
  <si>
    <t>TUBO DE CONCRETO, DIÂMETRO DE 400 MM</t>
  </si>
  <si>
    <t>TUBO</t>
  </si>
  <si>
    <t>m</t>
  </si>
  <si>
    <t>(t/m)</t>
  </si>
  <si>
    <t>TUBO DE CONCRETO, DIÂMETRO DE 600 MM</t>
  </si>
  <si>
    <t>TUBO DE CONCRETO, DIÂMETRO DE 800 MM</t>
  </si>
  <si>
    <t>TUBO DE CONCRETO, DIÂMETRO DE 1.000 MM</t>
  </si>
  <si>
    <t>TUBO DE CONCRETO, DIÂMETRO DE 1.200 MM</t>
  </si>
  <si>
    <t>TUBO DE CONCRETO, DIÂMETRO DE 1.500 MM</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</si>
  <si>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</si>
  <si>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</si>
  <si>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BASCULANTE DE 10 M³, EM VIA URBANA EM REVESTIMENTO PRIMÁRIO (UNIDADE: M3XKM). AF_07/2020</t>
  </si>
  <si>
    <t>BOTA FORA</t>
  </si>
  <si>
    <t>m³/m³</t>
  </si>
  <si>
    <t>m³.Km</t>
  </si>
  <si>
    <t>TRANSPORTE COM CAMINHÃO BASCULANTE DE 10 M³, EM VIA URBANA PAVIMENTADA, DMT ATÉ 30 KM (UNIDADE: M3XKM). AF_07/2020</t>
  </si>
  <si>
    <t>VALOR POR UNIDADE</t>
  </si>
  <si>
    <t>VALOR POR METRO</t>
  </si>
  <si>
    <t>DIÂMETRO                                           (mm)</t>
  </si>
  <si>
    <t>ALTURA                   (mm)</t>
  </si>
  <si>
    <t>ESPESSURA</t>
  </si>
  <si>
    <t>PESO                  (kg)</t>
  </si>
  <si>
    <t>PESO                                    (kg)</t>
  </si>
  <si>
    <t>PESO                                    (t/m)</t>
  </si>
  <si>
    <t>PA-1</t>
  </si>
  <si>
    <t>TUBO DE CONCRETO EM METRO COM COEFICIENTE CONFORME COMPOSIÇÕES ANALÍTICA DOS SERVIÇOS DOS TUBOS</t>
  </si>
  <si>
    <t>ENGENHEIRO CIVIL DE OBRA JUNIOR COM ENCARGOS COMPLEMENTARES</t>
  </si>
  <si>
    <t>ENCARREGADO GERAL COM ENCARGOS COMPLEMENTARES</t>
  </si>
  <si>
    <t>TOPOGRAFO COM ENCARGOS COMPLEMENTARES</t>
  </si>
  <si>
    <t>AUXILIAR DE TOPÓGRAFO COM ENCARGOS COMPLEMENTARES</t>
  </si>
  <si>
    <t>TÉCNICO DE LABORATÓRIO COM ENCARGOS COMPLEMENTARES</t>
  </si>
  <si>
    <t>AUXILIAR DE LABORATÓRIO COM ENCARGOS COMPLEMENTARES</t>
  </si>
  <si>
    <t>H</t>
  </si>
  <si>
    <t>PINTURA IMUNIZANTE PARA MADEIRA, 2 DEMÃOS. AF_01/2021</t>
  </si>
  <si>
    <t>SERVENTE COM ENCARGOS COMPLEMENTARES</t>
  </si>
  <si>
    <t>CARPINTEIRO DE FORMAS COM ENCARGOS COMPLEMENTARES</t>
  </si>
  <si>
    <t>PREGO DE ACO POLIDO COM CABECA 17 X 27 (2 1/2 X 11)</t>
  </si>
  <si>
    <t>PREGO DE ACO POLIDO COM CABECA 10 X 10 (7/8 X 17)</t>
  </si>
  <si>
    <t>PLACA DE OBRA (PARA CONSTRUCAO CIVIL) EM CHAPA GALVANIZADA *N. 22*, ADESIVADA, DE *2,4 X 1,2* M (SEM POSTES PARA FIXACAO)</t>
  </si>
  <si>
    <t>SARRAFO *2,5 X 10* CM EM PINUS, MISTA OU EQUIVALENTE DA REGIAO - BRUTA</t>
  </si>
  <si>
    <t>PORTA CADEADO EM ACO GALVANIZADO, COMPRIMENTO DE 3 1/2"</t>
  </si>
  <si>
    <t>PREGO DE ACO POLIDO COM CABECA 15 X 18 (1 1/2 X 13)</t>
  </si>
  <si>
    <t>CADEADO SIMPLES, CORPO EM LATAO MACICO, COM LARGURA DE 50 MM E ALTURA DE APROX 40 MM, HASTE CEMENTADA EM ACO TEMPERADO COM DIAMETRO DE APROX 8,0 MM, INCLUINDO 2 CHAVES</t>
  </si>
  <si>
    <t>COMPENSADO NAVAL - CHAPA/PAINEL EM MADEIRA COMPENSADA PRENSADA, DE 2200 X 1600 MM, E = 10 MM</t>
  </si>
  <si>
    <t>DOBRADICA EM ACO/FERRO, 3" X 2 1/2", E= 1,2 A 1,8 MM, SEM ANEL, CROMADO OU ZINCADO, TAMPA CHATA, COM PARAFUSOS</t>
  </si>
  <si>
    <t>PONTALETE *7,5 X 7,5* CM EM PINUS, MISTA OU EQUIVALENTE DA REGIAO - BRUTA</t>
  </si>
  <si>
    <t>CONCRETO FCK = 15MPA, TRAÇO 1:3,4:3,5 (EM MASSA SECA DE CIMENTO/ AREIA MÉDIA/ BRITA 1) - PREPARO MECÂNICO COM BETONEIRA 400 L. AF_05/2021</t>
  </si>
  <si>
    <t>M3</t>
  </si>
  <si>
    <t>CONCRETO FCK = 20MPA, TRAÇO 1:2,6:2,9 (EM MASSA SECA DE CIMENTO/ AREIA MÉDIA/ SEIXO ROLADO) - PREPARO MECÂNICO COM BETONEIRA 400 L. AF_05/2021</t>
  </si>
  <si>
    <t>LANÇAMENTO COM USO DE BALDES, ADENSAMENTO E ACABAMENTO DE CONCRETO EM ESTRUTURAS. AF_02/2022</t>
  </si>
  <si>
    <t>TRAMA DE MADEIRA COMPOSTA POR TERÇAS PARA TELHADOS DE ATÉ 2 ÁGUAS PARA TELHA ONDULADA DE FIBROCIMENTO, METÁLICA, PLÁSTICA OU TERMOACÚSTICA, INCLUSO TRANSPORTE VERTICAL. AF_10/2025</t>
  </si>
  <si>
    <t>TELHAMENTO COM TELHA ONDULADA DE FIBROCIMENTO E = 6 MM, COM RECOBRIMENTO LATERAL DE 1/4 DE ONDA PARA TELHADO COM INCLINAÇÃO MAIOR QUE 10°, COM ATÉ 2 ÁGUAS, INCLUSO IÇAMENTO. AF_07/2019</t>
  </si>
  <si>
    <t>ACABAMENTO POLIDO PARA PISO DE CONCRETO ARMADO OU LAJE SOBRE SOLO DE ALTA RESISTÊNCIA. AF_09/2021</t>
  </si>
  <si>
    <t>CARPINTEIRO DE ESQUADRIAS COM ENCARGOS COMPLEMENTARES</t>
  </si>
  <si>
    <t>FIO DE COBRE, SOLIDO, CLASSE 1, ISOLACAO EM PVC/A, ANTICHAMA BWF-B, 450/750V, SECAO NOMINAL 2,5 MM2</t>
  </si>
  <si>
    <t>ELETRODUTO PVC FLEXIVEL CORRUGADO, COR AMARELA, DE 25 MM</t>
  </si>
  <si>
    <t>CAIXA OCTOGONAL DE FUNDO MOVEL, EM PVC, DE 4" X 4", PARA ELETRODUTO FLEXIVEL CORRUGADO</t>
  </si>
  <si>
    <t>FITA ISOLANTE ADESIVA ANTICHAMA, USO ATE 750 V, EM ROLO DE 19 MM X 20 M</t>
  </si>
  <si>
    <t>ELETRICISTA COM ENCARGOS COMPLEMENTARES</t>
  </si>
  <si>
    <t>INTERRUPTOR SIMPLES 10A, 250V, CONJUNTO MONTADO PARA EMBUTIR 4" X 2" (PLACA + SUPORTE + MODULO)</t>
  </si>
  <si>
    <t>CAIXA DE PASSAGEM, EM PVC, DE 4" X 2", PARA ELETRODUTO FLEXIVEL CORRUGADO</t>
  </si>
  <si>
    <t>TOMADA 2P+T 10A, 250V, CONJUNTO MONTADO PARA EMBUTIR 4" X 2" (PLACA + SUPORTE + MODULO)</t>
  </si>
  <si>
    <t>ELETRODUTO DE PVC RIGIDO ROSCAVEL DE 3/4", SEM LUVA</t>
  </si>
  <si>
    <t>ROLO COMPACTADOR PÉ DE CARNEIRO VIBRATÓRIO AUTOPROPELIDO POR PNEUS DE 11,6 T - 82 KW</t>
  </si>
  <si>
    <t>ROLO COMPACTADOR DE PNEUS AUTOPROPELIDO DE 27 T - 85 KW</t>
  </si>
  <si>
    <t>CARREGADEIRA DE PNEUS COM CAPACIDADE DE 3,40 M³ - 195 KW</t>
  </si>
  <si>
    <t>TRATOR AGRÍCOLA SOBRE PNEUS - 77 KW</t>
  </si>
  <si>
    <t>MOTONIVELADORA - 93 KW</t>
  </si>
  <si>
    <t>TANQUE DE ESTOCAGEM DE ASFALTO COM CAPACIDADE DE 30.000 L</t>
  </si>
  <si>
    <t>ESCAVADEIRA HIDRÁULICA SOBRE ESTEIRAS COM CAÇAMBA COM CAPACIDADE DE 1,56 M³ - 118 KW</t>
  </si>
  <si>
    <t>CAVALO MECÂNICO COM SEMIRREBOQUE COM CAPACIDADE DE 32 T - 302 KW</t>
  </si>
  <si>
    <t>CAVALO MECÂNICO COM SEMIRREBOQUE COM CAPACIDADE DE 20 T - 276 KW</t>
  </si>
  <si>
    <t>ESPARGIDOR DE ASFALTO PRESSURIZADO, TANQUE 6 M3 COM ISOLAÇÃO TÉRMICA, AQUECIDO COM 2 MAÇARICOS, COM BARRA ESPARGIDORA 3,60 M, MONTADO SOBRE CAMINHÃO TOCO, PBT 14.300 KG, POTÊNCIA 185 CV - CHP DIURNO. AF_05/2023</t>
  </si>
  <si>
    <t>CAMINHÃO BASCULANTE 10 M3, TRUCADO, POTÊNCIA 230 CV, INCLUSIVE CAÇAMBA METÁLICA, COM DISTRIBUIDOR DE AGREGADOS ACOPLADO - CHP DIURNO. AF_02/2017</t>
  </si>
  <si>
    <t>CAMINHÃO BASCULANTE 18 M3, COM CAVALO MECÂNICO DE CAPACIDADE MÁXIMA DE TRAÇÃO COMBINADO DE 45000 KG, POTÊNCIA 330 CV, INCLUSIVE SEMIREBOQUE COM CAÇAMBA METÁLICA - CHP DIURNO. AF_12/2014</t>
  </si>
  <si>
    <t>CAMINHÃO BASCULANTE 14 M3, COM CAVALO MECÂNICO DE CAPACIDADE MÁXIMA DE TRAÇÃO COMBINADO DE 36000 KG, POTÊNCIA 286 CV, INCLUSIVE SEMIREBOQUE COM CAÇAMBA METÁLICA - CHP DIURNO. AF_12/2014</t>
  </si>
  <si>
    <t>ROLO COMPACTADOR DE PNEUS ESTÁTICO, PRESSÃO VARIÁVEL, POTÊNCIA 111 HP, PESO SEM/COM LASTRO 9,5 / 26 T, LARGURA DE TRABALHO 1,90 M - CHP DIURNO. AF_07/2014</t>
  </si>
  <si>
    <t>CHP</t>
  </si>
  <si>
    <t>ROLO COMPACTADOR DE PNEUS ESTÁTICO, PRESSÃO VARIÁVEL, POTÊNCIA 111 HP, PESO SEM/COM LASTRO 9,5 / 26 T, LARGURA DE TRABALHO 1,90 M - CHI DIURNO. AF_07/2014</t>
  </si>
  <si>
    <t>CHI</t>
  </si>
  <si>
    <t>TANQUE DE ASFALTO ESTACIONÁRIO COM SERPENTINA, CAPACIDADE 30.000 L - CHP DIURNO. AF_05/2023</t>
  </si>
  <si>
    <t>TRATOR DE PNEUS, POTÊNCIA 85 CV, TRAÇÃO 4X4, PESO COM LASTRO DE 4.675 KG - CHP DIURNO. AF_06/2014</t>
  </si>
  <si>
    <t>TRATOR DE PNEUS, POTÊNCIA 85 CV, TRAÇÃO 4X4, PESO COM LASTRO DE 4.675 KG - CHI DIURNO. AF_06/2014</t>
  </si>
  <si>
    <t>CAMINHÃO BASCULANTE 10 M3, TRUCADO CABINE SIMPLES, PESO BRUTO TOTAL 23.000 KG, CARGA ÚTIL MÁXIMA 15.935 KG, DISTÂNCIA ENTRE EIXOS 4,80 M, POTÊNCIA 230 CV INCLUSIVE CAÇAMBA METÁLICA - CHP DIURNO. AF_06/2014</t>
  </si>
  <si>
    <t>ESPARGIDOR DE ASFALTO PRESSURIZADO, TANQUE 6 M3 COM ISOLAÇÃO TÉRMICA, AQUECIDO COM 2 MAÇARICOS, COM BARRA ESPARGIDORA 3,60 M, MONTADO SOBRE CAMINHÃO TOCO, PBT 14.300 KG, POTÊNCIA 185 CV - CHI DIURNO. AF_05/2023</t>
  </si>
  <si>
    <t>PLACA DE ACO ESMALTADA PARA IDENTIFICACAO DE RUA, *45 CM X 20* CM</t>
  </si>
  <si>
    <t>PEDREIRO COM ENCARGOS COMPLEMENTARES</t>
  </si>
  <si>
    <t>TUBO ACO GALVANIZADO COM COSTURA, CLASSE LEVE, DN 50 MM (2"), E = 3,00 MM, *4,40* KG/M (NBR 5580)</t>
  </si>
  <si>
    <t>ESCAVAÇÃO MANUAL DE VALA. AF_09/2024</t>
  </si>
  <si>
    <t>MOBILIZAÇÃO</t>
  </si>
  <si>
    <t>DESMOBILIZAÇÃO</t>
  </si>
  <si>
    <t>LIMPEZA MECANIZADA DE CAMADA VEGETAL, VEGETAÇÃO E PEQUENAS ÁRVORES (DIÂMETRO DE TRONCO MENOR QUE 0,20 M), COM TRATOR DE ESTEIRAS. AF_03/2024</t>
  </si>
  <si>
    <t>TRANSPORTE COM CAMINHÃO BASCULANTE DE 14 M³, EM VIA URBANA EM REVESTIMENTO PRIMÁRIO (UNIDADE: M3XKM). AF_07/2020</t>
  </si>
  <si>
    <t>M3XKM</t>
  </si>
  <si>
    <t>TRANSPORTE COM CAMINHÃO BASCULANTE DE 14 M³, EM VIA URBANA PAVIMENTADA, DMT ATÉ 30 KM (UNIDADE: M3XKM). AF_07/2020</t>
  </si>
  <si>
    <t>EXECUÇÃO E COMPACTAÇÃO DE CORPO DE ATERRO DE ATERRO (95% DE ENERGIA DO PROCTOR NORMAL) COM SOLO PREDOMINANTEMENTE ARGILOSO ESPESSURA 15 CM - EXCLUSIVE MATERIAL, ESCAVAÇÃO, CARGA E TRANSPORTE. AF_09/2024</t>
  </si>
  <si>
    <t>REGULARIZAÇÃO E COMPACTAÇÃO DE SUBLEITO DE SOLO PREDOMINANTEMENTE ARENOSO, PARA OBRAS DE CONSTRUÇÃO DE PAVIMENTOS. AF_09/2024</t>
  </si>
  <si>
    <t>SUB-BASE DE SOLO ESTABILIZADO GRANULOMETRICAMENTE SEM MISTURA COM MATERIAL DE JAZIDA - 100% PROCTOR INTERMEDIÁRIO</t>
  </si>
  <si>
    <t>BASE DE SOLO ESTABILIZADO GRANULOMETRICAMENTE SEM MISTURA COM MATERIAL DE JAZIDA - 100% PROCTOR MODIFICADO</t>
  </si>
  <si>
    <t>IMPRIMAÇÃO COM EMULSÃO ASFÁLTICA</t>
  </si>
  <si>
    <t>M²</t>
  </si>
  <si>
    <t>TRANSPORTE COM CAMINHÃO BASCULANTE DE 14 M³, EM VIA URBANA EM REVESTIMENTO PRIMÁRIO (UNIDADE: TXKM). AF_07/2020</t>
  </si>
  <si>
    <t>TXKM</t>
  </si>
  <si>
    <t>TRANSPORTE COM CAMINHÃO BASCULANTE DE 14 M³, EM VIA URBANA PAVIMENTADA, DMT ATÉ 30 KM (UNIDADE: TXKM). AF_07/2020</t>
  </si>
  <si>
    <t>TRANSPORTE COM CAMINHÃO BASCULANTE DE 14 M³, EM VIA URBANA PAVIMENTADA, ADICIONAL PARA DMT EXCEDENTE A 30 KM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</si>
  <si>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</si>
  <si>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</si>
  <si>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</si>
  <si>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</si>
  <si>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</si>
  <si>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CONCRETO, MOLDADA IN LOCO EM TRECHO RETO COM EXTRUSORA, 15 CM BASE X 30 CM ALTURA. AF_01/2024</t>
  </si>
  <si>
    <t>GUIA (MEIO-FIO) CONCRETO, MOLDADA IN LOCO EM TRECHO CURVO COM EXTRUSORA, 15 CM BASE X 30 CM ALTURA. AF_01/2024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</si>
  <si>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</si>
  <si>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</si>
  <si>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</si>
  <si>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</si>
  <si>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ESCORAMENTO DE VALA, TIPO DESCONTÍNUO, COM PROFUNDIDADE DE 1,5 A 3,0 M, LARGURA MAIOR OU IGUAL A 1,5 M E MENOR QUE 2,5 M. AF_08/2020</t>
  </si>
  <si>
    <t>TRANSPORTE COM CAMINHÃO BASCULANTE DE 10 M³, EM VIA URBANA PAVIMENTADA, DMT ATÉ 30 KM (UNIDADE: TXKM). AF_07/2020</t>
  </si>
  <si>
    <t>TUBO DE CONCRETO PARA REDES COLETORAS DE ÁGUAS PLUVIAIS, DIÂMETRO DE 400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</si>
  <si>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</si>
  <si>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</si>
  <si>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</si>
  <si>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</si>
  <si>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BAIXO NÍVEL DE INTERFERÊNCIAS - FORNECIMENTO E ASSENTAMENTO. AF_03/2024</t>
  </si>
  <si>
    <t>BASE PARA POÇO DE VISITA RETANGULAR PARA DRENAGEM, EM ALVENARIA COM BLOCOS DE CONCRETO, DIMENSÕES INTERNAS = 1,5X1,5 M, PROFUNDIDADE = 1,40 M, EXCLUINDO TAMPÃO. AF_12/2020</t>
  </si>
  <si>
    <t>ACRÉSCIMO PARA POÇO DE VISITA RETANGULAR PARA DRENAGEM, EM ALVENARIA COM BLOCOS DE CONCRETO, DIMENSÕES INTERNAS = 1,5X1,5 M. AF_12/2020</t>
  </si>
  <si>
    <t>BASE PARA POÇO DE VISITA RETANGULAR PARA DRENAGEM, EM ALVENARIA COM BLOCOS DE CONCRETO, DIMENSÕES INTERNAS = 2X2 M, PROFUNDIDADE = 1,40 M, EXCLUINDO TAMPÃO. AF_12/2020</t>
  </si>
  <si>
    <t>ACRÉSCIMO PARA POÇO DE VISITA RETANGULAR PARA DRENAGEM, EM ALVENARIA COM BLOCOS DE CONCRETO, DIMENSÕES INTERNAS = 2X2 M. AF_12/2020</t>
  </si>
  <si>
    <t>BASE PARA POÇO DE VISITA RETANGULAR PARA DRENAGEM, EM ALVENARIA COM BLOCOS DE CONCRETO, DIMENSÕES INTERNAS = 2,5X2,5 M, PROFUNDIDADE = 1,40 M, EXCLUINDO TAMPÃO. AF_12/2020</t>
  </si>
  <si>
    <t>ACRÉSCIMO PARA POÇO DE VISITA RETANGULAR PARA DRENAGEM, EM ALVENARIA COM BLOCOS DE CONCRETO, DIMENSÕES INTERNAS = 2,5X2,5 M. AF_12/2020</t>
  </si>
  <si>
    <t>CAIXA DE LIGAÇÃO E PASSAGEM - CLP 02 - AREIA E BRITA COMERCIAIS</t>
  </si>
  <si>
    <t>CAIXA DE LIGAÇÃO E PASSAGEM - CLP 03 - AREIA E BRITA COMERCIAIS</t>
  </si>
  <si>
    <t>CAIXA DE LIGAÇÃO E PASSAGEM - CLP 04 - AREIA E BRITA COMERCIAIS</t>
  </si>
  <si>
    <t>CAIXA DE LIGAÇÃO E PASSAGEM - CLP 05 - AREIA E BRITA COMERCIAIS</t>
  </si>
  <si>
    <t>CHAMINÉ CIRCULAR PARA POÇO DE VISITA PARA DRENAGEM, EM CONCRETO PRÉ-MOLDADO, DIÂMETRO INTERNO = 0,6 M. AF_12/2020</t>
  </si>
  <si>
    <t>TAMPA CIRCULAR PARA ESGOTO E DRENAGEM, EM FERRO FUNDIDO, DIÂMETRO INTERNO = 0,6 M. AF_12/2020</t>
  </si>
  <si>
    <t>CAIXA COM GRELHA SIMPLES RETANGULAR, EM ALVENARIA COM TIJOLOS CERÂMICOS MACIÇOS, DIMENSÕES INTERNAS: 0,5X1X1 M. AF_12/2020</t>
  </si>
  <si>
    <t>CAIXA COM GRELHA DUPLA RETANGULAR, EM ALVENARIA COM TIJOLOS CERÂMICOS MACIÇOS, DIMENSÕES INTERNAS: 0,5X2,2X1 M. AF_12/2020</t>
  </si>
  <si>
    <t>EXECUÇÃO DE SARJETÃO DE CONCRETO USINADO, MOLDADA IN LOCO EM TRECHO RETO, 100 CM BASE X 20 CM ALTURA. AF_01/2024</t>
  </si>
  <si>
    <t>LASTRO DE AREIA COMERCIAL - ESPALHAMENTO MANUAL</t>
  </si>
  <si>
    <t>DISSIPADOR DE ENERGIA - DEB 300-366 - AREIA, BRITA E PEDRA DE MÃO COMERCIAIS</t>
  </si>
  <si>
    <t>DISSIPADOR DE ENERGIA - DEB 450-551 - AREIA, BRITA E PEDRA DE MÃO COMERCIAIS</t>
  </si>
  <si>
    <t>BOCA PARA BUEIRO SIMPLES TUBULAR D = 100 CM EM CONCRETO, ALAS COM ESCONSIDADE DE 30°, INCLUINDO FÔRMAS E MATERIAIS. AF_07/2021</t>
  </si>
  <si>
    <t>BOCA PARA BUEIRO SIMPLES TUBULAR D = 150 CM EM CONCRETO, ALAS COM ESCONSIDADE DE 30°, INCLUINDO FÔRMAS E MATERIAIS. AF_07/2021</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</si>
  <si>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</si>
  <si>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</si>
  <si>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</si>
  <si>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PLACA DE REGULAMENTAÇÃO EM AÇO, R1 LADO 0,248 M - PELÍCULA RETRORREFLETIVA TIPO I + SI - FORNECIMENTO E IMPLANTAÇÃO</t>
  </si>
  <si>
    <t>PLACA DE REGULAMENTAÇÃO EM AÇO D = 0,60 M - PELÍCULA RETRORREFLETIVA TIPO I + SI - FORNECIMENTO E IMPLANTAÇÃO</t>
  </si>
  <si>
    <t>PLACA DE ADVERTÊNCIA EM AÇO, LADO DE 0,60 M - PELÍCULA RETRORREFLETIVA TIPO I + SI - FORNECIMENTO E IMPLANTAÇÃO</t>
  </si>
  <si>
    <t>SUPORTE METÁLICO GALVANIZADO PARA PLACA DE REGULAMENTAÇÃO - R1 - LADO DE 0,248 M - FORNECIMENTO E IMPLANTAÇÃO</t>
  </si>
  <si>
    <t>SUPORTE METÁLICO GALVANIZADO PARA PLACA DE ADVERTÊNCIA OU REGULAMENTAÇÃO - LADO OU DIÂMETRO DE 0,60 M - FORNECIMENTO E IMPLANTAÇÃO</t>
  </si>
  <si>
    <t>PINTURA DE EIXO VIÁRIO SOBRE ASFALTO COM TINTA RETRORREFLETIVA A BASE DE RESINA ACRÍLICA COM MICROESFERAS DE VIDRO, E = 10 CM, APLICAÇÃO MECÂNICA COM DEMARCADORA AUTOPROPELIDA.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</si>
  <si>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</si>
  <si>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</si>
  <si>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SERVENTE</t>
  </si>
  <si>
    <t>E9666</t>
  </si>
  <si>
    <t>E9665</t>
  </si>
  <si>
    <t>BARRA DO GARÇAS</t>
  </si>
</sst>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4" formatCode="_-&quot;R$&quot;\ * #,##0.00_-;\-&quot;R$&quot;\ * #,##0.00_-;_-&quot;R$&quot;\ * &quot;-&quot;??_-;_-@_-"/>
    <numFmt numFmtId="43" formatCode="_-* #,##0.00_-;\-* #,##0.00_-;_-* &quot;-&quot;??_-;_-@_-"/>
    <numFmt numFmtId="164" formatCode="#,##0.00\ "/>
    <numFmt numFmtId="165" formatCode="&quot;R$&quot;\ #,##0.00"/>
    <numFmt numFmtId="166" formatCode="#,##0.0000"/>
    <numFmt numFmtId="167" formatCode="_-[$R$-416]\ * #,##0.00_-;\-[$R$-416]\ * #,##0.00_-;_-[$R$-416]\ * &quot;-&quot;??_-;_-@_-"/>
    <numFmt numFmtId="168" formatCode="_(* #,##0.00_);_(* \(#,##0.00\);_(* &quot;-&quot;??_);_(@_)"/>
    <numFmt numFmtId="169" formatCode="_(* #,##0.00000_);_(* \(#,##0.00000\);_(* &quot;-&quot;??_);_(@_)"/>
    <numFmt numFmtId="170" formatCode="0.00000"/>
    <numFmt numFmtId="171" formatCode="0.0000"/>
    <numFmt numFmtId="172" formatCode="&quot;R$&quot;#,##0.0000"/>
    <numFmt numFmtId="173" formatCode="_(* #,##0.0000_);_(* \(#,##0.0000\);_(* &quot;-&quot;??_);_(@_)"/>
    <numFmt numFmtId="174" formatCode="0.000"/>
    <numFmt numFmtId="175" formatCode="&quot;R$&quot;#,##0.00"/>
    <numFmt numFmtId="176" formatCode="#,##0.00000"/>
    <numFmt numFmtId="177" formatCode="[$-416]mmm/yy;@"/>
    <numFmt numFmtId="178" formatCode="mmmm/yyyy;@"/>
    <numFmt numFmtId="179" formatCode="#,##0.00\ &quot;M²&quot;"/>
    <numFmt numFmtId="180" formatCode="#,##0.00\ &quot;M&quot;"/>
    <numFmt numFmtId="181" formatCode="@&quot; (R$)&quot;"/>
    <numFmt numFmtId="182" formatCode="&quot;( &quot;0.00%&quot; )&quot;"/>
    <numFmt numFmtId="183" formatCode="&quot;R$ &quot;#,##0.00"/>
    <numFmt numFmtId="184" formatCode="0.0"/>
    <numFmt numFmtId="185" formatCode="#,###\ &quot;dias&quot;"/>
    <numFmt numFmtId="186" formatCode="#,##0.000000"/>
    <numFmt numFmtId="187" formatCode="#,##0.000"/>
    <numFmt numFmtId="188" formatCode="#,##0.00\ &quot;Km&quot;"/>
    <numFmt numFmtId="189" formatCode="#,##0_ ;\-#,##0\ "/>
    <numFmt numFmtId="190" formatCode="#,##0.00\ &quot;unidades&quot;"/>
  </numFmts>
  <fonts count="6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1"/>
      <name val="Arial"/>
      <family val="2"/>
    </font>
    <font>
      <b/>
      <sz val="11"/>
      <color theme="4" tint="-0.499984740745262"/>
      <name val="Arial"/>
      <family val="2"/>
    </font>
    <font>
      <b/>
      <sz val="14"/>
      <color theme="4" tint="-0.499984740745262"/>
      <name val="Arial"/>
      <family val="2"/>
    </font>
    <font>
      <sz val="11"/>
      <name val="Arial"/>
      <family val="2"/>
    </font>
    <font>
      <sz val="11"/>
      <color theme="1"/>
      <name val="Arial"/>
      <family val="2"/>
    </font>
    <font>
      <b/>
      <sz val="12"/>
      <color theme="0"/>
      <name val="Arial"/>
      <family val="2"/>
    </font>
    <font>
      <b/>
      <sz val="11"/>
      <color theme="0"/>
      <name val="Arial"/>
      <family val="2"/>
    </font>
    <font>
      <b/>
      <sz val="12"/>
      <color theme="4" tint="-0.499984740745262"/>
      <name val="Arial"/>
      <family val="2"/>
    </font>
    <font>
      <b/>
      <sz val="10"/>
      <name val="Arial"/>
      <family val="2"/>
    </font>
    <font>
      <sz val="11"/>
      <name val="Calibri"/>
      <family val="2"/>
      <scheme val="minor"/>
    </font>
    <font>
      <b/>
      <sz val="14"/>
      <color theme="0"/>
      <name val="Arial"/>
      <family val="2"/>
    </font>
    <font>
      <sz val="14"/>
      <name val="Arial"/>
      <family val="2"/>
    </font>
    <font>
      <sz val="11"/>
      <color theme="0"/>
      <name val="Arial"/>
      <family val="2"/>
    </font>
    <font>
      <b/>
      <sz val="11"/>
      <color theme="1"/>
      <name val="Arial"/>
      <family val="2"/>
    </font>
    <font>
      <b/>
      <i/>
      <sz val="11"/>
      <color theme="1"/>
      <name val="Arial"/>
      <family val="2"/>
    </font>
    <font>
      <b/>
      <sz val="9"/>
      <color theme="0"/>
      <name val="Tahoma"/>
      <family val="2"/>
    </font>
    <font>
      <b/>
      <sz val="10"/>
      <color theme="0"/>
      <name val="Arial"/>
      <family val="2"/>
    </font>
    <font>
      <b/>
      <sz val="8"/>
      <color theme="0"/>
      <name val="Tahoma"/>
      <family val="2"/>
    </font>
    <font>
      <b/>
      <sz val="8"/>
      <name val="Tahoma"/>
      <family val="2"/>
    </font>
    <font>
      <sz val="10"/>
      <name val="Tahoma"/>
      <family val="2"/>
    </font>
    <font>
      <sz val="8"/>
      <name val="Tahoma"/>
      <family val="2"/>
    </font>
    <font>
      <b/>
      <sz val="9"/>
      <name val="Times New Roman"/>
      <family val="1"/>
    </font>
    <font>
      <sz val="8"/>
      <name val="Arial"/>
      <family val="2"/>
    </font>
    <font>
      <sz val="11"/>
      <color theme="1"/>
      <name val="Arial Narrow"/>
      <family val="2"/>
    </font>
    <font>
      <b/>
      <sz val="12"/>
      <color indexed="8"/>
      <name val="Arial Narrow"/>
      <family val="2"/>
    </font>
    <font>
      <b/>
      <sz val="12"/>
      <color indexed="8"/>
      <name val="Arial"/>
      <family val="2"/>
    </font>
    <font>
      <b/>
      <sz val="12"/>
      <color theme="1"/>
      <name val="Arial"/>
      <family val="2"/>
    </font>
    <font>
      <b/>
      <sz val="11"/>
      <color theme="0"/>
      <name val="Arial Narrow"/>
      <family val="2"/>
    </font>
    <font>
      <b/>
      <sz val="11"/>
      <name val="Calibri"/>
      <family val="2"/>
      <scheme val="minor"/>
    </font>
    <font>
      <sz val="10"/>
      <color theme="1"/>
      <name val="Arial Narrow"/>
      <family val="2"/>
    </font>
    <font>
      <sz val="12"/>
      <name val="Arial"/>
      <family val="2"/>
    </font>
    <font>
      <b/>
      <i/>
      <sz val="12"/>
      <color theme="0"/>
      <name val="Arial"/>
      <family val="2"/>
    </font>
    <font>
      <i/>
      <sz val="10"/>
      <name val="Arial"/>
      <family val="2"/>
    </font>
    <font>
      <i/>
      <sz val="12"/>
      <name val="Arial"/>
      <family val="2"/>
    </font>
    <font>
      <b/>
      <sz val="12"/>
      <color rgb="FFFF0000"/>
      <name val="Arial"/>
      <family val="2"/>
    </font>
    <font>
      <sz val="10"/>
      <color theme="0"/>
      <name val="Arial"/>
      <family val="2"/>
    </font>
    <font>
      <sz val="10"/>
      <color indexed="8"/>
      <name val="Arial"/>
      <family val="2"/>
    </font>
    <font>
      <i/>
      <sz val="10"/>
      <color indexed="8"/>
      <name val="Arial"/>
      <family val="2"/>
    </font>
    <font>
      <b/>
      <i/>
      <sz val="10"/>
      <name val="Arial"/>
      <family val="2"/>
    </font>
    <font>
      <sz val="12"/>
      <color theme="1"/>
      <name val="Arial"/>
      <family val="2"/>
    </font>
    <font>
      <sz val="11"/>
      <color indexed="10"/>
      <name val="Arial"/>
      <family val="2"/>
    </font>
    <font>
      <b/>
      <sz val="18"/>
      <color theme="4" tint="-0.499984740745262"/>
      <name val="Arial"/>
      <family val="2"/>
    </font>
    <font>
      <b/>
      <sz val="11"/>
      <color indexed="8"/>
      <name val="Arial"/>
      <family val="2"/>
    </font>
    <font>
      <sz val="11"/>
      <color indexed="8"/>
      <name val="Arial"/>
      <family val="2"/>
    </font>
    <font>
      <b/>
      <sz val="11"/>
      <color rgb="FFFF0000"/>
      <name val="Arial"/>
      <family val="2"/>
    </font>
    <font>
      <sz val="12"/>
      <name val="Times New Roman"/>
      <family val="1"/>
    </font>
    <font>
      <b/>
      <sz val="12"/>
      <name val="Times New Roman"/>
      <family val="1"/>
    </font>
    <font>
      <sz val="11"/>
      <color rgb="FFEE0000"/>
      <name val="Arial"/>
      <family val="2"/>
    </font>
    <font>
      <b/>
      <i/>
      <sz val="11"/>
      <color theme="0"/>
      <name val="Arial"/>
      <family val="2"/>
    </font>
    <font>
      <b/>
      <sz val="10"/>
      <name val="Arial Narrow"/>
      <family val="2"/>
    </font>
    <font>
      <b/>
      <sz val="10"/>
      <color indexed="8"/>
      <name val="Arial Narrow"/>
      <family val="2"/>
    </font>
    <font>
      <sz val="10"/>
      <color theme="1"/>
      <name val="Arial"/>
      <family val="2"/>
    </font>
    <font>
      <b/>
      <sz val="10"/>
      <color rgb="FFFF0000"/>
      <name val="Arial"/>
      <family val="2"/>
    </font>
    <font>
      <b/>
      <sz val="10"/>
      <color theme="1"/>
      <name val="Arial"/>
      <family val="2"/>
    </font>
    <font>
      <b/>
      <sz val="12"/>
      <name val="Arial"/>
      <family val="2"/>
    </font>
    <font>
      <sz val="13"/>
      <color theme="1"/>
      <name val="Arial"/>
      <family val="2"/>
    </font>
  </fonts>
  <fills count="14">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rgb="FF92D050"/>
        <bgColor indexed="64"/>
      </patternFill>
    </fill>
    <fill>
      <patternFill patternType="solid">
        <fgColor theme="4" tint="0.79998168889431442"/>
        <bgColor indexed="64"/>
      </patternFill>
    </fill>
    <fill>
      <patternFill patternType="solid">
        <fgColor indexed="9"/>
        <bgColor indexed="64"/>
      </patternFill>
    </fill>
    <fill>
      <patternFill patternType="solid">
        <fgColor theme="2"/>
        <bgColor indexed="64"/>
      </patternFill>
    </fill>
    <fill>
      <patternFill patternType="solid">
        <fgColor theme="0"/>
        <bgColor indexed="24"/>
      </patternFill>
    </fill>
    <fill>
      <patternFill patternType="solid">
        <fgColor theme="4" tint="-0.499984740745262"/>
        <bgColor indexed="2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3" tint="-0.249977111117893"/>
        <bgColor indexed="64"/>
      </patternFill>
    </fill>
  </fills>
  <borders count="9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style="hair">
        <color indexed="64"/>
      </left>
      <right style="thin">
        <color indexed="64"/>
      </right>
      <top style="thin">
        <color indexed="64"/>
      </top>
      <bottom style="hair">
        <color indexed="64"/>
      </bottom>
      <diagonal/>
    </border>
    <border>
      <left/>
      <right/>
      <top/>
      <bottom style="double">
        <color indexed="17"/>
      </bottom>
      <diagonal/>
    </border>
    <border>
      <left/>
      <right style="double">
        <color indexed="17"/>
      </right>
      <top/>
      <bottom/>
      <diagonal/>
    </border>
    <border>
      <left style="double">
        <color indexed="17"/>
      </left>
      <right style="double">
        <color indexed="17"/>
      </right>
      <top style="double">
        <color indexed="17"/>
      </top>
      <bottom/>
      <diagonal/>
    </border>
    <border>
      <left style="double">
        <color indexed="17"/>
      </left>
      <right style="double">
        <color indexed="17"/>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17"/>
      </left>
      <right style="double">
        <color indexed="17"/>
      </right>
      <top/>
      <bottom style="double">
        <color indexed="17"/>
      </bottom>
      <diagonal/>
    </border>
    <border>
      <left style="thin">
        <color indexed="64"/>
      </left>
      <right/>
      <top/>
      <bottom style="thin">
        <color theme="0"/>
      </bottom>
      <diagonal/>
    </border>
    <border>
      <left/>
      <right/>
      <top/>
      <bottom style="thin">
        <color theme="0"/>
      </bottom>
      <diagonal/>
    </border>
    <border>
      <left/>
      <right style="thin">
        <color indexed="64"/>
      </right>
      <top/>
      <bottom style="thin">
        <color theme="0"/>
      </bottom>
      <diagonal/>
    </border>
    <border>
      <left style="thin">
        <color indexed="64"/>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thin">
        <color indexed="64"/>
      </right>
      <top/>
      <bottom style="thin">
        <color theme="0"/>
      </bottom>
      <diagonal/>
    </border>
    <border>
      <left style="thin">
        <color indexed="64"/>
      </left>
      <right style="thin">
        <color theme="0"/>
      </right>
      <top style="thin">
        <color theme="0"/>
      </top>
      <bottom style="medium">
        <color theme="9" tint="-0.24994659260841701"/>
      </bottom>
      <diagonal/>
    </border>
    <border>
      <left style="thin">
        <color theme="0"/>
      </left>
      <right style="thin">
        <color theme="0"/>
      </right>
      <top style="thin">
        <color theme="0"/>
      </top>
      <bottom style="medium">
        <color theme="9" tint="-0.24994659260841701"/>
      </bottom>
      <diagonal/>
    </border>
    <border>
      <left style="thin">
        <color theme="0"/>
      </left>
      <right style="thin">
        <color indexed="64"/>
      </right>
      <top style="thin">
        <color theme="0"/>
      </top>
      <bottom style="medium">
        <color theme="9" tint="-0.24994659260841701"/>
      </bottom>
      <diagonal/>
    </border>
    <border>
      <left style="thin">
        <color indexed="64"/>
      </left>
      <right/>
      <top style="medium">
        <color theme="9" tint="-0.24994659260841701"/>
      </top>
      <bottom style="medium">
        <color theme="9" tint="-0.24994659260841701"/>
      </bottom>
      <diagonal/>
    </border>
    <border>
      <left/>
      <right/>
      <top style="medium">
        <color theme="9" tint="-0.24994659260841701"/>
      </top>
      <bottom style="medium">
        <color theme="9" tint="-0.24994659260841701"/>
      </bottom>
      <diagonal/>
    </border>
    <border>
      <left/>
      <right style="thin">
        <color indexed="64"/>
      </right>
      <top style="medium">
        <color theme="9" tint="-0.24994659260841701"/>
      </top>
      <bottom style="medium">
        <color theme="9" tint="-0.24994659260841701"/>
      </bottom>
      <diagonal/>
    </border>
    <border>
      <left style="thin">
        <color indexed="64"/>
      </left>
      <right style="thin">
        <color indexed="64"/>
      </right>
      <top style="medium">
        <color theme="9" tint="-0.24994659260841701"/>
      </top>
      <bottom style="thin">
        <color indexed="64"/>
      </bottom>
      <diagonal/>
    </border>
    <border>
      <left style="thin">
        <color indexed="64"/>
      </left>
      <right/>
      <top/>
      <bottom style="medium">
        <color theme="9" tint="-0.24994659260841701"/>
      </bottom>
      <diagonal/>
    </border>
    <border>
      <left/>
      <right/>
      <top/>
      <bottom style="medium">
        <color theme="9" tint="-0.24994659260841701"/>
      </bottom>
      <diagonal/>
    </border>
    <border>
      <left/>
      <right style="thin">
        <color indexed="64"/>
      </right>
      <top/>
      <bottom style="medium">
        <color theme="9" tint="-0.24994659260841701"/>
      </bottom>
      <diagonal/>
    </border>
    <border>
      <left style="thin">
        <color indexed="64"/>
      </left>
      <right style="thin">
        <color indexed="64"/>
      </right>
      <top style="thin">
        <color indexed="64"/>
      </top>
      <bottom style="medium">
        <color theme="9" tint="-0.24994659260841701"/>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top style="medium">
        <color theme="9" tint="-0.24994659260841701"/>
      </top>
      <bottom/>
      <diagonal/>
    </border>
    <border>
      <left/>
      <right/>
      <top style="medium">
        <color theme="9" tint="-0.2499465926084170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8">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8" fontId="3" fillId="0" borderId="0" applyFont="0" applyFill="0" applyBorder="0" applyAlignment="0" applyProtection="0"/>
    <xf numFmtId="0" fontId="3" fillId="0" borderId="0"/>
    <xf numFmtId="168" fontId="3" fillId="0" borderId="0" applyFont="0" applyFill="0" applyBorder="0" applyAlignment="0" applyProtection="0"/>
    <xf numFmtId="0" fontId="3" fillId="0" borderId="0"/>
    <xf numFmtId="0" fontId="3" fillId="0" borderId="0"/>
    <xf numFmtId="43" fontId="1" fillId="0" borderId="0" applyFont="0" applyFill="0" applyBorder="0" applyAlignment="0" applyProtection="0"/>
    <xf numFmtId="0" fontId="3" fillId="0" borderId="0"/>
    <xf numFmtId="0" fontId="3" fillId="0" borderId="0"/>
    <xf numFmtId="0" fontId="43" fillId="0" borderId="0"/>
    <xf numFmtId="9" fontId="3" fillId="0" borderId="0" applyFont="0" applyFill="0" applyBorder="0" applyAlignment="0" applyProtection="0"/>
    <xf numFmtId="168"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3" fillId="0" borderId="0"/>
    <xf numFmtId="168" fontId="47" fillId="0" borderId="0" applyFont="0" applyFill="0" applyBorder="0" applyAlignment="0" applyProtection="0"/>
    <xf numFmtId="168" fontId="3" fillId="0" borderId="0" applyFont="0" applyFill="0" applyBorder="0" applyAlignment="0" applyProtection="0"/>
    <xf numFmtId="0" fontId="1" fillId="0" borderId="0"/>
    <xf numFmtId="0" fontId="3" fillId="0" borderId="0"/>
  </cellStyleXfs>
  <cellXfs count="1437">
    <xf numFmtId="0" fontId="0" fillId="0" borderId="0" xfId="0"/>
    <xf numFmtId="0" fontId="4" fillId="2" borderId="1" xfId="3" applyFont="1" applyFill="1" applyBorder="1" applyAlignment="1">
      <alignment horizontal="left" vertical="center"/>
    </xf>
    <xf numFmtId="0" fontId="5" fillId="0" borderId="2" xfId="4" applyFont="1" applyBorder="1" applyAlignment="1">
      <alignment horizontal="left" vertical="center"/>
    </xf>
    <xf numFmtId="0" fontId="6" fillId="2" borderId="2" xfId="3" applyFont="1" applyFill="1" applyBorder="1" applyAlignment="1">
      <alignment vertical="center" wrapText="1"/>
    </xf>
    <xf numFmtId="0" fontId="5" fillId="0" borderId="2" xfId="4" applyFont="1" applyBorder="1" applyAlignment="1">
      <alignment vertical="center"/>
    </xf>
    <xf numFmtId="0" fontId="5" fillId="0" borderId="3" xfId="4" applyFont="1" applyBorder="1" applyAlignment="1">
      <alignment vertical="center"/>
    </xf>
    <xf numFmtId="0" fontId="7" fillId="0" borderId="0" xfId="5" applyFont="1" applyAlignment="1">
      <alignment vertical="center"/>
    </xf>
    <xf numFmtId="0" fontId="8" fillId="0" borderId="4" xfId="0" applyFont="1" applyBorder="1" applyAlignment="1">
      <alignment vertical="center"/>
    </xf>
    <xf numFmtId="0" fontId="4" fillId="2" borderId="5" xfId="3" applyFont="1" applyFill="1" applyBorder="1" applyAlignment="1">
      <alignment horizontal="left" vertical="center"/>
    </xf>
    <xf numFmtId="0" fontId="5" fillId="0" borderId="0" xfId="3" applyFont="1" applyAlignment="1">
      <alignment horizontal="left" vertical="center"/>
    </xf>
    <xf numFmtId="0" fontId="6" fillId="2" borderId="0" xfId="3" applyFont="1" applyFill="1" applyAlignment="1">
      <alignment vertical="center" wrapText="1"/>
    </xf>
    <xf numFmtId="0" fontId="5" fillId="0" borderId="0" xfId="3" applyFont="1" applyAlignment="1">
      <alignment vertical="center"/>
    </xf>
    <xf numFmtId="0" fontId="5" fillId="0" borderId="6" xfId="3" applyFont="1" applyBorder="1" applyAlignment="1">
      <alignment vertical="center"/>
    </xf>
    <xf numFmtId="0" fontId="7" fillId="2" borderId="7" xfId="3" applyFont="1" applyFill="1" applyBorder="1" applyAlignment="1">
      <alignment horizontal="left" vertical="center"/>
    </xf>
    <xf numFmtId="0" fontId="4" fillId="2" borderId="8" xfId="3" applyFont="1" applyFill="1" applyBorder="1" applyAlignment="1">
      <alignment horizontal="left" vertical="center"/>
    </xf>
    <xf numFmtId="14" fontId="5" fillId="0" borderId="9" xfId="3" applyNumberFormat="1" applyFont="1" applyBorder="1" applyAlignment="1">
      <alignment horizontal="left" vertical="center"/>
    </xf>
    <xf numFmtId="0" fontId="6" fillId="2" borderId="9" xfId="3" applyFont="1" applyFill="1" applyBorder="1" applyAlignment="1">
      <alignment vertical="center" wrapText="1"/>
    </xf>
    <xf numFmtId="14" fontId="5" fillId="0" borderId="9" xfId="3" applyNumberFormat="1" applyFont="1" applyBorder="1" applyAlignment="1">
      <alignment vertical="center"/>
    </xf>
    <xf numFmtId="14" fontId="5" fillId="0" borderId="10" xfId="3" applyNumberFormat="1" applyFont="1" applyBorder="1" applyAlignment="1">
      <alignment vertical="center"/>
    </xf>
    <xf numFmtId="0" fontId="7" fillId="0" borderId="7" xfId="5" applyFont="1" applyBorder="1" applyAlignment="1">
      <alignment horizontal="left" vertical="center"/>
    </xf>
    <xf numFmtId="0" fontId="7" fillId="0" borderId="1" xfId="5" applyFont="1" applyBorder="1" applyAlignment="1">
      <alignment vertical="center"/>
    </xf>
    <xf numFmtId="0" fontId="7" fillId="0" borderId="2" xfId="5" applyFont="1" applyBorder="1" applyAlignment="1">
      <alignment vertical="center"/>
    </xf>
    <xf numFmtId="0" fontId="4" fillId="0" borderId="2" xfId="5" applyFont="1" applyBorder="1" applyAlignment="1">
      <alignment vertical="center" wrapText="1"/>
    </xf>
    <xf numFmtId="0" fontId="4" fillId="0" borderId="3" xfId="5" applyFont="1" applyBorder="1" applyAlignment="1">
      <alignment vertical="center" wrapText="1"/>
    </xf>
    <xf numFmtId="1" fontId="4" fillId="0" borderId="8" xfId="5" applyNumberFormat="1" applyFont="1" applyBorder="1" applyAlignment="1">
      <alignment horizontal="center" vertical="center" wrapText="1"/>
    </xf>
    <xf numFmtId="0" fontId="4" fillId="0" borderId="8" xfId="5" applyFont="1" applyBorder="1" applyAlignment="1">
      <alignment vertical="center"/>
    </xf>
    <xf numFmtId="0" fontId="4" fillId="0" borderId="9" xfId="5" applyFont="1" applyBorder="1" applyAlignment="1">
      <alignment vertical="center" wrapText="1"/>
    </xf>
    <xf numFmtId="164" fontId="7" fillId="0" borderId="8" xfId="5" applyNumberFormat="1" applyFont="1" applyBorder="1" applyAlignment="1">
      <alignment vertical="center"/>
    </xf>
    <xf numFmtId="0" fontId="4" fillId="0" borderId="10" xfId="5" applyFont="1" applyBorder="1" applyAlignment="1">
      <alignment horizontal="center" vertical="center"/>
    </xf>
    <xf numFmtId="0" fontId="7" fillId="0" borderId="11" xfId="5" applyFont="1" applyBorder="1" applyAlignment="1">
      <alignment vertical="center"/>
    </xf>
    <xf numFmtId="0" fontId="7" fillId="0" borderId="12" xfId="5" applyFont="1" applyBorder="1" applyAlignment="1">
      <alignment vertical="center"/>
    </xf>
    <xf numFmtId="1" fontId="7" fillId="0" borderId="12" xfId="5" applyNumberFormat="1" applyFont="1" applyBorder="1" applyAlignment="1">
      <alignment vertical="center" wrapText="1"/>
    </xf>
    <xf numFmtId="0" fontId="4" fillId="0" borderId="12" xfId="5" applyFont="1" applyBorder="1" applyAlignment="1">
      <alignment horizontal="left" vertical="top"/>
    </xf>
    <xf numFmtId="0" fontId="4" fillId="0" borderId="12" xfId="5" applyFont="1" applyBorder="1" applyAlignment="1">
      <alignment vertical="center"/>
    </xf>
    <xf numFmtId="164" fontId="7" fillId="0" borderId="13" xfId="5" applyNumberFormat="1" applyFont="1" applyBorder="1" applyAlignment="1">
      <alignment horizontal="center" vertical="center"/>
    </xf>
    <xf numFmtId="0" fontId="8" fillId="0" borderId="14" xfId="0" applyFont="1" applyBorder="1" applyAlignment="1">
      <alignment vertical="center"/>
    </xf>
    <xf numFmtId="164" fontId="4" fillId="2" borderId="2" xfId="5" applyNumberFormat="1" applyFont="1" applyFill="1" applyBorder="1" applyAlignment="1">
      <alignment horizontal="centerContinuous" vertical="center"/>
    </xf>
    <xf numFmtId="164" fontId="4" fillId="2" borderId="3" xfId="5" applyNumberFormat="1" applyFont="1" applyFill="1" applyBorder="1" applyAlignment="1">
      <alignment horizontal="centerContinuous" vertical="center"/>
    </xf>
    <xf numFmtId="164" fontId="4" fillId="2" borderId="3" xfId="5" applyNumberFormat="1" applyFont="1" applyFill="1" applyBorder="1" applyAlignment="1">
      <alignment horizontal="center" vertical="center"/>
    </xf>
    <xf numFmtId="164" fontId="4" fillId="2" borderId="9" xfId="5" applyNumberFormat="1" applyFont="1" applyFill="1" applyBorder="1" applyAlignment="1">
      <alignment horizontal="centerContinuous" vertical="center"/>
    </xf>
    <xf numFmtId="164" fontId="4" fillId="2" borderId="10" xfId="5" applyNumberFormat="1" applyFont="1" applyFill="1" applyBorder="1" applyAlignment="1">
      <alignment horizontal="centerContinuous" vertical="center"/>
    </xf>
    <xf numFmtId="164" fontId="4" fillId="2" borderId="14" xfId="5" applyNumberFormat="1" applyFont="1" applyFill="1" applyBorder="1" applyAlignment="1">
      <alignment horizontal="center" vertical="center"/>
    </xf>
    <xf numFmtId="0" fontId="7" fillId="2" borderId="11" xfId="5" applyFont="1" applyFill="1" applyBorder="1" applyAlignment="1">
      <alignment horizontal="center" vertical="center"/>
    </xf>
    <xf numFmtId="0" fontId="7" fillId="2" borderId="11" xfId="5" applyFont="1" applyFill="1" applyBorder="1" applyAlignment="1">
      <alignment horizontal="center" vertical="center" wrapText="1"/>
    </xf>
    <xf numFmtId="0" fontId="0" fillId="2" borderId="15" xfId="5" applyFont="1" applyFill="1" applyBorder="1" applyAlignment="1">
      <alignment horizontal="left" vertical="center" wrapText="1"/>
    </xf>
    <xf numFmtId="4" fontId="7" fillId="2" borderId="13" xfId="5" applyNumberFormat="1" applyFont="1" applyFill="1" applyBorder="1" applyAlignment="1">
      <alignment horizontal="center" vertical="center"/>
    </xf>
    <xf numFmtId="4" fontId="7" fillId="2" borderId="15" xfId="5" applyNumberFormat="1" applyFont="1" applyFill="1" applyBorder="1" applyAlignment="1">
      <alignment horizontal="center" vertical="center"/>
    </xf>
    <xf numFmtId="165" fontId="7" fillId="2" borderId="15" xfId="5" applyNumberFormat="1" applyFont="1" applyFill="1" applyBorder="1" applyAlignment="1">
      <alignment horizontal="center" vertical="center"/>
    </xf>
    <xf numFmtId="0" fontId="7" fillId="2" borderId="5" xfId="5" applyFont="1" applyFill="1" applyBorder="1" applyAlignment="1">
      <alignment horizontal="center" vertical="center"/>
    </xf>
    <xf numFmtId="0" fontId="7" fillId="2" borderId="15" xfId="5" applyFont="1" applyFill="1" applyBorder="1" applyAlignment="1">
      <alignment horizontal="center" vertical="center"/>
    </xf>
    <xf numFmtId="165" fontId="10" fillId="3" borderId="15" xfId="5" applyNumberFormat="1" applyFont="1" applyFill="1" applyBorder="1" applyAlignment="1">
      <alignment horizontal="center" vertical="center"/>
    </xf>
    <xf numFmtId="164" fontId="7" fillId="0" borderId="0" xfId="5" applyNumberFormat="1" applyFont="1" applyAlignment="1">
      <alignment vertical="center"/>
    </xf>
    <xf numFmtId="0" fontId="11" fillId="2" borderId="2" xfId="3" applyFont="1" applyFill="1" applyBorder="1" applyAlignment="1">
      <alignment vertical="center" wrapText="1"/>
    </xf>
    <xf numFmtId="0" fontId="7" fillId="0" borderId="0" xfId="6" applyFont="1" applyAlignment="1">
      <alignment vertical="center"/>
    </xf>
    <xf numFmtId="0" fontId="11" fillId="2" borderId="0" xfId="3" applyFont="1" applyFill="1" applyAlignment="1">
      <alignment vertical="center" wrapText="1"/>
    </xf>
    <xf numFmtId="10" fontId="5" fillId="0" borderId="9" xfId="3" applyNumberFormat="1" applyFont="1" applyBorder="1" applyAlignment="1">
      <alignment horizontal="left" vertical="center"/>
    </xf>
    <xf numFmtId="0" fontId="11" fillId="2" borderId="9" xfId="3" applyFont="1" applyFill="1" applyBorder="1" applyAlignment="1">
      <alignment vertical="center" wrapText="1"/>
    </xf>
    <xf numFmtId="0" fontId="8" fillId="0" borderId="10" xfId="0" applyFont="1" applyBorder="1" applyAlignment="1">
      <alignment horizontal="left" vertical="center"/>
    </xf>
    <xf numFmtId="0" fontId="4" fillId="0" borderId="11" xfId="6" applyFont="1" applyBorder="1" applyAlignment="1">
      <alignment horizontal="left" vertical="center"/>
    </xf>
    <xf numFmtId="0" fontId="4" fillId="0" borderId="1" xfId="6" applyFont="1" applyBorder="1" applyAlignment="1">
      <alignment vertical="center"/>
    </xf>
    <xf numFmtId="0" fontId="4" fillId="0" borderId="2" xfId="6" applyFont="1" applyBorder="1" applyAlignment="1">
      <alignment vertical="center" wrapText="1"/>
    </xf>
    <xf numFmtId="0" fontId="4" fillId="0" borderId="3" xfId="6" applyFont="1" applyBorder="1" applyAlignment="1">
      <alignment vertical="center" wrapText="1"/>
    </xf>
    <xf numFmtId="0" fontId="4" fillId="0" borderId="3" xfId="6" applyFont="1" applyBorder="1" applyAlignment="1">
      <alignment vertical="center"/>
    </xf>
    <xf numFmtId="0" fontId="7" fillId="2" borderId="15" xfId="6" applyFont="1" applyFill="1" applyBorder="1" applyAlignment="1">
      <alignment horizontal="center" vertical="center"/>
    </xf>
    <xf numFmtId="0" fontId="4" fillId="0" borderId="8" xfId="6" applyFont="1" applyBorder="1" applyAlignment="1">
      <alignment vertical="center"/>
    </xf>
    <xf numFmtId="0" fontId="4" fillId="0" borderId="9" xfId="6" applyFont="1" applyBorder="1" applyAlignment="1">
      <alignment vertical="center" wrapText="1"/>
    </xf>
    <xf numFmtId="0" fontId="4" fillId="0" borderId="10" xfId="6" applyFont="1" applyBorder="1" applyAlignment="1">
      <alignment vertical="center" wrapText="1"/>
    </xf>
    <xf numFmtId="0" fontId="4" fillId="0" borderId="8" xfId="6" applyFont="1" applyBorder="1" applyAlignment="1">
      <alignment vertical="center" wrapText="1"/>
    </xf>
    <xf numFmtId="0" fontId="4" fillId="0" borderId="10" xfId="6" applyFont="1" applyBorder="1" applyAlignment="1">
      <alignment horizontal="left" vertical="center"/>
    </xf>
    <xf numFmtId="0" fontId="4" fillId="0" borderId="12" xfId="6" applyFont="1" applyBorder="1" applyAlignment="1">
      <alignment vertical="center"/>
    </xf>
    <xf numFmtId="1" fontId="4" fillId="0" borderId="12" xfId="6" applyNumberFormat="1" applyFont="1" applyBorder="1" applyAlignment="1">
      <alignment vertical="center" wrapText="1"/>
    </xf>
    <xf numFmtId="164" fontId="4" fillId="0" borderId="13" xfId="6" applyNumberFormat="1" applyFont="1" applyBorder="1" applyAlignment="1">
      <alignment horizontal="center" vertical="center"/>
    </xf>
    <xf numFmtId="164" fontId="12" fillId="2" borderId="7" xfId="6" applyNumberFormat="1" applyFont="1" applyFill="1" applyBorder="1" applyAlignment="1">
      <alignment horizontal="centerContinuous" vertical="center"/>
    </xf>
    <xf numFmtId="164" fontId="12" fillId="2" borderId="7" xfId="6" applyNumberFormat="1" applyFont="1" applyFill="1" applyBorder="1" applyAlignment="1">
      <alignment horizontal="center" vertical="center"/>
    </xf>
    <xf numFmtId="164" fontId="12" fillId="2" borderId="14" xfId="6" applyNumberFormat="1" applyFont="1" applyFill="1" applyBorder="1" applyAlignment="1">
      <alignment horizontal="centerContinuous" vertical="center"/>
    </xf>
    <xf numFmtId="164" fontId="12" fillId="2" borderId="14" xfId="6" applyNumberFormat="1" applyFont="1" applyFill="1" applyBorder="1" applyAlignment="1">
      <alignment horizontal="center" vertical="center"/>
    </xf>
    <xf numFmtId="0" fontId="7" fillId="2" borderId="15" xfId="6" applyFont="1" applyFill="1" applyBorder="1" applyAlignment="1">
      <alignment horizontal="center" vertical="center" wrapText="1"/>
    </xf>
    <xf numFmtId="0" fontId="0" fillId="2" borderId="11" xfId="5" applyFont="1" applyFill="1" applyBorder="1" applyAlignment="1">
      <alignment horizontal="left" vertical="center" wrapText="1"/>
    </xf>
    <xf numFmtId="4" fontId="0" fillId="2" borderId="15" xfId="5" applyNumberFormat="1" applyFont="1" applyFill="1" applyBorder="1" applyAlignment="1">
      <alignment horizontal="center" vertical="center"/>
    </xf>
    <xf numFmtId="166" fontId="7" fillId="2" borderId="15" xfId="6" applyNumberFormat="1" applyFont="1" applyFill="1" applyBorder="1" applyAlignment="1">
      <alignment horizontal="center" vertical="center"/>
    </xf>
    <xf numFmtId="165" fontId="7" fillId="2" borderId="15" xfId="6" applyNumberFormat="1" applyFont="1" applyFill="1" applyBorder="1" applyAlignment="1">
      <alignment horizontal="center" vertical="center"/>
    </xf>
    <xf numFmtId="165" fontId="10" fillId="3" borderId="15" xfId="6" applyNumberFormat="1" applyFont="1" applyFill="1" applyBorder="1" applyAlignment="1">
      <alignment horizontal="center" vertical="center"/>
    </xf>
    <xf numFmtId="0" fontId="0" fillId="0" borderId="1" xfId="0" applyBorder="1"/>
    <xf numFmtId="0" fontId="0" fillId="0" borderId="2" xfId="0" applyBorder="1"/>
    <xf numFmtId="0" fontId="0" fillId="0" borderId="3" xfId="0" applyBorder="1"/>
    <xf numFmtId="0" fontId="0" fillId="0" borderId="5" xfId="0" applyBorder="1"/>
    <xf numFmtId="164" fontId="7" fillId="0" borderId="0" xfId="6" applyNumberFormat="1" applyFont="1" applyAlignment="1">
      <alignment vertical="center"/>
    </xf>
    <xf numFmtId="0" fontId="0" fillId="0" borderId="6" xfId="0" applyBorder="1"/>
    <xf numFmtId="0" fontId="13" fillId="2" borderId="0" xfId="0" applyFont="1" applyFill="1"/>
    <xf numFmtId="0" fontId="13" fillId="2" borderId="0" xfId="0" applyFont="1" applyFill="1" applyAlignment="1">
      <alignment horizontal="left"/>
    </xf>
    <xf numFmtId="0" fontId="13" fillId="2" borderId="5" xfId="0" applyFont="1" applyFill="1" applyBorder="1"/>
    <xf numFmtId="0" fontId="7" fillId="2" borderId="0" xfId="6" applyFont="1" applyFill="1" applyAlignment="1">
      <alignment vertical="center"/>
    </xf>
    <xf numFmtId="0" fontId="13" fillId="2" borderId="6" xfId="0" applyFont="1" applyFill="1" applyBorder="1"/>
    <xf numFmtId="0" fontId="13" fillId="2" borderId="8" xfId="0" applyFont="1" applyFill="1" applyBorder="1"/>
    <xf numFmtId="0" fontId="13" fillId="2" borderId="9" xfId="0" applyFont="1" applyFill="1" applyBorder="1"/>
    <xf numFmtId="0" fontId="7" fillId="2" borderId="9" xfId="6" applyFont="1" applyFill="1" applyBorder="1" applyAlignment="1">
      <alignment vertical="center"/>
    </xf>
    <xf numFmtId="0" fontId="13" fillId="2" borderId="10" xfId="0" applyFont="1" applyFill="1" applyBorder="1"/>
    <xf numFmtId="0" fontId="4" fillId="0" borderId="7" xfId="5" applyFont="1" applyBorder="1" applyAlignment="1">
      <alignment horizontal="left" vertical="center"/>
    </xf>
    <xf numFmtId="0" fontId="4" fillId="0" borderId="1" xfId="5" applyFont="1" applyBorder="1" applyAlignment="1">
      <alignment vertical="center"/>
    </xf>
    <xf numFmtId="0" fontId="4" fillId="0" borderId="3" xfId="5" applyFont="1" applyBorder="1" applyAlignment="1">
      <alignment vertical="center"/>
    </xf>
    <xf numFmtId="0" fontId="4" fillId="0" borderId="8" xfId="5" applyFont="1" applyBorder="1" applyAlignment="1">
      <alignment vertical="center" wrapText="1"/>
    </xf>
    <xf numFmtId="0" fontId="4" fillId="0" borderId="10" xfId="5" applyFont="1" applyBorder="1" applyAlignment="1">
      <alignment horizontal="left" vertical="center"/>
    </xf>
    <xf numFmtId="0" fontId="4" fillId="0" borderId="11" xfId="5" applyFont="1" applyBorder="1" applyAlignment="1">
      <alignment vertical="center"/>
    </xf>
    <xf numFmtId="1" fontId="4" fillId="0" borderId="12" xfId="5" applyNumberFormat="1" applyFont="1" applyBorder="1" applyAlignment="1">
      <alignment vertical="center" wrapText="1"/>
    </xf>
    <xf numFmtId="164" fontId="4" fillId="0" borderId="13" xfId="5" applyNumberFormat="1" applyFont="1" applyBorder="1" applyAlignment="1">
      <alignment horizontal="center" vertical="center"/>
    </xf>
    <xf numFmtId="164" fontId="4" fillId="2" borderId="7" xfId="5" applyNumberFormat="1" applyFont="1" applyFill="1" applyBorder="1" applyAlignment="1">
      <alignment horizontal="centerContinuous" vertical="center"/>
    </xf>
    <xf numFmtId="164" fontId="4" fillId="2" borderId="7" xfId="5" applyNumberFormat="1" applyFont="1" applyFill="1" applyBorder="1" applyAlignment="1">
      <alignment horizontal="center" vertical="center"/>
    </xf>
    <xf numFmtId="164" fontId="4" fillId="2" borderId="14" xfId="5" applyNumberFormat="1" applyFont="1" applyFill="1" applyBorder="1" applyAlignment="1">
      <alignment horizontal="centerContinuous" vertical="center"/>
    </xf>
    <xf numFmtId="0" fontId="7" fillId="2" borderId="15" xfId="5" applyFont="1" applyFill="1" applyBorder="1" applyAlignment="1">
      <alignment horizontal="center" vertical="center" wrapText="1"/>
    </xf>
    <xf numFmtId="166" fontId="7" fillId="2" borderId="15" xfId="5" applyNumberFormat="1" applyFont="1" applyFill="1" applyBorder="1" applyAlignment="1">
      <alignment horizontal="center" vertical="center"/>
    </xf>
    <xf numFmtId="1" fontId="7" fillId="2" borderId="15" xfId="5" applyNumberFormat="1" applyFont="1" applyFill="1" applyBorder="1" applyAlignment="1">
      <alignment horizontal="center" vertical="center"/>
    </xf>
    <xf numFmtId="164" fontId="7" fillId="0" borderId="2" xfId="6" applyNumberFormat="1" applyFont="1" applyBorder="1" applyAlignment="1">
      <alignment vertical="center"/>
    </xf>
    <xf numFmtId="164" fontId="7" fillId="0" borderId="3" xfId="6" applyNumberFormat="1" applyFont="1" applyBorder="1" applyAlignment="1">
      <alignment vertical="center"/>
    </xf>
    <xf numFmtId="0" fontId="7" fillId="0" borderId="4" xfId="0" applyFont="1" applyBorder="1" applyAlignment="1">
      <alignment vertical="center"/>
    </xf>
    <xf numFmtId="164" fontId="7" fillId="0" borderId="6" xfId="6" applyNumberFormat="1" applyFont="1" applyBorder="1" applyAlignment="1">
      <alignment vertical="center"/>
    </xf>
    <xf numFmtId="0" fontId="7" fillId="0" borderId="7" xfId="3" applyFont="1" applyBorder="1" applyAlignment="1">
      <alignment horizontal="left" vertical="center"/>
    </xf>
    <xf numFmtId="164" fontId="7" fillId="0" borderId="9" xfId="6" applyNumberFormat="1" applyFont="1" applyBorder="1" applyAlignment="1">
      <alignment vertical="center"/>
    </xf>
    <xf numFmtId="164" fontId="7" fillId="0" borderId="10" xfId="6" applyNumberFormat="1" applyFont="1" applyBorder="1" applyAlignment="1">
      <alignment vertical="center"/>
    </xf>
    <xf numFmtId="0" fontId="7" fillId="0" borderId="4" xfId="6" applyFont="1" applyBorder="1" applyAlignment="1">
      <alignment horizontal="left" vertical="center"/>
    </xf>
    <xf numFmtId="0" fontId="7" fillId="0" borderId="5" xfId="6" applyFont="1" applyBorder="1" applyAlignment="1">
      <alignment vertical="center"/>
    </xf>
    <xf numFmtId="0" fontId="7" fillId="0" borderId="4" xfId="4" applyFont="1" applyBorder="1" applyAlignment="1">
      <alignment vertical="center"/>
    </xf>
    <xf numFmtId="0" fontId="7" fillId="0" borderId="5" xfId="4" applyFont="1" applyBorder="1" applyAlignment="1">
      <alignment horizontal="left" vertical="center" indent="1"/>
    </xf>
    <xf numFmtId="0" fontId="7" fillId="0" borderId="0" xfId="4" applyFont="1" applyAlignment="1">
      <alignment vertical="center"/>
    </xf>
    <xf numFmtId="4" fontId="7" fillId="0" borderId="14" xfId="4" applyNumberFormat="1" applyFont="1" applyBorder="1" applyAlignment="1">
      <alignment horizontal="left" vertical="center" indent="1"/>
    </xf>
    <xf numFmtId="1" fontId="4" fillId="0" borderId="14" xfId="6" applyNumberFormat="1" applyFont="1" applyBorder="1" applyAlignment="1">
      <alignment horizontal="left" vertical="center" wrapText="1" indent="1"/>
    </xf>
    <xf numFmtId="0" fontId="4" fillId="0" borderId="14" xfId="6" applyFont="1" applyBorder="1" applyAlignment="1">
      <alignment horizontal="left" vertical="center" indent="1"/>
    </xf>
    <xf numFmtId="0" fontId="7" fillId="0" borderId="14" xfId="3" applyFont="1" applyBorder="1" applyAlignment="1">
      <alignment vertical="center"/>
    </xf>
    <xf numFmtId="0" fontId="7" fillId="0" borderId="5" xfId="3" applyFont="1" applyBorder="1" applyAlignment="1">
      <alignment horizontal="left" vertical="center" indent="1"/>
    </xf>
    <xf numFmtId="0" fontId="7" fillId="0" borderId="0" xfId="3" applyFont="1" applyAlignment="1">
      <alignment vertical="center"/>
    </xf>
    <xf numFmtId="4" fontId="7" fillId="0" borderId="7" xfId="3" applyNumberFormat="1" applyFont="1" applyBorder="1" applyAlignment="1">
      <alignment horizontal="left" vertical="center" indent="1"/>
    </xf>
    <xf numFmtId="0" fontId="7" fillId="0" borderId="14" xfId="0" applyFont="1" applyBorder="1" applyAlignment="1">
      <alignment vertical="center"/>
    </xf>
    <xf numFmtId="164" fontId="4" fillId="2" borderId="15" xfId="6" applyNumberFormat="1" applyFont="1" applyFill="1" applyBorder="1" applyAlignment="1">
      <alignment horizontal="center" vertical="center" wrapText="1"/>
    </xf>
    <xf numFmtId="166" fontId="0" fillId="2" borderId="15" xfId="6" applyNumberFormat="1" applyFont="1" applyFill="1" applyBorder="1" applyAlignment="1">
      <alignment horizontal="left" vertical="center" wrapText="1"/>
    </xf>
    <xf numFmtId="4" fontId="7" fillId="2" borderId="15" xfId="6" applyNumberFormat="1" applyFont="1" applyFill="1" applyBorder="1" applyAlignment="1">
      <alignment horizontal="center" vertical="center"/>
    </xf>
    <xf numFmtId="166" fontId="7" fillId="2" borderId="15" xfId="6" applyNumberFormat="1" applyFont="1" applyFill="1" applyBorder="1" applyAlignment="1">
      <alignment horizontal="center" vertical="center" wrapText="1"/>
    </xf>
    <xf numFmtId="166" fontId="0" fillId="2" borderId="15" xfId="6" applyNumberFormat="1" applyFont="1" applyFill="1" applyBorder="1" applyAlignment="1">
      <alignment horizontal="center" vertical="center"/>
    </xf>
    <xf numFmtId="1" fontId="16" fillId="3" borderId="11" xfId="6" applyNumberFormat="1" applyFont="1" applyFill="1" applyBorder="1" applyAlignment="1">
      <alignment vertical="center" wrapText="1"/>
    </xf>
    <xf numFmtId="1" fontId="16" fillId="3" borderId="12" xfId="6" applyNumberFormat="1" applyFont="1" applyFill="1" applyBorder="1" applyAlignment="1">
      <alignment vertical="center" wrapText="1"/>
    </xf>
    <xf numFmtId="0" fontId="16" fillId="3" borderId="12" xfId="6" applyFont="1" applyFill="1" applyBorder="1" applyAlignment="1">
      <alignment vertical="center"/>
    </xf>
    <xf numFmtId="0" fontId="10" fillId="3" borderId="12" xfId="6" applyFont="1" applyFill="1" applyBorder="1" applyAlignment="1">
      <alignment vertical="center"/>
    </xf>
    <xf numFmtId="164" fontId="16" fillId="3" borderId="13" xfId="6" applyNumberFormat="1" applyFont="1" applyFill="1" applyBorder="1" applyAlignment="1">
      <alignment horizontal="center" vertical="center"/>
    </xf>
    <xf numFmtId="1" fontId="7" fillId="2" borderId="15" xfId="6" applyNumberFormat="1" applyFont="1" applyFill="1" applyBorder="1" applyAlignment="1">
      <alignment horizontal="center" vertical="center"/>
    </xf>
    <xf numFmtId="166" fontId="4" fillId="2" borderId="15" xfId="6" applyNumberFormat="1" applyFont="1" applyFill="1" applyBorder="1" applyAlignment="1">
      <alignment horizontal="left" vertical="center" wrapText="1"/>
    </xf>
    <xf numFmtId="1" fontId="7" fillId="2" borderId="15" xfId="6" applyNumberFormat="1" applyFont="1" applyFill="1" applyBorder="1" applyAlignment="1">
      <alignment horizontal="center" vertical="center" wrapText="1"/>
    </xf>
    <xf numFmtId="0" fontId="8" fillId="0" borderId="0" xfId="0" applyFont="1" applyProtection="1">
      <protection locked="0"/>
    </xf>
    <xf numFmtId="0" fontId="17" fillId="0" borderId="1" xfId="0" applyFont="1" applyBorder="1" applyAlignment="1">
      <alignment horizontal="left" vertical="center"/>
    </xf>
    <xf numFmtId="0" fontId="8" fillId="0" borderId="2" xfId="0" applyFont="1" applyBorder="1" applyProtection="1">
      <protection locked="0"/>
    </xf>
    <xf numFmtId="0" fontId="8" fillId="0" borderId="2" xfId="0" applyFont="1" applyBorder="1" applyAlignment="1">
      <alignment vertical="center" wrapText="1"/>
    </xf>
    <xf numFmtId="0" fontId="8" fillId="0" borderId="3" xfId="0" applyFont="1" applyBorder="1" applyAlignment="1">
      <alignment vertical="center" wrapText="1"/>
    </xf>
    <xf numFmtId="0" fontId="18" fillId="0" borderId="5" xfId="0" applyFont="1" applyBorder="1" applyAlignment="1" applyProtection="1">
      <alignment horizontal="left" vertical="center" wrapText="1"/>
      <protection locked="0"/>
    </xf>
    <xf numFmtId="0" fontId="8" fillId="0" borderId="0" xfId="0" applyFont="1" applyAlignment="1" applyProtection="1">
      <alignment vertical="center"/>
      <protection locked="0"/>
    </xf>
    <xf numFmtId="0" fontId="8" fillId="0" borderId="0" xfId="0" applyFont="1" applyAlignment="1" applyProtection="1">
      <alignment vertical="center" wrapText="1"/>
      <protection locked="0"/>
    </xf>
    <xf numFmtId="0" fontId="8" fillId="0" borderId="6" xfId="0" applyFont="1" applyBorder="1" applyAlignment="1" applyProtection="1">
      <alignment vertical="center" wrapText="1"/>
      <protection locked="0"/>
    </xf>
    <xf numFmtId="0" fontId="8" fillId="0" borderId="5" xfId="0" applyFont="1" applyBorder="1" applyAlignment="1" applyProtection="1">
      <alignment vertical="center" wrapText="1"/>
      <protection locked="0"/>
    </xf>
    <xf numFmtId="167" fontId="8" fillId="0" borderId="0" xfId="0" applyNumberFormat="1" applyFont="1" applyAlignment="1" applyProtection="1">
      <alignment vertical="center" wrapText="1"/>
      <protection locked="0"/>
    </xf>
    <xf numFmtId="0" fontId="8" fillId="0" borderId="8" xfId="0" applyFont="1" applyBorder="1" applyAlignment="1" applyProtection="1">
      <alignment vertical="center" wrapText="1"/>
      <protection locked="0"/>
    </xf>
    <xf numFmtId="0" fontId="8" fillId="0" borderId="9" xfId="0" applyFont="1" applyBorder="1" applyProtection="1">
      <protection locked="0"/>
    </xf>
    <xf numFmtId="0" fontId="8" fillId="0" borderId="9" xfId="0" applyFont="1" applyBorder="1" applyAlignment="1" applyProtection="1">
      <alignment vertical="center" wrapText="1"/>
      <protection locked="0"/>
    </xf>
    <xf numFmtId="167" fontId="8" fillId="0" borderId="9" xfId="0" applyNumberFormat="1" applyFont="1" applyBorder="1" applyAlignment="1" applyProtection="1">
      <alignment vertical="center" wrapText="1"/>
      <protection locked="0"/>
    </xf>
    <xf numFmtId="0" fontId="8" fillId="0" borderId="10" xfId="0" applyFont="1" applyBorder="1" applyAlignment="1" applyProtection="1">
      <alignment vertical="center" wrapText="1"/>
      <protection locked="0"/>
    </xf>
    <xf numFmtId="0" fontId="3" fillId="0" borderId="0" xfId="7"/>
    <xf numFmtId="0" fontId="19" fillId="4" borderId="11" xfId="7" applyFont="1" applyFill="1" applyBorder="1" applyAlignment="1">
      <alignment vertical="center"/>
    </xf>
    <xf numFmtId="0" fontId="19" fillId="4" borderId="12" xfId="7" applyFont="1" applyFill="1" applyBorder="1" applyAlignment="1">
      <alignment vertical="center"/>
    </xf>
    <xf numFmtId="0" fontId="19" fillId="4" borderId="12" xfId="7" applyFont="1" applyFill="1" applyBorder="1" applyAlignment="1">
      <alignment horizontal="right" vertical="center"/>
    </xf>
    <xf numFmtId="0" fontId="20" fillId="4" borderId="12" xfId="7" applyFont="1" applyFill="1" applyBorder="1" applyAlignment="1">
      <alignment horizontal="left" vertical="center"/>
    </xf>
    <xf numFmtId="49" fontId="19" fillId="4" borderId="12" xfId="7" applyNumberFormat="1" applyFont="1" applyFill="1" applyBorder="1" applyAlignment="1">
      <alignment horizontal="left" vertical="center"/>
    </xf>
    <xf numFmtId="17" fontId="19" fillId="4" borderId="13" xfId="7" applyNumberFormat="1" applyFont="1" applyFill="1" applyBorder="1" applyAlignment="1">
      <alignment horizontal="left" vertical="center"/>
    </xf>
    <xf numFmtId="0" fontId="19" fillId="4" borderId="11" xfId="7" applyFont="1" applyFill="1" applyBorder="1" applyAlignment="1">
      <alignment horizontal="center" vertical="center"/>
    </xf>
    <xf numFmtId="0" fontId="20" fillId="4" borderId="0" xfId="7" applyFont="1" applyFill="1" applyAlignment="1">
      <alignment horizontal="left" vertical="center"/>
    </xf>
    <xf numFmtId="0" fontId="3" fillId="4" borderId="0" xfId="7" applyFill="1"/>
    <xf numFmtId="0" fontId="21" fillId="4" borderId="12" xfId="7" applyFont="1" applyFill="1" applyBorder="1" applyAlignment="1">
      <alignment vertical="center"/>
    </xf>
    <xf numFmtId="169" fontId="21" fillId="4" borderId="12" xfId="8" applyNumberFormat="1" applyFont="1" applyFill="1" applyBorder="1" applyAlignment="1">
      <alignment vertical="center"/>
    </xf>
    <xf numFmtId="0" fontId="21" fillId="4" borderId="13" xfId="7" applyFont="1" applyFill="1" applyBorder="1" applyAlignment="1">
      <alignment horizontal="left" vertical="center"/>
    </xf>
    <xf numFmtId="0" fontId="23" fillId="2" borderId="2" xfId="7" applyFont="1" applyFill="1" applyBorder="1" applyAlignment="1">
      <alignment vertical="center"/>
    </xf>
    <xf numFmtId="0" fontId="22" fillId="2" borderId="0" xfId="7" applyFont="1" applyFill="1"/>
    <xf numFmtId="0" fontId="22" fillId="2" borderId="3" xfId="7" applyFont="1" applyFill="1" applyBorder="1" applyAlignment="1">
      <alignment horizontal="center" vertical="center"/>
    </xf>
    <xf numFmtId="0" fontId="22" fillId="2" borderId="7" xfId="7" applyFont="1" applyFill="1" applyBorder="1" applyAlignment="1">
      <alignment horizontal="center" vertical="center"/>
    </xf>
    <xf numFmtId="0" fontId="22" fillId="2" borderId="9" xfId="7" applyFont="1" applyFill="1" applyBorder="1"/>
    <xf numFmtId="0" fontId="22" fillId="2" borderId="9" xfId="7" applyFont="1" applyFill="1" applyBorder="1" applyAlignment="1">
      <alignment horizontal="center" vertical="center"/>
    </xf>
    <xf numFmtId="0" fontId="22" fillId="2" borderId="8" xfId="7" applyFont="1" applyFill="1" applyBorder="1" applyAlignment="1">
      <alignment horizontal="center" vertical="center"/>
    </xf>
    <xf numFmtId="0" fontId="22" fillId="2" borderId="15" xfId="7" applyFont="1" applyFill="1" applyBorder="1" applyAlignment="1">
      <alignment horizontal="center" vertical="center"/>
    </xf>
    <xf numFmtId="0" fontId="22" fillId="2" borderId="14" xfId="7" applyFont="1" applyFill="1" applyBorder="1" applyAlignment="1">
      <alignment horizontal="center" vertical="center"/>
    </xf>
    <xf numFmtId="0" fontId="24" fillId="2" borderId="5" xfId="7" applyFont="1" applyFill="1" applyBorder="1" applyAlignment="1">
      <alignment horizontal="center" vertical="center"/>
    </xf>
    <xf numFmtId="170" fontId="24" fillId="2" borderId="0" xfId="7" applyNumberFormat="1" applyFont="1" applyFill="1" applyAlignment="1">
      <alignment horizontal="center" vertical="center"/>
    </xf>
    <xf numFmtId="2" fontId="24" fillId="2" borderId="0" xfId="7" applyNumberFormat="1" applyFont="1" applyFill="1" applyAlignment="1">
      <alignment horizontal="center" vertical="center"/>
    </xf>
    <xf numFmtId="0" fontId="24" fillId="2" borderId="0" xfId="7" applyFont="1" applyFill="1" applyAlignment="1">
      <alignment horizontal="center" vertical="center"/>
    </xf>
    <xf numFmtId="166" fontId="24" fillId="0" borderId="4" xfId="8" applyNumberFormat="1" applyFont="1" applyBorder="1" applyAlignment="1">
      <alignment horizontal="center" vertical="center"/>
    </xf>
    <xf numFmtId="171" fontId="24" fillId="2" borderId="0" xfId="7" applyNumberFormat="1" applyFont="1" applyFill="1" applyAlignment="1">
      <alignment horizontal="center" vertical="center"/>
    </xf>
    <xf numFmtId="0" fontId="24" fillId="2" borderId="4" xfId="7" applyFont="1" applyFill="1" applyBorder="1" applyAlignment="1">
      <alignment horizontal="center" vertical="center"/>
    </xf>
    <xf numFmtId="172" fontId="22" fillId="0" borderId="15" xfId="8" applyNumberFormat="1" applyFont="1" applyBorder="1" applyAlignment="1">
      <alignment horizontal="right" vertical="center"/>
    </xf>
    <xf numFmtId="0" fontId="22" fillId="0" borderId="12" xfId="7" applyFont="1" applyBorder="1" applyAlignment="1">
      <alignment horizontal="center"/>
    </xf>
    <xf numFmtId="173" fontId="22" fillId="0" borderId="12" xfId="8" applyNumberFormat="1" applyFont="1" applyBorder="1" applyAlignment="1">
      <alignment horizontal="right"/>
    </xf>
    <xf numFmtId="172" fontId="22" fillId="0" borderId="15" xfId="8" applyNumberFormat="1" applyFont="1" applyBorder="1" applyAlignment="1">
      <alignment horizontal="center" vertical="center"/>
    </xf>
    <xf numFmtId="168" fontId="3" fillId="0" borderId="0" xfId="7" applyNumberFormat="1"/>
    <xf numFmtId="0" fontId="22" fillId="2" borderId="2" xfId="7" applyFont="1" applyFill="1" applyBorder="1" applyAlignment="1">
      <alignment horizontal="right" vertical="center"/>
    </xf>
    <xf numFmtId="0" fontId="3" fillId="2" borderId="9" xfId="7" applyFill="1" applyBorder="1"/>
    <xf numFmtId="0" fontId="24" fillId="0" borderId="1" xfId="7" applyFont="1" applyBorder="1" applyAlignment="1">
      <alignment horizontal="center" wrapText="1"/>
    </xf>
    <xf numFmtId="0" fontId="24" fillId="2" borderId="2" xfId="7" applyFont="1" applyFill="1" applyBorder="1" applyAlignment="1">
      <alignment horizontal="left" vertical="center"/>
    </xf>
    <xf numFmtId="0" fontId="24" fillId="0" borderId="2" xfId="7" applyFont="1" applyBorder="1"/>
    <xf numFmtId="170" fontId="24" fillId="0" borderId="2" xfId="7" applyNumberFormat="1" applyFont="1" applyBorder="1" applyAlignment="1">
      <alignment horizontal="center" vertical="center"/>
    </xf>
    <xf numFmtId="174" fontId="24" fillId="2" borderId="2" xfId="7" applyNumberFormat="1" applyFont="1" applyFill="1" applyBorder="1" applyAlignment="1">
      <alignment horizontal="center" vertical="center"/>
    </xf>
    <xf numFmtId="0" fontId="3" fillId="0" borderId="2" xfId="7" applyBorder="1"/>
    <xf numFmtId="171" fontId="24" fillId="2" borderId="1" xfId="7" applyNumberFormat="1" applyFont="1" applyFill="1" applyBorder="1" applyAlignment="1">
      <alignment horizontal="center" vertical="center"/>
    </xf>
    <xf numFmtId="0" fontId="22" fillId="0" borderId="1" xfId="7" applyFont="1" applyBorder="1" applyAlignment="1">
      <alignment horizontal="left"/>
    </xf>
    <xf numFmtId="0" fontId="22" fillId="0" borderId="8" xfId="7" applyFont="1" applyBorder="1" applyAlignment="1">
      <alignment horizontal="left"/>
    </xf>
    <xf numFmtId="0" fontId="22" fillId="2" borderId="1" xfId="7" applyFont="1" applyFill="1" applyBorder="1" applyAlignment="1">
      <alignment vertical="center"/>
    </xf>
    <xf numFmtId="0" fontId="22" fillId="2" borderId="5" xfId="7" applyFont="1" applyFill="1" applyBorder="1" applyAlignment="1">
      <alignment vertical="center"/>
    </xf>
    <xf numFmtId="0" fontId="22" fillId="2" borderId="11" xfId="7" applyFont="1" applyFill="1" applyBorder="1" applyAlignment="1">
      <alignment horizontal="center" vertical="center"/>
    </xf>
    <xf numFmtId="0" fontId="22" fillId="2" borderId="12" xfId="7" applyFont="1" applyFill="1" applyBorder="1" applyAlignment="1">
      <alignment horizontal="center" vertical="center"/>
    </xf>
    <xf numFmtId="0" fontId="3" fillId="2" borderId="12" xfId="7" applyFill="1" applyBorder="1"/>
    <xf numFmtId="0" fontId="22" fillId="2" borderId="12" xfId="7" applyFont="1" applyFill="1" applyBorder="1" applyAlignment="1">
      <alignment vertical="center"/>
    </xf>
    <xf numFmtId="0" fontId="3" fillId="0" borderId="0" xfId="7" applyAlignment="1">
      <alignment horizontal="center" vertical="center"/>
    </xf>
    <xf numFmtId="0" fontId="24" fillId="2" borderId="1" xfId="7" applyFont="1" applyFill="1" applyBorder="1" applyAlignment="1">
      <alignment horizontal="center" vertical="center"/>
    </xf>
    <xf numFmtId="0" fontId="3" fillId="2" borderId="2" xfId="7" applyFill="1" applyBorder="1"/>
    <xf numFmtId="170" fontId="24" fillId="2" borderId="2" xfId="7" applyNumberFormat="1" applyFont="1" applyFill="1" applyBorder="1" applyAlignment="1">
      <alignment horizontal="center" vertical="center"/>
    </xf>
    <xf numFmtId="0" fontId="24" fillId="2" borderId="2" xfId="7" applyFont="1" applyFill="1" applyBorder="1" applyAlignment="1">
      <alignment horizontal="center" vertical="center"/>
    </xf>
    <xf numFmtId="0" fontId="22" fillId="2" borderId="2" xfId="7" applyFont="1" applyFill="1" applyBorder="1" applyAlignment="1">
      <alignment horizontal="center" vertical="center"/>
    </xf>
    <xf numFmtId="0" fontId="24" fillId="2" borderId="5" xfId="7" applyFont="1" applyFill="1" applyBorder="1" applyAlignment="1">
      <alignment horizontal="center" vertical="center" wrapText="1"/>
    </xf>
    <xf numFmtId="0" fontId="24" fillId="2" borderId="0" xfId="7" applyFont="1" applyFill="1" applyAlignment="1">
      <alignment horizontal="left" vertical="center"/>
    </xf>
    <xf numFmtId="0" fontId="3" fillId="2" borderId="0" xfId="7" applyFill="1"/>
    <xf numFmtId="0" fontId="22" fillId="2" borderId="0" xfId="7" applyFont="1" applyFill="1" applyAlignment="1">
      <alignment horizontal="center" vertical="center"/>
    </xf>
    <xf numFmtId="2" fontId="25" fillId="0" borderId="0" xfId="8" applyNumberFormat="1" applyFont="1" applyBorder="1" applyAlignment="1"/>
    <xf numFmtId="171" fontId="24" fillId="2" borderId="2" xfId="7" applyNumberFormat="1" applyFont="1" applyFill="1" applyBorder="1" applyAlignment="1">
      <alignment horizontal="center" vertical="center"/>
    </xf>
    <xf numFmtId="171" fontId="24" fillId="2" borderId="5" xfId="7" applyNumberFormat="1" applyFont="1" applyFill="1" applyBorder="1" applyAlignment="1">
      <alignment horizontal="center" vertical="center"/>
    </xf>
    <xf numFmtId="0" fontId="24" fillId="2" borderId="8" xfId="7" applyFont="1" applyFill="1" applyBorder="1" applyAlignment="1">
      <alignment horizontal="center" vertical="center"/>
    </xf>
    <xf numFmtId="0" fontId="24" fillId="2" borderId="9" xfId="7" applyFont="1" applyFill="1" applyBorder="1" applyAlignment="1">
      <alignment horizontal="center" vertical="center"/>
    </xf>
    <xf numFmtId="170" fontId="24" fillId="2" borderId="9" xfId="7" applyNumberFormat="1" applyFont="1" applyFill="1" applyBorder="1" applyAlignment="1">
      <alignment horizontal="center" vertical="center"/>
    </xf>
    <xf numFmtId="171" fontId="24" fillId="2" borderId="9" xfId="7" applyNumberFormat="1" applyFont="1" applyFill="1" applyBorder="1" applyAlignment="1">
      <alignment horizontal="center" vertical="center"/>
    </xf>
    <xf numFmtId="171" fontId="24" fillId="2" borderId="8" xfId="7" applyNumberFormat="1" applyFont="1" applyFill="1" applyBorder="1" applyAlignment="1">
      <alignment horizontal="center" vertical="center"/>
    </xf>
    <xf numFmtId="0" fontId="22" fillId="2" borderId="11" xfId="7" applyFont="1" applyFill="1" applyBorder="1" applyAlignment="1">
      <alignment vertical="center"/>
    </xf>
    <xf numFmtId="0" fontId="22" fillId="0" borderId="11" xfId="7" applyFont="1" applyBorder="1" applyAlignment="1">
      <alignment vertical="center"/>
    </xf>
    <xf numFmtId="0" fontId="24" fillId="0" borderId="2" xfId="7" applyFont="1" applyBorder="1" applyAlignment="1">
      <alignment horizontal="center" vertical="center"/>
    </xf>
    <xf numFmtId="171" fontId="24" fillId="0" borderId="1" xfId="7" applyNumberFormat="1" applyFont="1" applyBorder="1" applyAlignment="1">
      <alignment horizontal="center" vertical="center"/>
    </xf>
    <xf numFmtId="171" fontId="24" fillId="0" borderId="2" xfId="7" applyNumberFormat="1" applyFont="1" applyBorder="1" applyAlignment="1">
      <alignment horizontal="center" vertical="center"/>
    </xf>
    <xf numFmtId="0" fontId="24" fillId="0" borderId="0" xfId="7" applyFont="1" applyAlignment="1">
      <alignment horizontal="center" vertical="center"/>
    </xf>
    <xf numFmtId="170" fontId="24" fillId="0" borderId="0" xfId="7" applyNumberFormat="1" applyFont="1" applyAlignment="1">
      <alignment horizontal="center" vertical="center"/>
    </xf>
    <xf numFmtId="171" fontId="24" fillId="0" borderId="5" xfId="7" applyNumberFormat="1" applyFont="1" applyBorder="1" applyAlignment="1">
      <alignment horizontal="center" vertical="center"/>
    </xf>
    <xf numFmtId="171" fontId="24" fillId="0" borderId="0" xfId="7" applyNumberFormat="1" applyFont="1" applyAlignment="1">
      <alignment horizontal="center" vertical="center"/>
    </xf>
    <xf numFmtId="171" fontId="22" fillId="0" borderId="12" xfId="7" applyNumberFormat="1" applyFont="1" applyBorder="1" applyAlignment="1">
      <alignment vertical="center"/>
    </xf>
    <xf numFmtId="0" fontId="22" fillId="2" borderId="2" xfId="7" applyFont="1" applyFill="1" applyBorder="1"/>
    <xf numFmtId="0" fontId="24" fillId="2" borderId="0" xfId="7" applyFont="1" applyFill="1" applyAlignment="1">
      <alignment vertical="center" wrapText="1"/>
    </xf>
    <xf numFmtId="0" fontId="22" fillId="0" borderId="0" xfId="7" applyFont="1" applyAlignment="1">
      <alignment horizontal="right"/>
    </xf>
    <xf numFmtId="0" fontId="22" fillId="0" borderId="0" xfId="7" applyFont="1"/>
    <xf numFmtId="2" fontId="22" fillId="0" borderId="6" xfId="8" applyNumberFormat="1" applyFont="1" applyBorder="1" applyAlignment="1"/>
    <xf numFmtId="0" fontId="7" fillId="2" borderId="15" xfId="5" applyFont="1" applyFill="1" applyBorder="1" applyAlignment="1">
      <alignment horizontal="left" vertical="center" wrapText="1"/>
    </xf>
    <xf numFmtId="176" fontId="7" fillId="2" borderId="15" xfId="5" applyNumberFormat="1" applyFont="1" applyFill="1" applyBorder="1" applyAlignment="1">
      <alignment horizontal="center" vertical="center"/>
    </xf>
    <xf numFmtId="0" fontId="27" fillId="0" borderId="1" xfId="0" applyFont="1" applyBorder="1"/>
    <xf numFmtId="0" fontId="27" fillId="0" borderId="2" xfId="0" applyFont="1" applyBorder="1"/>
    <xf numFmtId="0" fontId="27" fillId="0" borderId="3" xfId="0" applyFont="1" applyBorder="1"/>
    <xf numFmtId="0" fontId="27" fillId="0" borderId="0" xfId="0" applyFont="1"/>
    <xf numFmtId="0" fontId="28" fillId="0" borderId="5" xfId="9" applyFont="1" applyBorder="1" applyAlignment="1">
      <alignment horizontal="center" vertical="center"/>
    </xf>
    <xf numFmtId="0" fontId="29" fillId="0" borderId="0" xfId="9" applyFont="1" applyAlignment="1">
      <alignment horizontal="left" vertical="center"/>
    </xf>
    <xf numFmtId="0" fontId="28" fillId="0" borderId="0" xfId="9" applyFont="1" applyAlignment="1">
      <alignment horizontal="center" vertical="center"/>
    </xf>
    <xf numFmtId="0" fontId="29" fillId="0" borderId="0" xfId="9" applyFont="1" applyAlignment="1">
      <alignment horizontal="right" vertical="center"/>
    </xf>
    <xf numFmtId="10" fontId="28" fillId="0" borderId="6" xfId="2" applyNumberFormat="1" applyFont="1" applyBorder="1" applyAlignment="1">
      <alignment horizontal="left" vertical="center"/>
    </xf>
    <xf numFmtId="0" fontId="30" fillId="0" borderId="0" xfId="0" applyFont="1" applyAlignment="1">
      <alignment horizontal="right" vertical="center"/>
    </xf>
    <xf numFmtId="0" fontId="28" fillId="0" borderId="8" xfId="9" applyFont="1" applyBorder="1" applyAlignment="1">
      <alignment horizontal="center" vertical="center"/>
    </xf>
    <xf numFmtId="0" fontId="28" fillId="0" borderId="9" xfId="9" applyFont="1" applyBorder="1" applyAlignment="1">
      <alignment horizontal="center" vertical="center"/>
    </xf>
    <xf numFmtId="0" fontId="27" fillId="0" borderId="9" xfId="0" applyFont="1" applyBorder="1"/>
    <xf numFmtId="0" fontId="27" fillId="0" borderId="10" xfId="0" applyFont="1" applyBorder="1"/>
    <xf numFmtId="49" fontId="32" fillId="0" borderId="17" xfId="9" applyNumberFormat="1" applyFont="1" applyBorder="1" applyAlignment="1">
      <alignment horizontal="center" vertical="center" wrapText="1"/>
    </xf>
    <xf numFmtId="49" fontId="32" fillId="0" borderId="18" xfId="9" applyNumberFormat="1" applyFont="1" applyBorder="1" applyAlignment="1">
      <alignment horizontal="center" vertical="center" wrapText="1"/>
    </xf>
    <xf numFmtId="0" fontId="33" fillId="0" borderId="0" xfId="0" applyFont="1" applyAlignment="1">
      <alignment vertical="center" wrapText="1"/>
    </xf>
    <xf numFmtId="177" fontId="0" fillId="0" borderId="19" xfId="0" applyNumberFormat="1" applyBorder="1" applyAlignment="1">
      <alignment horizontal="center" vertical="center"/>
    </xf>
    <xf numFmtId="0" fontId="0" fillId="0" borderId="20" xfId="0" applyBorder="1" applyAlignment="1">
      <alignment horizontal="left" vertical="center"/>
    </xf>
    <xf numFmtId="170" fontId="0" fillId="0" borderId="20" xfId="0" applyNumberFormat="1" applyBorder="1" applyAlignment="1">
      <alignment horizontal="center"/>
    </xf>
    <xf numFmtId="10" fontId="1" fillId="0" borderId="21" xfId="2" applyNumberFormat="1" applyFont="1" applyFill="1" applyBorder="1" applyAlignment="1">
      <alignment horizontal="center"/>
    </xf>
    <xf numFmtId="170" fontId="0" fillId="0" borderId="22" xfId="0" applyNumberFormat="1" applyBorder="1" applyAlignment="1">
      <alignment horizontal="center"/>
    </xf>
    <xf numFmtId="0" fontId="33" fillId="0" borderId="0" xfId="0" applyFont="1"/>
    <xf numFmtId="170" fontId="33" fillId="0" borderId="0" xfId="0" applyNumberFormat="1" applyFont="1"/>
    <xf numFmtId="177" fontId="0" fillId="0" borderId="23" xfId="0" applyNumberFormat="1" applyBorder="1" applyAlignment="1">
      <alignment horizontal="center" vertical="center"/>
    </xf>
    <xf numFmtId="0" fontId="0" fillId="0" borderId="24" xfId="0" applyBorder="1" applyAlignment="1">
      <alignment horizontal="left" vertical="center"/>
    </xf>
    <xf numFmtId="170" fontId="0" fillId="0" borderId="24" xfId="0" applyNumberFormat="1" applyBorder="1" applyAlignment="1">
      <alignment horizontal="center"/>
    </xf>
    <xf numFmtId="10" fontId="0" fillId="0" borderId="25" xfId="0" applyNumberFormat="1" applyBorder="1" applyAlignment="1">
      <alignment horizontal="center"/>
    </xf>
    <xf numFmtId="0" fontId="0" fillId="0" borderId="26" xfId="0" applyBorder="1" applyAlignment="1">
      <alignment horizontal="left" vertical="center"/>
    </xf>
    <xf numFmtId="170" fontId="0" fillId="0" borderId="26" xfId="0" applyNumberFormat="1" applyBorder="1" applyAlignment="1">
      <alignment horizontal="center"/>
    </xf>
    <xf numFmtId="10" fontId="0" fillId="0" borderId="27" xfId="0" applyNumberFormat="1" applyBorder="1" applyAlignment="1">
      <alignment horizontal="center"/>
    </xf>
    <xf numFmtId="10" fontId="0" fillId="0" borderId="27" xfId="2" applyNumberFormat="1" applyFont="1" applyBorder="1" applyAlignment="1">
      <alignment horizontal="center"/>
    </xf>
    <xf numFmtId="10" fontId="0" fillId="0" borderId="26" xfId="0" applyNumberFormat="1" applyBorder="1" applyAlignment="1">
      <alignment horizontal="center"/>
    </xf>
    <xf numFmtId="10" fontId="0" fillId="0" borderId="28" xfId="0" applyNumberFormat="1" applyBorder="1" applyAlignment="1">
      <alignment horizontal="center"/>
    </xf>
    <xf numFmtId="0" fontId="0" fillId="0" borderId="29" xfId="0" applyBorder="1" applyAlignment="1">
      <alignment horizontal="left" vertical="center"/>
    </xf>
    <xf numFmtId="170" fontId="0" fillId="0" borderId="29" xfId="0" applyNumberFormat="1" applyBorder="1" applyAlignment="1">
      <alignment horizontal="center"/>
    </xf>
    <xf numFmtId="10" fontId="0" fillId="0" borderId="29" xfId="0" applyNumberFormat="1" applyBorder="1" applyAlignment="1">
      <alignment horizontal="center"/>
    </xf>
    <xf numFmtId="170" fontId="0" fillId="0" borderId="30" xfId="0" applyNumberFormat="1" applyBorder="1" applyAlignment="1">
      <alignment horizontal="center"/>
    </xf>
    <xf numFmtId="177" fontId="2" fillId="5" borderId="31" xfId="0" applyNumberFormat="1" applyFont="1" applyFill="1" applyBorder="1" applyAlignment="1">
      <alignment horizontal="center" vertical="center"/>
    </xf>
    <xf numFmtId="0" fontId="2" fillId="5" borderId="32" xfId="0" applyFont="1" applyFill="1" applyBorder="1" applyAlignment="1">
      <alignment horizontal="left" vertical="center"/>
    </xf>
    <xf numFmtId="170" fontId="2" fillId="5" borderId="32" xfId="0" applyNumberFormat="1" applyFont="1" applyFill="1" applyBorder="1" applyAlignment="1">
      <alignment horizontal="center"/>
    </xf>
    <xf numFmtId="10" fontId="2" fillId="5" borderId="32" xfId="2" applyNumberFormat="1" applyFont="1" applyFill="1" applyBorder="1" applyAlignment="1">
      <alignment horizontal="center"/>
    </xf>
    <xf numFmtId="170" fontId="2" fillId="5" borderId="33" xfId="0" applyNumberFormat="1" applyFont="1" applyFill="1" applyBorder="1" applyAlignment="1">
      <alignment horizontal="center"/>
    </xf>
    <xf numFmtId="10" fontId="0" fillId="0" borderId="24" xfId="2" applyNumberFormat="1" applyFont="1" applyBorder="1" applyAlignment="1">
      <alignment horizontal="center"/>
    </xf>
    <xf numFmtId="170" fontId="0" fillId="0" borderId="34" xfId="0" applyNumberFormat="1" applyBorder="1" applyAlignment="1">
      <alignment horizontal="center"/>
    </xf>
    <xf numFmtId="10" fontId="0" fillId="0" borderId="26" xfId="2" applyNumberFormat="1" applyFont="1" applyBorder="1" applyAlignment="1">
      <alignment horizontal="center"/>
    </xf>
    <xf numFmtId="10" fontId="0" fillId="0" borderId="29" xfId="2" applyNumberFormat="1" applyFont="1" applyBorder="1" applyAlignment="1">
      <alignment horizontal="center"/>
    </xf>
    <xf numFmtId="168" fontId="34" fillId="0" borderId="2" xfId="10" applyFont="1" applyBorder="1"/>
    <xf numFmtId="0" fontId="3" fillId="2" borderId="2" xfId="0" applyFont="1" applyFill="1" applyBorder="1" applyAlignment="1">
      <alignment horizontal="center" vertical="center" wrapText="1"/>
    </xf>
    <xf numFmtId="0" fontId="8" fillId="0" borderId="2" xfId="0" applyFont="1" applyBorder="1" applyAlignment="1">
      <alignment vertical="center"/>
    </xf>
    <xf numFmtId="168" fontId="34" fillId="0" borderId="3" xfId="10" applyFont="1" applyBorder="1"/>
    <xf numFmtId="0" fontId="34" fillId="2" borderId="0" xfId="11" applyFont="1" applyFill="1"/>
    <xf numFmtId="0" fontId="5" fillId="0" borderId="0" xfId="4" applyFont="1" applyAlignment="1">
      <alignment horizontal="left" vertical="center"/>
    </xf>
    <xf numFmtId="168" fontId="34" fillId="0" borderId="0" xfId="10" applyFont="1" applyBorder="1"/>
    <xf numFmtId="0" fontId="3" fillId="2" borderId="0" xfId="0" applyFont="1" applyFill="1" applyAlignment="1">
      <alignment horizontal="center" vertical="center" wrapText="1"/>
    </xf>
    <xf numFmtId="0" fontId="8" fillId="0" borderId="0" xfId="0" applyFont="1" applyAlignment="1">
      <alignment vertical="center"/>
    </xf>
    <xf numFmtId="168" fontId="34" fillId="0" borderId="6" xfId="10" applyFont="1" applyBorder="1"/>
    <xf numFmtId="10" fontId="3" fillId="0" borderId="0" xfId="2" applyNumberFormat="1" applyFont="1" applyFill="1" applyBorder="1" applyAlignment="1">
      <alignment horizontal="center" vertical="center" wrapText="1"/>
    </xf>
    <xf numFmtId="178" fontId="5" fillId="0" borderId="0" xfId="3" applyNumberFormat="1" applyFont="1" applyAlignment="1">
      <alignment horizontal="left" vertical="center"/>
    </xf>
    <xf numFmtId="168" fontId="34" fillId="0" borderId="9" xfId="10" applyFont="1" applyBorder="1"/>
    <xf numFmtId="10" fontId="3" fillId="0" borderId="9" xfId="2" applyNumberFormat="1" applyFont="1" applyFill="1" applyBorder="1" applyAlignment="1">
      <alignment horizontal="center" vertical="center" wrapText="1"/>
    </xf>
    <xf numFmtId="0" fontId="8" fillId="0" borderId="9" xfId="0" applyFont="1" applyBorder="1" applyAlignment="1">
      <alignment vertical="center"/>
    </xf>
    <xf numFmtId="168" fontId="34" fillId="0" borderId="10" xfId="10" applyFont="1" applyBorder="1"/>
    <xf numFmtId="0" fontId="34" fillId="2" borderId="0" xfId="11" applyFont="1" applyFill="1" applyAlignment="1">
      <alignment vertical="center"/>
    </xf>
    <xf numFmtId="168" fontId="3" fillId="0" borderId="14" xfId="10" applyFont="1" applyFill="1" applyBorder="1" applyAlignment="1">
      <alignment horizontal="center" vertical="center" wrapText="1"/>
    </xf>
    <xf numFmtId="43" fontId="3" fillId="0" borderId="10" xfId="13" applyFont="1" applyFill="1" applyBorder="1" applyAlignment="1">
      <alignment horizontal="center" vertical="center" wrapText="1"/>
    </xf>
    <xf numFmtId="0" fontId="34" fillId="2" borderId="0" xfId="11" applyFont="1" applyFill="1" applyAlignment="1">
      <alignment horizontal="center" vertical="center"/>
    </xf>
    <xf numFmtId="168" fontId="36" fillId="0" borderId="13" xfId="10" applyFont="1" applyFill="1" applyBorder="1" applyAlignment="1">
      <alignment horizontal="center" vertical="center"/>
    </xf>
    <xf numFmtId="169" fontId="36" fillId="0" borderId="15" xfId="10" applyNumberFormat="1" applyFont="1" applyFill="1" applyBorder="1" applyAlignment="1">
      <alignment horizontal="center" vertical="center"/>
    </xf>
    <xf numFmtId="168" fontId="36" fillId="0" borderId="15" xfId="10" applyFont="1" applyFill="1" applyBorder="1" applyAlignment="1">
      <alignment horizontal="center" vertical="center"/>
    </xf>
    <xf numFmtId="43" fontId="36" fillId="0" borderId="15" xfId="13" applyFont="1" applyFill="1" applyBorder="1" applyAlignment="1">
      <alignment horizontal="center" vertical="center"/>
    </xf>
    <xf numFmtId="0" fontId="3" fillId="0" borderId="15" xfId="11" applyBorder="1" applyAlignment="1">
      <alignment horizontal="center" vertical="center"/>
    </xf>
    <xf numFmtId="0" fontId="37" fillId="2" borderId="0" xfId="11" applyFont="1" applyFill="1" applyAlignment="1">
      <alignment horizontal="center" vertical="center"/>
    </xf>
    <xf numFmtId="14" fontId="12" fillId="6" borderId="15" xfId="11" applyNumberFormat="1" applyFont="1" applyFill="1" applyBorder="1" applyAlignment="1">
      <alignment horizontal="center" vertical="center"/>
    </xf>
    <xf numFmtId="165" fontId="12" fillId="6" borderId="15" xfId="10" applyNumberFormat="1" applyFont="1" applyFill="1" applyBorder="1" applyAlignment="1">
      <alignment horizontal="center" vertical="center"/>
    </xf>
    <xf numFmtId="165" fontId="12" fillId="6" borderId="15" xfId="0" applyNumberFormat="1" applyFont="1" applyFill="1" applyBorder="1" applyAlignment="1">
      <alignment horizontal="center" vertical="center"/>
    </xf>
    <xf numFmtId="2" fontId="12" fillId="6" borderId="15" xfId="10" applyNumberFormat="1" applyFont="1" applyFill="1" applyBorder="1" applyAlignment="1">
      <alignment horizontal="center" vertical="center"/>
    </xf>
    <xf numFmtId="0" fontId="12" fillId="6" borderId="15" xfId="11" applyFont="1" applyFill="1" applyBorder="1" applyAlignment="1">
      <alignment horizontal="center" vertical="center"/>
    </xf>
    <xf numFmtId="1" fontId="38" fillId="2" borderId="0" xfId="11" applyNumberFormat="1" applyFont="1" applyFill="1" applyAlignment="1">
      <alignment horizontal="center" vertical="center"/>
    </xf>
    <xf numFmtId="14" fontId="3" fillId="2" borderId="15" xfId="11" applyNumberFormat="1" applyFill="1" applyBorder="1" applyAlignment="1">
      <alignment horizontal="center" vertical="center"/>
    </xf>
    <xf numFmtId="165" fontId="3" fillId="0" borderId="15" xfId="10" applyNumberFormat="1" applyFont="1" applyFill="1" applyBorder="1" applyAlignment="1">
      <alignment horizontal="center" vertical="center"/>
    </xf>
    <xf numFmtId="165" fontId="3" fillId="0" borderId="15" xfId="0" applyNumberFormat="1" applyFont="1" applyBorder="1" applyAlignment="1">
      <alignment horizontal="center" vertical="center"/>
    </xf>
    <xf numFmtId="2" fontId="3" fillId="0" borderId="15" xfId="10" applyNumberFormat="1" applyFont="1" applyFill="1" applyBorder="1" applyAlignment="1">
      <alignment horizontal="center" vertical="center"/>
    </xf>
    <xf numFmtId="2" fontId="3" fillId="2" borderId="15" xfId="10" applyNumberFormat="1" applyFont="1" applyFill="1" applyBorder="1" applyAlignment="1">
      <alignment horizontal="center" vertical="center"/>
    </xf>
    <xf numFmtId="0" fontId="3" fillId="2" borderId="15" xfId="11" applyFill="1" applyBorder="1" applyAlignment="1">
      <alignment horizontal="center" vertical="center"/>
    </xf>
    <xf numFmtId="0" fontId="39" fillId="3" borderId="11" xfId="11" applyFont="1" applyFill="1" applyBorder="1" applyAlignment="1">
      <alignment horizontal="right" vertical="center"/>
    </xf>
    <xf numFmtId="165" fontId="39" fillId="3" borderId="12" xfId="11" applyNumberFormat="1" applyFont="1" applyFill="1" applyBorder="1" applyAlignment="1">
      <alignment horizontal="center" vertical="center"/>
    </xf>
    <xf numFmtId="165" fontId="39" fillId="3" borderId="12" xfId="10" applyNumberFormat="1" applyFont="1" applyFill="1" applyBorder="1" applyAlignment="1">
      <alignment horizontal="center" vertical="center"/>
    </xf>
    <xf numFmtId="10" fontId="16" fillId="3" borderId="12" xfId="10" applyNumberFormat="1" applyFont="1" applyFill="1" applyBorder="1" applyAlignment="1">
      <alignment horizontal="center" vertical="center"/>
    </xf>
    <xf numFmtId="168" fontId="16" fillId="3" borderId="12" xfId="10" applyFont="1" applyFill="1" applyBorder="1" applyAlignment="1">
      <alignment horizontal="center" vertical="center"/>
    </xf>
    <xf numFmtId="168" fontId="16" fillId="3" borderId="13" xfId="10" applyFont="1" applyFill="1" applyBorder="1" applyAlignment="1">
      <alignment horizontal="center" vertical="center"/>
    </xf>
    <xf numFmtId="175" fontId="40" fillId="0" borderId="15" xfId="9" applyNumberFormat="1" applyFont="1" applyBorder="1" applyAlignment="1">
      <alignment horizontal="center" vertical="center"/>
    </xf>
    <xf numFmtId="2" fontId="40" fillId="0" borderId="15" xfId="9" applyNumberFormat="1" applyFont="1" applyBorder="1" applyAlignment="1">
      <alignment horizontal="center" vertical="center"/>
    </xf>
    <xf numFmtId="0" fontId="41" fillId="7" borderId="0" xfId="14" applyFont="1" applyFill="1" applyAlignment="1">
      <alignment wrapText="1"/>
    </xf>
    <xf numFmtId="0" fontId="41" fillId="7" borderId="6" xfId="14" applyFont="1" applyFill="1" applyBorder="1" applyAlignment="1">
      <alignment wrapText="1"/>
    </xf>
    <xf numFmtId="0" fontId="42" fillId="0" borderId="0" xfId="14" applyFont="1" applyAlignment="1">
      <alignment wrapText="1"/>
    </xf>
    <xf numFmtId="0" fontId="42" fillId="0" borderId="6" xfId="14" applyFont="1" applyBorder="1" applyAlignment="1">
      <alignment wrapText="1"/>
    </xf>
    <xf numFmtId="0" fontId="36" fillId="2" borderId="0" xfId="11" applyFont="1" applyFill="1"/>
    <xf numFmtId="0" fontId="34" fillId="2" borderId="0" xfId="11" applyFont="1" applyFill="1" applyAlignment="1">
      <alignment vertical="top" wrapText="1"/>
    </xf>
    <xf numFmtId="0" fontId="34" fillId="2" borderId="0" xfId="11" applyFont="1" applyFill="1" applyAlignment="1">
      <alignment horizontal="center"/>
    </xf>
    <xf numFmtId="169" fontId="43" fillId="2" borderId="0" xfId="10" applyNumberFormat="1" applyFont="1" applyFill="1"/>
    <xf numFmtId="168" fontId="34" fillId="2" borderId="0" xfId="10" applyFont="1" applyFill="1"/>
    <xf numFmtId="168" fontId="3" fillId="2" borderId="0" xfId="10" applyFont="1" applyFill="1"/>
    <xf numFmtId="0" fontId="34" fillId="0" borderId="0" xfId="11" applyFont="1"/>
    <xf numFmtId="0" fontId="34" fillId="0" borderId="0" xfId="11" applyFont="1" applyAlignment="1">
      <alignment horizontal="center"/>
    </xf>
    <xf numFmtId="169" fontId="43" fillId="0" borderId="0" xfId="10" applyNumberFormat="1" applyFont="1"/>
    <xf numFmtId="168" fontId="34" fillId="0" borderId="0" xfId="10" applyFont="1"/>
    <xf numFmtId="0" fontId="7" fillId="0" borderId="0" xfId="15" applyFont="1"/>
    <xf numFmtId="0" fontId="7" fillId="0" borderId="35" xfId="15" applyFont="1" applyBorder="1"/>
    <xf numFmtId="0" fontId="4" fillId="0" borderId="0" xfId="15" applyFont="1" applyAlignment="1">
      <alignment horizontal="center"/>
    </xf>
    <xf numFmtId="0" fontId="7" fillId="0" borderId="36" xfId="15" applyFont="1" applyBorder="1"/>
    <xf numFmtId="0" fontId="44" fillId="7" borderId="37" xfId="15" applyFont="1" applyFill="1" applyBorder="1" applyAlignment="1">
      <alignment horizontal="center" vertical="center"/>
    </xf>
    <xf numFmtId="0" fontId="7" fillId="0" borderId="0" xfId="15" applyFont="1" applyAlignment="1">
      <alignment horizontal="center"/>
    </xf>
    <xf numFmtId="0" fontId="45" fillId="2" borderId="2" xfId="3" applyFont="1" applyFill="1" applyBorder="1" applyAlignment="1">
      <alignment vertical="center" wrapText="1"/>
    </xf>
    <xf numFmtId="0" fontId="7" fillId="0" borderId="2" xfId="15" applyFont="1" applyBorder="1"/>
    <xf numFmtId="0" fontId="7" fillId="2" borderId="5" xfId="0" applyFont="1" applyFill="1" applyBorder="1" applyAlignment="1">
      <alignment vertical="center" wrapText="1"/>
    </xf>
    <xf numFmtId="0" fontId="45" fillId="2" borderId="0" xfId="3" applyFont="1" applyFill="1" applyAlignment="1">
      <alignment vertical="center" wrapText="1"/>
    </xf>
    <xf numFmtId="10" fontId="7" fillId="0" borderId="5" xfId="2" applyNumberFormat="1" applyFont="1" applyFill="1" applyBorder="1" applyAlignment="1">
      <alignment vertical="center" wrapText="1"/>
    </xf>
    <xf numFmtId="179" fontId="5" fillId="0" borderId="0" xfId="3" applyNumberFormat="1" applyFont="1" applyAlignment="1">
      <alignment horizontal="left" vertical="center"/>
    </xf>
    <xf numFmtId="0" fontId="44" fillId="7" borderId="38" xfId="15" applyFont="1" applyFill="1" applyBorder="1" applyAlignment="1">
      <alignment horizontal="center" vertical="center"/>
    </xf>
    <xf numFmtId="180" fontId="5" fillId="0" borderId="0" xfId="3" applyNumberFormat="1" applyFont="1" applyAlignment="1">
      <alignment horizontal="left" vertical="center"/>
    </xf>
    <xf numFmtId="0" fontId="45" fillId="2" borderId="9" xfId="3" applyFont="1" applyFill="1" applyBorder="1" applyAlignment="1">
      <alignment vertical="center" wrapText="1"/>
    </xf>
    <xf numFmtId="0" fontId="7" fillId="0" borderId="9" xfId="15" applyFont="1" applyBorder="1"/>
    <xf numFmtId="0" fontId="5" fillId="0" borderId="9" xfId="3" applyFont="1" applyBorder="1" applyAlignment="1">
      <alignment vertical="center"/>
    </xf>
    <xf numFmtId="0" fontId="5" fillId="0" borderId="10" xfId="3" applyFont="1" applyBorder="1" applyAlignment="1">
      <alignment vertical="center"/>
    </xf>
    <xf numFmtId="0" fontId="44" fillId="7" borderId="0" xfId="15" applyFont="1" applyFill="1" applyAlignment="1">
      <alignment horizontal="center" vertical="center"/>
    </xf>
    <xf numFmtId="10" fontId="7" fillId="0" borderId="0" xfId="2" applyNumberFormat="1" applyFont="1" applyFill="1" applyBorder="1" applyAlignment="1">
      <alignment vertical="center" wrapText="1"/>
    </xf>
    <xf numFmtId="0" fontId="4" fillId="8" borderId="0" xfId="15" applyFont="1" applyFill="1" applyAlignment="1">
      <alignment horizontal="center" vertical="center"/>
    </xf>
    <xf numFmtId="0" fontId="4" fillId="0" borderId="0" xfId="15" applyFont="1" applyAlignment="1">
      <alignment horizontal="center" vertical="center"/>
    </xf>
    <xf numFmtId="0" fontId="4" fillId="0" borderId="11" xfId="15" applyFont="1" applyBorder="1" applyAlignment="1">
      <alignment horizontal="center" vertical="center"/>
    </xf>
    <xf numFmtId="4" fontId="4" fillId="0" borderId="0" xfId="15" applyNumberFormat="1" applyFont="1" applyAlignment="1">
      <alignment horizontal="center" vertical="center"/>
    </xf>
    <xf numFmtId="2" fontId="7" fillId="0" borderId="39" xfId="16" applyNumberFormat="1" applyFont="1" applyBorder="1" applyAlignment="1">
      <alignment horizontal="center" vertical="center"/>
    </xf>
    <xf numFmtId="2" fontId="7" fillId="0" borderId="40" xfId="16" applyNumberFormat="1" applyFont="1" applyBorder="1" applyAlignment="1">
      <alignment horizontal="center" vertical="center"/>
    </xf>
    <xf numFmtId="2" fontId="7" fillId="0" borderId="0" xfId="16" applyNumberFormat="1" applyFont="1" applyAlignment="1">
      <alignment horizontal="center" vertical="center"/>
    </xf>
    <xf numFmtId="0" fontId="7" fillId="0" borderId="15" xfId="15" applyFont="1" applyBorder="1" applyAlignment="1">
      <alignment horizontal="center"/>
    </xf>
    <xf numFmtId="4" fontId="7" fillId="0" borderId="0" xfId="15" applyNumberFormat="1" applyFont="1" applyAlignment="1">
      <alignment horizontal="center"/>
    </xf>
    <xf numFmtId="0" fontId="7" fillId="0" borderId="0" xfId="16" applyFont="1" applyAlignment="1">
      <alignment horizontal="center" vertical="center"/>
    </xf>
    <xf numFmtId="10" fontId="7" fillId="0" borderId="0" xfId="17" applyNumberFormat="1" applyFont="1" applyFill="1"/>
    <xf numFmtId="0" fontId="7" fillId="0" borderId="38" xfId="15" applyFont="1" applyBorder="1" applyAlignment="1">
      <alignment horizontal="center" vertical="center"/>
    </xf>
    <xf numFmtId="0" fontId="7" fillId="0" borderId="11" xfId="15" applyFont="1" applyBorder="1" applyAlignment="1">
      <alignment horizontal="center"/>
    </xf>
    <xf numFmtId="0" fontId="7" fillId="0" borderId="0" xfId="15" applyFont="1" applyAlignment="1">
      <alignment horizontal="center" vertical="center"/>
    </xf>
    <xf numFmtId="10" fontId="4" fillId="8" borderId="0" xfId="15" applyNumberFormat="1" applyFont="1" applyFill="1" applyAlignment="1">
      <alignment horizontal="center" vertical="center"/>
    </xf>
    <xf numFmtId="10" fontId="44" fillId="7" borderId="41" xfId="17" applyNumberFormat="1" applyFont="1" applyFill="1" applyBorder="1" applyAlignment="1">
      <alignment horizontal="center" vertical="center"/>
    </xf>
    <xf numFmtId="1" fontId="4" fillId="0" borderId="0" xfId="15" applyNumberFormat="1" applyFont="1" applyAlignment="1">
      <alignment horizontal="center" vertical="center"/>
    </xf>
    <xf numFmtId="0" fontId="46" fillId="0" borderId="1" xfId="15" applyFont="1" applyBorder="1" applyAlignment="1">
      <alignment vertical="center"/>
    </xf>
    <xf numFmtId="0" fontId="46" fillId="0" borderId="2" xfId="15" applyFont="1" applyBorder="1" applyAlignment="1">
      <alignment vertical="center"/>
    </xf>
    <xf numFmtId="0" fontId="46" fillId="0" borderId="3" xfId="15" applyFont="1" applyBorder="1" applyAlignment="1">
      <alignment vertical="center"/>
    </xf>
    <xf numFmtId="0" fontId="46" fillId="0" borderId="0" xfId="15" applyFont="1" applyAlignment="1">
      <alignment horizontal="center" vertical="center"/>
    </xf>
    <xf numFmtId="0" fontId="7" fillId="0" borderId="5" xfId="15" applyFont="1" applyBorder="1"/>
    <xf numFmtId="0" fontId="46" fillId="0" borderId="0" xfId="15" applyFont="1" applyAlignment="1">
      <alignment vertical="center"/>
    </xf>
    <xf numFmtId="0" fontId="7" fillId="0" borderId="0" xfId="15" applyFont="1" applyAlignment="1">
      <alignment vertical="center"/>
    </xf>
    <xf numFmtId="10" fontId="4" fillId="0" borderId="0" xfId="2" applyNumberFormat="1" applyFont="1" applyBorder="1" applyAlignment="1">
      <alignment horizontal="right" vertical="center"/>
    </xf>
    <xf numFmtId="0" fontId="7" fillId="0" borderId="6" xfId="15" applyFont="1" applyBorder="1"/>
    <xf numFmtId="40" fontId="7" fillId="0" borderId="0" xfId="15" applyNumberFormat="1" applyFont="1" applyAlignment="1">
      <alignment vertical="center"/>
    </xf>
    <xf numFmtId="0" fontId="46" fillId="0" borderId="0" xfId="15" applyFont="1" applyAlignment="1">
      <alignment horizontal="right" vertical="center"/>
    </xf>
    <xf numFmtId="40" fontId="7" fillId="0" borderId="0" xfId="15" applyNumberFormat="1" applyFont="1" applyAlignment="1">
      <alignment horizontal="center" vertical="center"/>
    </xf>
    <xf numFmtId="0" fontId="7" fillId="0" borderId="0" xfId="15" applyFont="1" applyAlignment="1">
      <alignment horizontal="left" vertical="center"/>
    </xf>
    <xf numFmtId="0" fontId="7" fillId="0" borderId="8" xfId="15" applyFont="1" applyBorder="1"/>
    <xf numFmtId="0" fontId="46" fillId="0" borderId="9" xfId="15" applyFont="1" applyBorder="1" applyAlignment="1">
      <alignment horizontal="right" vertical="center"/>
    </xf>
    <xf numFmtId="40" fontId="7" fillId="0" borderId="9" xfId="15" applyNumberFormat="1" applyFont="1" applyBorder="1" applyAlignment="1">
      <alignment horizontal="center" vertical="center"/>
    </xf>
    <xf numFmtId="0" fontId="7" fillId="0" borderId="9" xfId="15" applyFont="1" applyBorder="1" applyAlignment="1">
      <alignment horizontal="left" vertical="center"/>
    </xf>
    <xf numFmtId="0" fontId="7" fillId="0" borderId="10" xfId="15" applyFont="1" applyBorder="1"/>
    <xf numFmtId="0" fontId="5" fillId="2" borderId="2" xfId="3" applyFont="1" applyFill="1" applyBorder="1" applyAlignment="1">
      <alignment horizontal="left" vertical="center"/>
    </xf>
    <xf numFmtId="0" fontId="8" fillId="0" borderId="2" xfId="0" applyFont="1" applyBorder="1"/>
    <xf numFmtId="0" fontId="8" fillId="0" borderId="3" xfId="0" applyFont="1" applyBorder="1"/>
    <xf numFmtId="0" fontId="8" fillId="0" borderId="0" xfId="0" applyFont="1"/>
    <xf numFmtId="0" fontId="5" fillId="2" borderId="0" xfId="3" applyFont="1" applyFill="1" applyAlignment="1">
      <alignment horizontal="left" vertical="center"/>
    </xf>
    <xf numFmtId="0" fontId="8" fillId="0" borderId="6" xfId="0" applyFont="1" applyBorder="1"/>
    <xf numFmtId="0" fontId="8" fillId="0" borderId="9" xfId="0" applyFont="1" applyBorder="1"/>
    <xf numFmtId="0" fontId="5" fillId="0" borderId="9" xfId="3" applyFont="1" applyBorder="1" applyAlignment="1">
      <alignment horizontal="left" vertical="center"/>
    </xf>
    <xf numFmtId="0" fontId="8" fillId="0" borderId="10" xfId="0" applyFont="1" applyBorder="1"/>
    <xf numFmtId="0" fontId="8" fillId="0" borderId="0" xfId="0" applyFont="1" applyAlignment="1">
      <alignment horizontal="center" vertical="center"/>
    </xf>
    <xf numFmtId="0" fontId="10" fillId="3" borderId="1" xfId="0" applyFont="1" applyFill="1" applyBorder="1" applyAlignment="1">
      <alignment horizontal="center" vertical="center"/>
    </xf>
    <xf numFmtId="0" fontId="10" fillId="3" borderId="2" xfId="0" applyFont="1" applyFill="1" applyBorder="1" applyAlignment="1">
      <alignment horizontal="center" vertical="center"/>
    </xf>
    <xf numFmtId="182" fontId="16" fillId="3" borderId="1" xfId="0" applyNumberFormat="1" applyFont="1" applyFill="1" applyBorder="1" applyAlignment="1">
      <alignment horizontal="center" vertical="center" wrapText="1"/>
    </xf>
    <xf numFmtId="182" fontId="16" fillId="3" borderId="2" xfId="0" applyNumberFormat="1" applyFont="1" applyFill="1" applyBorder="1" applyAlignment="1">
      <alignment horizontal="center" vertical="center" wrapText="1"/>
    </xf>
    <xf numFmtId="181" fontId="16" fillId="3" borderId="2" xfId="0" applyNumberFormat="1" applyFont="1" applyFill="1" applyBorder="1" applyAlignment="1">
      <alignment horizontal="center" vertical="center" wrapText="1"/>
    </xf>
    <xf numFmtId="182" fontId="16" fillId="3" borderId="7" xfId="0" applyNumberFormat="1" applyFont="1" applyFill="1" applyBorder="1" applyAlignment="1">
      <alignment horizontal="center" vertical="center" wrapText="1"/>
    </xf>
    <xf numFmtId="0" fontId="10" fillId="3" borderId="8" xfId="0" applyFont="1" applyFill="1" applyBorder="1" applyAlignment="1">
      <alignment horizontal="center" vertical="center"/>
    </xf>
    <xf numFmtId="0" fontId="10" fillId="3" borderId="9" xfId="0" applyFont="1" applyFill="1" applyBorder="1" applyAlignment="1">
      <alignment horizontal="center" vertical="center"/>
    </xf>
    <xf numFmtId="4" fontId="10" fillId="3" borderId="8" xfId="0" applyNumberFormat="1" applyFont="1" applyFill="1" applyBorder="1" applyAlignment="1">
      <alignment horizontal="center" vertical="center" wrapText="1"/>
    </xf>
    <xf numFmtId="4" fontId="10" fillId="3" borderId="9" xfId="0" applyNumberFormat="1" applyFont="1" applyFill="1" applyBorder="1" applyAlignment="1">
      <alignment horizontal="center" vertical="center" wrapText="1"/>
    </xf>
    <xf numFmtId="181" fontId="10" fillId="3" borderId="9" xfId="0" applyNumberFormat="1" applyFont="1" applyFill="1" applyBorder="1" applyAlignment="1">
      <alignment horizontal="center" vertical="center" wrapText="1"/>
    </xf>
    <xf numFmtId="4" fontId="10" fillId="3" borderId="14" xfId="0" applyNumberFormat="1" applyFont="1" applyFill="1" applyBorder="1" applyAlignment="1">
      <alignment horizontal="center" vertical="center" wrapText="1"/>
    </xf>
    <xf numFmtId="0" fontId="8" fillId="6" borderId="15" xfId="0" applyFont="1" applyFill="1" applyBorder="1" applyAlignment="1">
      <alignment horizontal="center" vertical="center"/>
    </xf>
    <xf numFmtId="0" fontId="17" fillId="6" borderId="15" xfId="0" applyFont="1" applyFill="1" applyBorder="1" applyAlignment="1">
      <alignment horizontal="left" vertical="center" wrapText="1"/>
    </xf>
    <xf numFmtId="4" fontId="10" fillId="4" borderId="15" xfId="0" applyNumberFormat="1" applyFont="1" applyFill="1" applyBorder="1" applyAlignment="1">
      <alignment horizontal="center" vertical="center"/>
    </xf>
    <xf numFmtId="0" fontId="8" fillId="0" borderId="15" xfId="0" applyFont="1" applyBorder="1" applyAlignment="1">
      <alignment horizontal="center" vertical="center"/>
    </xf>
    <xf numFmtId="0" fontId="7" fillId="6" borderId="15" xfId="9" applyFont="1" applyFill="1" applyBorder="1" applyAlignment="1">
      <alignment horizontal="left" vertical="center" wrapText="1"/>
    </xf>
    <xf numFmtId="4" fontId="7" fillId="0" borderId="15" xfId="9" applyNumberFormat="1" applyFont="1" applyBorder="1" applyAlignment="1">
      <alignment horizontal="center" vertical="center"/>
    </xf>
    <xf numFmtId="0" fontId="4" fillId="0" borderId="0" xfId="9" applyFont="1" applyAlignment="1">
      <alignment horizontal="center" vertical="center"/>
    </xf>
    <xf numFmtId="183" fontId="4" fillId="0" borderId="0" xfId="9" applyNumberFormat="1" applyFont="1" applyAlignment="1">
      <alignment horizontal="center" vertical="center"/>
    </xf>
    <xf numFmtId="49" fontId="4" fillId="0" borderId="0" xfId="9" applyNumberFormat="1" applyFont="1" applyAlignment="1">
      <alignment horizontal="center" vertical="center"/>
    </xf>
    <xf numFmtId="0" fontId="8" fillId="0" borderId="2" xfId="0" applyFont="1" applyBorder="1" applyAlignment="1">
      <alignment horizontal="center" vertical="center"/>
    </xf>
    <xf numFmtId="0" fontId="8" fillId="0" borderId="2" xfId="0" applyFont="1" applyBorder="1" applyAlignment="1">
      <alignment horizontal="left" vertical="center" wrapText="1"/>
    </xf>
    <xf numFmtId="0" fontId="8" fillId="0" borderId="12" xfId="0" applyFont="1" applyBorder="1" applyAlignment="1">
      <alignment horizontal="center" vertical="center"/>
    </xf>
    <xf numFmtId="44" fontId="17" fillId="6" borderId="15" xfId="0" applyNumberFormat="1" applyFont="1" applyFill="1" applyBorder="1" applyAlignment="1">
      <alignment horizontal="center" vertical="center"/>
    </xf>
    <xf numFmtId="0" fontId="4" fillId="2" borderId="2" xfId="3" applyFont="1" applyFill="1" applyBorder="1" applyAlignment="1">
      <alignment horizontal="left" vertical="center"/>
    </xf>
    <xf numFmtId="0" fontId="7" fillId="2" borderId="3" xfId="3" applyFont="1" applyFill="1" applyBorder="1" applyAlignment="1">
      <alignment horizontal="center" vertical="center" wrapText="1"/>
    </xf>
    <xf numFmtId="0" fontId="4" fillId="2" borderId="0" xfId="3" applyFont="1" applyFill="1" applyAlignment="1">
      <alignment horizontal="left" vertical="center"/>
    </xf>
    <xf numFmtId="0" fontId="7" fillId="2" borderId="6" xfId="3" applyFont="1" applyFill="1" applyBorder="1" applyAlignment="1">
      <alignment horizontal="center" vertical="center" wrapText="1"/>
    </xf>
    <xf numFmtId="10" fontId="7" fillId="2" borderId="6" xfId="2" applyNumberFormat="1" applyFont="1" applyFill="1" applyBorder="1" applyAlignment="1">
      <alignment horizontal="center" vertical="center" wrapText="1"/>
    </xf>
    <xf numFmtId="0" fontId="4" fillId="2" borderId="9" xfId="3" applyFont="1" applyFill="1" applyBorder="1" applyAlignment="1">
      <alignment horizontal="left" vertical="center"/>
    </xf>
    <xf numFmtId="0" fontId="7" fillId="2" borderId="10" xfId="3" applyFont="1" applyFill="1" applyBorder="1" applyAlignment="1">
      <alignment horizontal="center" vertical="center" wrapText="1"/>
    </xf>
    <xf numFmtId="0" fontId="4" fillId="0" borderId="11" xfId="9" applyFont="1" applyBorder="1" applyAlignment="1">
      <alignment horizontal="center" vertical="center"/>
    </xf>
    <xf numFmtId="183" fontId="4" fillId="0" borderId="15" xfId="9" applyNumberFormat="1" applyFont="1" applyBorder="1" applyAlignment="1">
      <alignment horizontal="center" vertical="center" wrapText="1"/>
    </xf>
    <xf numFmtId="0" fontId="4" fillId="0" borderId="15" xfId="9" applyFont="1" applyBorder="1" applyAlignment="1">
      <alignment horizontal="center" vertical="center"/>
    </xf>
    <xf numFmtId="0" fontId="7" fillId="0" borderId="15" xfId="9" applyFont="1" applyBorder="1" applyAlignment="1">
      <alignment horizontal="center" vertical="center"/>
    </xf>
    <xf numFmtId="0" fontId="7" fillId="0" borderId="11" xfId="9" applyFont="1" applyBorder="1" applyAlignment="1">
      <alignment horizontal="left" vertical="center"/>
    </xf>
    <xf numFmtId="175" fontId="7" fillId="0" borderId="15" xfId="9" applyNumberFormat="1" applyFont="1" applyBorder="1" applyAlignment="1">
      <alignment horizontal="center" vertical="center" wrapText="1"/>
    </xf>
    <xf numFmtId="10" fontId="7" fillId="0" borderId="15" xfId="9" applyNumberFormat="1" applyFont="1" applyBorder="1" applyAlignment="1">
      <alignment horizontal="center" vertical="center"/>
    </xf>
    <xf numFmtId="0" fontId="47" fillId="0" borderId="15" xfId="9" applyFont="1" applyBorder="1" applyAlignment="1">
      <alignment horizontal="center" vertical="center"/>
    </xf>
    <xf numFmtId="0" fontId="47" fillId="0" borderId="11" xfId="9" applyFont="1" applyBorder="1" applyAlignment="1">
      <alignment horizontal="left" vertical="center"/>
    </xf>
    <xf numFmtId="175" fontId="47" fillId="0" borderId="15" xfId="9" applyNumberFormat="1" applyFont="1" applyBorder="1" applyAlignment="1">
      <alignment horizontal="center" vertical="center" wrapText="1"/>
    </xf>
    <xf numFmtId="10" fontId="47" fillId="0" borderId="15" xfId="9" applyNumberFormat="1" applyFont="1" applyBorder="1" applyAlignment="1">
      <alignment horizontal="center" vertical="center"/>
    </xf>
    <xf numFmtId="175" fontId="10" fillId="3" borderId="15" xfId="9" applyNumberFormat="1" applyFont="1" applyFill="1" applyBorder="1" applyAlignment="1">
      <alignment horizontal="center" vertical="center" wrapText="1"/>
    </xf>
    <xf numFmtId="10" fontId="10" fillId="3" borderId="13" xfId="2" applyNumberFormat="1" applyFont="1" applyFill="1" applyBorder="1" applyAlignment="1">
      <alignment horizontal="center" vertical="center"/>
    </xf>
    <xf numFmtId="0" fontId="4" fillId="0" borderId="0" xfId="9" applyFont="1" applyAlignment="1">
      <alignment vertical="center"/>
    </xf>
    <xf numFmtId="183" fontId="4" fillId="0" borderId="0" xfId="9" applyNumberFormat="1" applyFont="1" applyAlignment="1">
      <alignment vertical="center"/>
    </xf>
    <xf numFmtId="49" fontId="4" fillId="0" borderId="0" xfId="9" applyNumberFormat="1" applyFont="1" applyAlignment="1">
      <alignment vertical="center"/>
    </xf>
    <xf numFmtId="4" fontId="8" fillId="0" borderId="0" xfId="0" applyNumberFormat="1" applyFont="1" applyAlignment="1">
      <alignment vertical="center" wrapText="1"/>
    </xf>
    <xf numFmtId="0" fontId="8" fillId="0" borderId="0" xfId="0" applyFont="1" applyAlignment="1">
      <alignment vertical="center" wrapText="1"/>
    </xf>
    <xf numFmtId="43" fontId="8" fillId="0" borderId="3" xfId="1" applyFont="1" applyBorder="1" applyAlignment="1">
      <alignment vertical="center"/>
    </xf>
    <xf numFmtId="0" fontId="17" fillId="0" borderId="5" xfId="0" applyFont="1" applyBorder="1" applyAlignment="1">
      <alignment horizontal="center" vertical="center"/>
    </xf>
    <xf numFmtId="0" fontId="8" fillId="0" borderId="7" xfId="0" applyFont="1" applyBorder="1" applyAlignment="1">
      <alignment vertical="center"/>
    </xf>
    <xf numFmtId="43" fontId="8" fillId="0" borderId="6" xfId="1" applyFont="1" applyBorder="1" applyAlignment="1">
      <alignment vertical="center"/>
    </xf>
    <xf numFmtId="0" fontId="4" fillId="2" borderId="14" xfId="3" applyFont="1" applyFill="1" applyBorder="1" applyAlignment="1">
      <alignment horizontal="center" vertical="center"/>
    </xf>
    <xf numFmtId="0" fontId="8" fillId="0" borderId="9" xfId="0" applyFont="1" applyBorder="1" applyAlignment="1">
      <alignment horizontal="center" vertical="center"/>
    </xf>
    <xf numFmtId="43" fontId="8" fillId="0" borderId="10" xfId="1" applyFont="1" applyBorder="1" applyAlignment="1">
      <alignment vertical="center"/>
    </xf>
    <xf numFmtId="0" fontId="48" fillId="0" borderId="5" xfId="0" applyFont="1" applyBorder="1" applyAlignment="1">
      <alignment horizontal="center" vertical="center"/>
    </xf>
    <xf numFmtId="0" fontId="14" fillId="3" borderId="42" xfId="4" applyFont="1" applyFill="1" applyBorder="1" applyAlignment="1">
      <alignment vertical="center"/>
    </xf>
    <xf numFmtId="0" fontId="14" fillId="3" borderId="43" xfId="4" applyFont="1" applyFill="1" applyBorder="1" applyAlignment="1">
      <alignment vertical="center"/>
    </xf>
    <xf numFmtId="0" fontId="14" fillId="3" borderId="43" xfId="4" applyFont="1" applyFill="1" applyBorder="1" applyAlignment="1">
      <alignment horizontal="center" vertical="center"/>
    </xf>
    <xf numFmtId="0" fontId="14" fillId="3" borderId="44" xfId="4" applyFont="1" applyFill="1" applyBorder="1" applyAlignment="1">
      <alignment vertical="center"/>
    </xf>
    <xf numFmtId="0" fontId="8" fillId="0" borderId="5" xfId="0" applyFont="1" applyBorder="1" applyAlignment="1">
      <alignment vertical="center"/>
    </xf>
    <xf numFmtId="0" fontId="8" fillId="0" borderId="0" xfId="0" applyFont="1" applyAlignment="1">
      <alignment horizontal="center" vertical="center" wrapText="1"/>
    </xf>
    <xf numFmtId="168" fontId="10" fillId="3" borderId="49" xfId="18" applyFont="1" applyFill="1" applyBorder="1" applyAlignment="1">
      <alignment horizontal="center" vertical="center" wrapText="1"/>
    </xf>
    <xf numFmtId="0" fontId="10" fillId="3" borderId="49" xfId="4" applyFont="1" applyFill="1" applyBorder="1" applyAlignment="1">
      <alignment horizontal="center" vertical="center" wrapText="1"/>
    </xf>
    <xf numFmtId="0" fontId="10" fillId="3" borderId="50" xfId="4" applyFont="1" applyFill="1" applyBorder="1" applyAlignment="1">
      <alignment horizontal="center" vertical="center" wrapText="1"/>
    </xf>
    <xf numFmtId="0" fontId="49" fillId="0" borderId="0" xfId="19" applyFont="1"/>
    <xf numFmtId="0" fontId="50" fillId="0" borderId="0" xfId="19" applyFont="1" applyAlignment="1">
      <alignment horizontal="right" wrapText="1"/>
    </xf>
    <xf numFmtId="0" fontId="4" fillId="0" borderId="0" xfId="19" applyFont="1" applyAlignment="1">
      <alignment horizontal="right" vertical="center" wrapText="1"/>
    </xf>
    <xf numFmtId="184" fontId="4" fillId="0" borderId="0" xfId="19" applyNumberFormat="1" applyFont="1" applyAlignment="1">
      <alignment horizontal="right" vertical="center" wrapText="1"/>
    </xf>
    <xf numFmtId="2" fontId="4" fillId="0" borderId="51" xfId="4" applyNumberFormat="1" applyFont="1" applyBorder="1" applyAlignment="1">
      <alignment horizontal="center" vertical="center" wrapText="1"/>
    </xf>
    <xf numFmtId="0" fontId="4" fillId="0" borderId="52" xfId="4" applyFont="1" applyBorder="1" applyAlignment="1">
      <alignment horizontal="center" vertical="center"/>
    </xf>
    <xf numFmtId="2" fontId="4" fillId="0" borderId="52" xfId="4" applyNumberFormat="1" applyFont="1" applyBorder="1" applyAlignment="1">
      <alignment horizontal="center" vertical="center"/>
    </xf>
    <xf numFmtId="184" fontId="4" fillId="0" borderId="52" xfId="4" applyNumberFormat="1" applyFont="1" applyBorder="1" applyAlignment="1">
      <alignment horizontal="center" vertical="center"/>
    </xf>
    <xf numFmtId="0" fontId="4" fillId="0" borderId="52" xfId="4" applyFont="1" applyBorder="1" applyAlignment="1">
      <alignment vertical="center"/>
    </xf>
    <xf numFmtId="0" fontId="7" fillId="0" borderId="52" xfId="4" applyFont="1" applyBorder="1" applyAlignment="1">
      <alignment horizontal="center" vertical="center"/>
    </xf>
    <xf numFmtId="43" fontId="7" fillId="0" borderId="52" xfId="1" applyFont="1" applyFill="1" applyBorder="1" applyAlignment="1">
      <alignment vertical="center"/>
    </xf>
    <xf numFmtId="165" fontId="7" fillId="0" borderId="52" xfId="18" applyNumberFormat="1" applyFont="1" applyFill="1" applyBorder="1" applyAlignment="1">
      <alignment vertical="center"/>
    </xf>
    <xf numFmtId="165" fontId="7" fillId="0" borderId="52" xfId="18" applyNumberFormat="1" applyFont="1" applyFill="1" applyBorder="1" applyAlignment="1">
      <alignment horizontal="right" vertical="center"/>
    </xf>
    <xf numFmtId="165" fontId="4" fillId="0" borderId="52" xfId="18" applyNumberFormat="1" applyFont="1" applyFill="1" applyBorder="1" applyAlignment="1">
      <alignment vertical="center"/>
    </xf>
    <xf numFmtId="10" fontId="4" fillId="0" borderId="53" xfId="2" applyNumberFormat="1" applyFont="1" applyFill="1" applyBorder="1" applyAlignment="1">
      <alignment vertical="center"/>
    </xf>
    <xf numFmtId="0" fontId="51" fillId="0" borderId="0" xfId="0" applyFont="1" applyAlignment="1">
      <alignment vertical="center"/>
    </xf>
    <xf numFmtId="14" fontId="7" fillId="0" borderId="0" xfId="0" applyNumberFormat="1" applyFont="1" applyAlignment="1">
      <alignment vertical="center"/>
    </xf>
    <xf numFmtId="0" fontId="7" fillId="0" borderId="0" xfId="0" applyFont="1" applyAlignment="1">
      <alignment vertical="center"/>
    </xf>
    <xf numFmtId="2" fontId="7" fillId="0" borderId="4" xfId="4" applyNumberFormat="1" applyFont="1" applyBorder="1" applyAlignment="1">
      <alignment horizontal="center" vertical="center" wrapText="1"/>
    </xf>
    <xf numFmtId="1" fontId="7" fillId="0" borderId="4" xfId="20" applyNumberFormat="1" applyFont="1" applyBorder="1" applyAlignment="1">
      <alignment horizontal="center" vertical="center" wrapText="1"/>
    </xf>
    <xf numFmtId="2" fontId="7" fillId="0" borderId="4" xfId="4" applyNumberFormat="1" applyFont="1" applyBorder="1" applyAlignment="1">
      <alignment horizontal="center" vertical="center"/>
    </xf>
    <xf numFmtId="0" fontId="0" fillId="0" borderId="4" xfId="20" applyFont="1" applyBorder="1" applyAlignment="1">
      <alignment vertical="center" wrapText="1"/>
    </xf>
    <xf numFmtId="0" fontId="0" fillId="0" borderId="4" xfId="20" applyFont="1" applyBorder="1" applyAlignment="1">
      <alignment horizontal="center" vertical="center" wrapText="1"/>
    </xf>
    <xf numFmtId="43" fontId="7" fillId="0" borderId="4" xfId="1" applyFont="1" applyFill="1" applyBorder="1" applyAlignment="1">
      <alignment horizontal="right" vertical="center"/>
    </xf>
    <xf numFmtId="165" fontId="7" fillId="0" borderId="4" xfId="20" applyNumberFormat="1" applyFont="1" applyBorder="1" applyAlignment="1">
      <alignment horizontal="right" vertical="center" wrapText="1"/>
    </xf>
    <xf numFmtId="165" fontId="7" fillId="0" borderId="4" xfId="18" applyNumberFormat="1" applyFont="1" applyFill="1" applyBorder="1" applyAlignment="1">
      <alignment horizontal="right" vertical="center"/>
    </xf>
    <xf numFmtId="165" fontId="7" fillId="0" borderId="4" xfId="4" applyNumberFormat="1" applyFont="1" applyBorder="1" applyAlignment="1">
      <alignment vertical="center"/>
    </xf>
    <xf numFmtId="10" fontId="7" fillId="0" borderId="4" xfId="21" applyNumberFormat="1" applyFont="1" applyFill="1" applyBorder="1" applyAlignment="1">
      <alignment horizontal="right" vertical="center" wrapText="1"/>
    </xf>
    <xf numFmtId="0" fontId="4" fillId="0" borderId="0" xfId="3" applyFont="1" applyAlignment="1">
      <alignment horizontal="center" vertical="center"/>
    </xf>
    <xf numFmtId="0" fontId="7" fillId="0" borderId="0" xfId="0" applyFont="1" applyAlignment="1">
      <alignment horizontal="left" vertical="center" wrapText="1"/>
    </xf>
    <xf numFmtId="2" fontId="7" fillId="0" borderId="7" xfId="4" applyNumberFormat="1" applyFont="1" applyBorder="1" applyAlignment="1">
      <alignment horizontal="center" vertical="center" wrapText="1"/>
    </xf>
    <xf numFmtId="1" fontId="7" fillId="0" borderId="15" xfId="20" applyNumberFormat="1" applyFont="1" applyBorder="1" applyAlignment="1">
      <alignment horizontal="center" vertical="center" wrapText="1"/>
    </xf>
    <xf numFmtId="2" fontId="7" fillId="0" borderId="14" xfId="4" applyNumberFormat="1" applyFont="1" applyBorder="1" applyAlignment="1">
      <alignment horizontal="center" vertical="center"/>
    </xf>
    <xf numFmtId="0" fontId="4" fillId="0" borderId="0" xfId="3" applyFont="1" applyAlignment="1">
      <alignment vertical="center"/>
    </xf>
    <xf numFmtId="1" fontId="7" fillId="0" borderId="7" xfId="20" applyNumberFormat="1" applyFont="1" applyBorder="1" applyAlignment="1">
      <alignment horizontal="center" vertical="center" wrapText="1"/>
    </xf>
    <xf numFmtId="2" fontId="7" fillId="0" borderId="15" xfId="4" applyNumberFormat="1" applyFont="1" applyBorder="1" applyAlignment="1">
      <alignment horizontal="center" vertical="center" wrapText="1"/>
    </xf>
    <xf numFmtId="2" fontId="7" fillId="0" borderId="7" xfId="4" applyNumberFormat="1" applyFont="1" applyBorder="1" applyAlignment="1">
      <alignment horizontal="center" vertical="center"/>
    </xf>
    <xf numFmtId="0" fontId="0" fillId="0" borderId="7" xfId="20" applyFont="1" applyBorder="1" applyAlignment="1">
      <alignment vertical="center" wrapText="1"/>
    </xf>
    <xf numFmtId="0" fontId="0" fillId="0" borderId="7" xfId="20" applyFont="1" applyBorder="1" applyAlignment="1">
      <alignment horizontal="center" vertical="center" wrapText="1"/>
    </xf>
    <xf numFmtId="43" fontId="7" fillId="0" borderId="7" xfId="1" applyFont="1" applyFill="1" applyBorder="1" applyAlignment="1">
      <alignment horizontal="right" vertical="center"/>
    </xf>
    <xf numFmtId="165" fontId="7" fillId="0" borderId="7" xfId="20" applyNumberFormat="1" applyFont="1" applyBorder="1" applyAlignment="1">
      <alignment horizontal="right" vertical="center" wrapText="1"/>
    </xf>
    <xf numFmtId="165" fontId="7" fillId="0" borderId="7" xfId="18" applyNumberFormat="1" applyFont="1" applyFill="1" applyBorder="1" applyAlignment="1">
      <alignment horizontal="right" vertical="center"/>
    </xf>
    <xf numFmtId="165" fontId="7" fillId="0" borderId="7" xfId="4" applyNumberFormat="1" applyFont="1" applyBorder="1" applyAlignment="1">
      <alignment vertical="center"/>
    </xf>
    <xf numFmtId="10" fontId="7" fillId="0" borderId="7" xfId="21" applyNumberFormat="1" applyFont="1" applyFill="1" applyBorder="1" applyAlignment="1">
      <alignment horizontal="right" vertical="center" wrapText="1"/>
    </xf>
    <xf numFmtId="2" fontId="7" fillId="0" borderId="14" xfId="4" applyNumberFormat="1" applyFont="1" applyBorder="1" applyAlignment="1">
      <alignment horizontal="center" vertical="center" wrapText="1"/>
    </xf>
    <xf numFmtId="1" fontId="7" fillId="0" borderId="14" xfId="20" applyNumberFormat="1" applyFont="1" applyBorder="1" applyAlignment="1">
      <alignment horizontal="center" vertical="center" wrapText="1"/>
    </xf>
    <xf numFmtId="43" fontId="7" fillId="0" borderId="14" xfId="1" applyFont="1" applyFill="1" applyBorder="1" applyAlignment="1">
      <alignment horizontal="right" vertical="center"/>
    </xf>
    <xf numFmtId="165" fontId="7" fillId="0" borderId="14" xfId="18" applyNumberFormat="1" applyFont="1" applyFill="1" applyBorder="1" applyAlignment="1">
      <alignment horizontal="right" vertical="center"/>
    </xf>
    <xf numFmtId="165" fontId="7" fillId="0" borderId="14" xfId="4" applyNumberFormat="1" applyFont="1" applyBorder="1" applyAlignment="1">
      <alignment vertical="center"/>
    </xf>
    <xf numFmtId="10" fontId="7" fillId="0" borderId="14" xfId="21" applyNumberFormat="1" applyFont="1" applyFill="1" applyBorder="1" applyAlignment="1">
      <alignment horizontal="right" vertical="center" wrapText="1"/>
    </xf>
    <xf numFmtId="0" fontId="0" fillId="0" borderId="54" xfId="20" applyFont="1" applyBorder="1" applyAlignment="1">
      <alignment vertical="center" wrapText="1"/>
    </xf>
    <xf numFmtId="0" fontId="0" fillId="0" borderId="54" xfId="20" applyFont="1" applyBorder="1" applyAlignment="1">
      <alignment horizontal="center" vertical="center" wrapText="1"/>
    </xf>
    <xf numFmtId="43" fontId="7" fillId="2" borderId="54" xfId="1" applyFont="1" applyFill="1" applyBorder="1" applyAlignment="1">
      <alignment horizontal="right" vertical="center"/>
    </xf>
    <xf numFmtId="165" fontId="7" fillId="0" borderId="54" xfId="20" applyNumberFormat="1" applyFont="1" applyBorder="1" applyAlignment="1">
      <alignment horizontal="right" vertical="center" wrapText="1"/>
    </xf>
    <xf numFmtId="165" fontId="7" fillId="0" borderId="54" xfId="18" applyNumberFormat="1" applyFont="1" applyFill="1" applyBorder="1" applyAlignment="1">
      <alignment horizontal="right" vertical="center"/>
    </xf>
    <xf numFmtId="165" fontId="7" fillId="0" borderId="54" xfId="4" applyNumberFormat="1" applyFont="1" applyBorder="1" applyAlignment="1">
      <alignment vertical="center"/>
    </xf>
    <xf numFmtId="10" fontId="7" fillId="0" borderId="54" xfId="21" applyNumberFormat="1" applyFont="1" applyFill="1" applyBorder="1" applyAlignment="1">
      <alignment horizontal="right" vertical="center" wrapText="1"/>
    </xf>
    <xf numFmtId="2" fontId="7" fillId="0" borderId="15" xfId="4" applyNumberFormat="1" applyFont="1" applyBorder="1" applyAlignment="1">
      <alignment horizontal="center" vertical="center"/>
    </xf>
    <xf numFmtId="43" fontId="7" fillId="0" borderId="15" xfId="1" applyFont="1" applyFill="1" applyBorder="1" applyAlignment="1">
      <alignment horizontal="right" vertical="center"/>
    </xf>
    <xf numFmtId="165" fontId="7" fillId="0" borderId="15" xfId="18" applyNumberFormat="1" applyFont="1" applyFill="1" applyBorder="1" applyAlignment="1">
      <alignment horizontal="right" vertical="center"/>
    </xf>
    <xf numFmtId="165" fontId="7" fillId="0" borderId="15" xfId="4" applyNumberFormat="1" applyFont="1" applyBorder="1" applyAlignment="1">
      <alignment vertical="center"/>
    </xf>
    <xf numFmtId="10" fontId="7" fillId="0" borderId="15" xfId="21" applyNumberFormat="1" applyFont="1" applyFill="1" applyBorder="1" applyAlignment="1">
      <alignment horizontal="right" vertical="center" wrapText="1"/>
    </xf>
    <xf numFmtId="165" fontId="7" fillId="0" borderId="0" xfId="0" applyNumberFormat="1" applyFont="1" applyAlignment="1">
      <alignment vertical="center"/>
    </xf>
    <xf numFmtId="2" fontId="7" fillId="2" borderId="15" xfId="4" applyNumberFormat="1" applyFont="1" applyFill="1" applyBorder="1" applyAlignment="1">
      <alignment horizontal="center" vertical="center" wrapText="1"/>
    </xf>
    <xf numFmtId="1" fontId="7" fillId="2" borderId="15" xfId="20" applyNumberFormat="1" applyFont="1" applyFill="1" applyBorder="1" applyAlignment="1">
      <alignment horizontal="center" vertical="center" wrapText="1"/>
    </xf>
    <xf numFmtId="2" fontId="7" fillId="2" borderId="15" xfId="4" applyNumberFormat="1" applyFont="1" applyFill="1" applyBorder="1" applyAlignment="1">
      <alignment horizontal="center" vertical="center"/>
    </xf>
    <xf numFmtId="0" fontId="0" fillId="2" borderId="7" xfId="20" applyFont="1" applyFill="1" applyBorder="1" applyAlignment="1">
      <alignment vertical="center" wrapText="1"/>
    </xf>
    <xf numFmtId="0" fontId="0" fillId="2" borderId="7" xfId="20" applyFont="1" applyFill="1" applyBorder="1" applyAlignment="1">
      <alignment horizontal="center" vertical="center" wrapText="1"/>
    </xf>
    <xf numFmtId="43" fontId="7" fillId="2" borderId="15" xfId="1" applyFont="1" applyFill="1" applyBorder="1" applyAlignment="1">
      <alignment horizontal="right" vertical="center"/>
    </xf>
    <xf numFmtId="165" fontId="7" fillId="2" borderId="7" xfId="20" applyNumberFormat="1" applyFont="1" applyFill="1" applyBorder="1" applyAlignment="1">
      <alignment horizontal="right" vertical="center" wrapText="1"/>
    </xf>
    <xf numFmtId="165" fontId="7" fillId="2" borderId="15" xfId="18" applyNumberFormat="1" applyFont="1" applyFill="1" applyBorder="1" applyAlignment="1">
      <alignment horizontal="right" vertical="center"/>
    </xf>
    <xf numFmtId="165" fontId="7" fillId="2" borderId="15" xfId="4" applyNumberFormat="1" applyFont="1" applyFill="1" applyBorder="1" applyAlignment="1">
      <alignment vertical="center"/>
    </xf>
    <xf numFmtId="10" fontId="7" fillId="2" borderId="15" xfId="21" applyNumberFormat="1" applyFont="1" applyFill="1" applyBorder="1" applyAlignment="1">
      <alignment horizontal="right" vertical="center" wrapText="1"/>
    </xf>
    <xf numFmtId="0" fontId="0" fillId="0" borderId="15" xfId="20" applyFont="1" applyBorder="1" applyAlignment="1">
      <alignment vertical="center" wrapText="1"/>
    </xf>
    <xf numFmtId="0" fontId="0" fillId="0" borderId="15" xfId="20" applyFont="1" applyBorder="1" applyAlignment="1">
      <alignment horizontal="center" vertical="center" wrapText="1"/>
    </xf>
    <xf numFmtId="165" fontId="7" fillId="0" borderId="15" xfId="20" applyNumberFormat="1" applyFont="1" applyBorder="1" applyAlignment="1">
      <alignment horizontal="right" vertical="center" wrapText="1"/>
    </xf>
    <xf numFmtId="2" fontId="4" fillId="0" borderId="55" xfId="4" applyNumberFormat="1" applyFont="1" applyBorder="1" applyAlignment="1">
      <alignment horizontal="center" vertical="center" wrapText="1"/>
    </xf>
    <xf numFmtId="0" fontId="4" fillId="0" borderId="56" xfId="4" applyFont="1" applyBorder="1" applyAlignment="1">
      <alignment horizontal="center" vertical="center"/>
    </xf>
    <xf numFmtId="2" fontId="4" fillId="0" borderId="56" xfId="4" applyNumberFormat="1" applyFont="1" applyBorder="1" applyAlignment="1">
      <alignment horizontal="center" vertical="center"/>
    </xf>
    <xf numFmtId="184" fontId="4" fillId="0" borderId="56" xfId="4" applyNumberFormat="1" applyFont="1" applyBorder="1" applyAlignment="1">
      <alignment horizontal="center" vertical="center"/>
    </xf>
    <xf numFmtId="0" fontId="4" fillId="0" borderId="56" xfId="4" applyFont="1" applyBorder="1" applyAlignment="1">
      <alignment vertical="center"/>
    </xf>
    <xf numFmtId="0" fontId="7" fillId="0" borderId="56" xfId="4" applyFont="1" applyBorder="1" applyAlignment="1">
      <alignment horizontal="center" vertical="center"/>
    </xf>
    <xf numFmtId="43" fontId="7" fillId="0" borderId="56" xfId="1" applyFont="1" applyFill="1" applyBorder="1" applyAlignment="1">
      <alignment vertical="center"/>
    </xf>
    <xf numFmtId="165" fontId="7" fillId="0" borderId="56" xfId="18" applyNumberFormat="1" applyFont="1" applyFill="1" applyBorder="1" applyAlignment="1">
      <alignment vertical="center"/>
    </xf>
    <xf numFmtId="165" fontId="7" fillId="0" borderId="56" xfId="18" applyNumberFormat="1" applyFont="1" applyFill="1" applyBorder="1" applyAlignment="1">
      <alignment horizontal="right" vertical="center"/>
    </xf>
    <xf numFmtId="165" fontId="4" fillId="0" borderId="56" xfId="18" applyNumberFormat="1" applyFont="1" applyFill="1" applyBorder="1" applyAlignment="1">
      <alignment vertical="center"/>
    </xf>
    <xf numFmtId="10" fontId="4" fillId="0" borderId="57" xfId="2" applyNumberFormat="1" applyFont="1" applyFill="1" applyBorder="1" applyAlignment="1">
      <alignment vertical="center"/>
    </xf>
    <xf numFmtId="0" fontId="7" fillId="0" borderId="7" xfId="20" applyFont="1" applyBorder="1" applyAlignment="1">
      <alignment vertical="center" wrapText="1"/>
    </xf>
    <xf numFmtId="0" fontId="7" fillId="0" borderId="7" xfId="20" applyFont="1" applyBorder="1" applyAlignment="1">
      <alignment horizontal="center" vertical="center" wrapText="1"/>
    </xf>
    <xf numFmtId="43" fontId="7" fillId="0" borderId="0" xfId="1" applyFont="1" applyFill="1" applyAlignment="1">
      <alignment vertical="center"/>
    </xf>
    <xf numFmtId="165" fontId="7" fillId="0" borderId="7" xfId="20" applyNumberFormat="1" applyFont="1" applyBorder="1" applyAlignment="1">
      <alignment vertical="center" wrapText="1"/>
    </xf>
    <xf numFmtId="43" fontId="7" fillId="0" borderId="0" xfId="0" applyNumberFormat="1" applyFont="1" applyAlignment="1">
      <alignment vertical="center"/>
    </xf>
    <xf numFmtId="2" fontId="7" fillId="0" borderId="58" xfId="4" applyNumberFormat="1" applyFont="1" applyBorder="1" applyAlignment="1">
      <alignment horizontal="center" vertical="center" wrapText="1"/>
    </xf>
    <xf numFmtId="1" fontId="7" fillId="2" borderId="58" xfId="20" applyNumberFormat="1" applyFont="1" applyFill="1" applyBorder="1" applyAlignment="1">
      <alignment horizontal="center" vertical="center" wrapText="1"/>
    </xf>
    <xf numFmtId="2" fontId="7" fillId="0" borderId="58" xfId="4" applyNumberFormat="1" applyFont="1" applyBorder="1" applyAlignment="1">
      <alignment horizontal="center" vertical="center"/>
    </xf>
    <xf numFmtId="0" fontId="0" fillId="0" borderId="58" xfId="20" applyFont="1" applyBorder="1" applyAlignment="1">
      <alignment vertical="center" wrapText="1"/>
    </xf>
    <xf numFmtId="0" fontId="0" fillId="0" borderId="58" xfId="20" applyFont="1" applyBorder="1" applyAlignment="1">
      <alignment horizontal="center" vertical="center" wrapText="1"/>
    </xf>
    <xf numFmtId="43" fontId="7" fillId="0" borderId="58" xfId="1" applyFont="1" applyFill="1" applyBorder="1" applyAlignment="1">
      <alignment horizontal="right" vertical="center"/>
    </xf>
    <xf numFmtId="165" fontId="7" fillId="0" borderId="58" xfId="20" applyNumberFormat="1" applyFont="1" applyBorder="1" applyAlignment="1">
      <alignment horizontal="right" vertical="center" wrapText="1"/>
    </xf>
    <xf numFmtId="165" fontId="7" fillId="0" borderId="58" xfId="18" applyNumberFormat="1" applyFont="1" applyFill="1" applyBorder="1" applyAlignment="1">
      <alignment horizontal="right" vertical="center"/>
    </xf>
    <xf numFmtId="165" fontId="7" fillId="0" borderId="58" xfId="4" applyNumberFormat="1" applyFont="1" applyBorder="1" applyAlignment="1">
      <alignment vertical="center"/>
    </xf>
    <xf numFmtId="10" fontId="7" fillId="0" borderId="58" xfId="21" applyNumberFormat="1" applyFont="1" applyFill="1" applyBorder="1" applyAlignment="1">
      <alignment horizontal="right" vertical="center" wrapText="1"/>
    </xf>
    <xf numFmtId="165" fontId="8" fillId="0" borderId="7" xfId="20" applyNumberFormat="1" applyFont="1" applyBorder="1" applyAlignment="1">
      <alignment horizontal="right" vertical="center" wrapText="1"/>
    </xf>
    <xf numFmtId="165" fontId="8" fillId="0" borderId="15" xfId="20" applyNumberFormat="1" applyFont="1" applyBorder="1" applyAlignment="1">
      <alignment horizontal="right" vertical="center" wrapText="1"/>
    </xf>
    <xf numFmtId="1" fontId="7" fillId="0" borderId="58" xfId="20" applyNumberFormat="1" applyFont="1" applyBorder="1" applyAlignment="1">
      <alignment horizontal="center" vertical="center" wrapText="1"/>
    </xf>
    <xf numFmtId="165" fontId="8" fillId="0" borderId="58" xfId="20" applyNumberFormat="1" applyFont="1" applyBorder="1" applyAlignment="1">
      <alignment horizontal="right" vertical="center" wrapText="1"/>
    </xf>
    <xf numFmtId="2" fontId="4" fillId="0" borderId="11" xfId="4" applyNumberFormat="1" applyFont="1" applyBorder="1" applyAlignment="1">
      <alignment horizontal="center" vertical="center"/>
    </xf>
    <xf numFmtId="0" fontId="4" fillId="0" borderId="12" xfId="4" applyFont="1" applyBorder="1" applyAlignment="1">
      <alignment horizontal="center" vertical="center"/>
    </xf>
    <xf numFmtId="2" fontId="4" fillId="0" borderId="12" xfId="4" applyNumberFormat="1" applyFont="1" applyBorder="1" applyAlignment="1">
      <alignment horizontal="center" vertical="center"/>
    </xf>
    <xf numFmtId="0" fontId="4" fillId="0" borderId="12" xfId="4" applyFont="1" applyBorder="1" applyAlignment="1">
      <alignment vertical="center"/>
    </xf>
    <xf numFmtId="0" fontId="7" fillId="0" borderId="12" xfId="4" applyFont="1" applyBorder="1" applyAlignment="1">
      <alignment horizontal="center" vertical="center"/>
    </xf>
    <xf numFmtId="43" fontId="7" fillId="0" borderId="12" xfId="1" applyFont="1" applyFill="1" applyBorder="1" applyAlignment="1">
      <alignment vertical="center"/>
    </xf>
    <xf numFmtId="165" fontId="7" fillId="0" borderId="12" xfId="18" applyNumberFormat="1" applyFont="1" applyFill="1" applyBorder="1" applyAlignment="1">
      <alignment vertical="center"/>
    </xf>
    <xf numFmtId="165" fontId="7" fillId="0" borderId="12" xfId="18" applyNumberFormat="1" applyFont="1" applyFill="1" applyBorder="1" applyAlignment="1">
      <alignment horizontal="right" vertical="center"/>
    </xf>
    <xf numFmtId="165" fontId="4" fillId="0" borderId="12" xfId="18" applyNumberFormat="1" applyFont="1" applyFill="1" applyBorder="1" applyAlignment="1">
      <alignment vertical="center"/>
    </xf>
    <xf numFmtId="10" fontId="4" fillId="0" borderId="13" xfId="2" applyNumberFormat="1" applyFont="1" applyFill="1" applyBorder="1" applyAlignment="1">
      <alignment vertical="center"/>
    </xf>
    <xf numFmtId="2" fontId="4" fillId="0" borderId="0" xfId="4" applyNumberFormat="1" applyFont="1" applyAlignment="1">
      <alignment horizontal="center" vertical="center"/>
    </xf>
    <xf numFmtId="0" fontId="4" fillId="0" borderId="0" xfId="4" applyFont="1" applyAlignment="1">
      <alignment horizontal="center" vertical="center"/>
    </xf>
    <xf numFmtId="0" fontId="4" fillId="0" borderId="0" xfId="4" applyFont="1" applyAlignment="1">
      <alignment vertical="center"/>
    </xf>
    <xf numFmtId="0" fontId="7" fillId="0" borderId="0" xfId="4" applyFont="1" applyAlignment="1">
      <alignment horizontal="center" vertical="center"/>
    </xf>
    <xf numFmtId="43" fontId="7" fillId="0" borderId="0" xfId="1" applyFont="1" applyFill="1" applyBorder="1" applyAlignment="1">
      <alignment vertical="center"/>
    </xf>
    <xf numFmtId="165" fontId="7" fillId="0" borderId="0" xfId="18" applyNumberFormat="1" applyFont="1" applyFill="1" applyBorder="1" applyAlignment="1">
      <alignment vertical="center"/>
    </xf>
    <xf numFmtId="165" fontId="7" fillId="0" borderId="0" xfId="18" applyNumberFormat="1" applyFont="1" applyFill="1" applyBorder="1" applyAlignment="1">
      <alignment horizontal="right" vertical="center"/>
    </xf>
    <xf numFmtId="165" fontId="4" fillId="0" borderId="0" xfId="18" applyNumberFormat="1" applyFont="1" applyFill="1" applyBorder="1" applyAlignment="1">
      <alignment vertical="center"/>
    </xf>
    <xf numFmtId="10" fontId="4" fillId="0" borderId="0" xfId="2" applyNumberFormat="1" applyFont="1" applyFill="1" applyBorder="1" applyAlignment="1">
      <alignment vertical="center"/>
    </xf>
    <xf numFmtId="2" fontId="7" fillId="0" borderId="5" xfId="4" applyNumberFormat="1" applyFont="1" applyBorder="1" applyAlignment="1">
      <alignment horizontal="center" vertical="center" wrapText="1"/>
    </xf>
    <xf numFmtId="1" fontId="7" fillId="0" borderId="0" xfId="20" applyNumberFormat="1" applyFont="1" applyAlignment="1">
      <alignment horizontal="center" vertical="center" wrapText="1"/>
    </xf>
    <xf numFmtId="2" fontId="7" fillId="0" borderId="0" xfId="4" applyNumberFormat="1" applyFont="1" applyAlignment="1">
      <alignment horizontal="center" vertical="center"/>
    </xf>
    <xf numFmtId="0" fontId="0" fillId="0" borderId="0" xfId="20" applyFont="1" applyAlignment="1">
      <alignment vertical="center" wrapText="1"/>
    </xf>
    <xf numFmtId="0" fontId="0" fillId="0" borderId="0" xfId="20" applyFont="1" applyAlignment="1">
      <alignment horizontal="center" vertical="center" wrapText="1"/>
    </xf>
    <xf numFmtId="43" fontId="7" fillId="0" borderId="0" xfId="1" applyFont="1" applyFill="1" applyBorder="1" applyAlignment="1">
      <alignment horizontal="right" vertical="center"/>
    </xf>
    <xf numFmtId="165" fontId="8" fillId="0" borderId="0" xfId="20" applyNumberFormat="1" applyFont="1" applyAlignment="1">
      <alignment horizontal="right" vertical="center" wrapText="1"/>
    </xf>
    <xf numFmtId="165" fontId="7" fillId="0" borderId="0" xfId="4" applyNumberFormat="1" applyFont="1" applyAlignment="1">
      <alignment vertical="center"/>
    </xf>
    <xf numFmtId="10" fontId="7" fillId="0" borderId="6" xfId="21" applyNumberFormat="1" applyFont="1" applyFill="1" applyBorder="1" applyAlignment="1">
      <alignment horizontal="right" vertical="center" wrapText="1"/>
    </xf>
    <xf numFmtId="0" fontId="48" fillId="2" borderId="0" xfId="19" applyFont="1" applyFill="1" applyAlignment="1">
      <alignment horizontal="right" vertical="center" wrapText="1"/>
    </xf>
    <xf numFmtId="184" fontId="48" fillId="2" borderId="0" xfId="19" applyNumberFormat="1" applyFont="1" applyFill="1" applyAlignment="1">
      <alignment horizontal="right" vertical="center" wrapText="1"/>
    </xf>
    <xf numFmtId="2" fontId="10" fillId="3" borderId="11" xfId="4" applyNumberFormat="1" applyFont="1" applyFill="1" applyBorder="1" applyAlignment="1">
      <alignment vertical="center"/>
    </xf>
    <xf numFmtId="2" fontId="10" fillId="3" borderId="12" xfId="4" applyNumberFormat="1" applyFont="1" applyFill="1" applyBorder="1" applyAlignment="1">
      <alignment vertical="center"/>
    </xf>
    <xf numFmtId="2" fontId="10" fillId="3" borderId="12" xfId="4" applyNumberFormat="1" applyFont="1" applyFill="1" applyBorder="1" applyAlignment="1">
      <alignment horizontal="right" vertical="center"/>
    </xf>
    <xf numFmtId="165" fontId="10" fillId="3" borderId="12" xfId="18" applyNumberFormat="1" applyFont="1" applyFill="1" applyBorder="1" applyAlignment="1">
      <alignment vertical="center"/>
    </xf>
    <xf numFmtId="10" fontId="10" fillId="3" borderId="13" xfId="2" applyNumberFormat="1" applyFont="1" applyFill="1" applyBorder="1" applyAlignment="1">
      <alignment vertical="center"/>
    </xf>
    <xf numFmtId="43" fontId="8" fillId="0" borderId="0" xfId="1" applyFont="1" applyAlignment="1">
      <alignment vertical="center"/>
    </xf>
    <xf numFmtId="0" fontId="8" fillId="0" borderId="0" xfId="0" applyFont="1" applyAlignment="1">
      <alignment horizontal="right" vertical="center"/>
    </xf>
    <xf numFmtId="0" fontId="5" fillId="0" borderId="2" xfId="4" applyFont="1" applyBorder="1" applyAlignment="1">
      <alignment vertical="center" wrapText="1"/>
    </xf>
    <xf numFmtId="0" fontId="5" fillId="0" borderId="2" xfId="4" applyFont="1" applyBorder="1" applyAlignment="1">
      <alignment horizontal="left" vertical="center" wrapText="1"/>
    </xf>
    <xf numFmtId="0" fontId="4" fillId="0" borderId="3" xfId="0" applyFont="1" applyBorder="1" applyAlignment="1">
      <alignment horizontal="center" vertical="center" wrapText="1"/>
    </xf>
    <xf numFmtId="0" fontId="5" fillId="0" borderId="0" xfId="3" applyFont="1" applyAlignment="1">
      <alignment vertical="center" wrapText="1"/>
    </xf>
    <xf numFmtId="0" fontId="5" fillId="0" borderId="0" xfId="3" applyFont="1" applyAlignment="1">
      <alignment horizontal="left" vertical="center" wrapText="1"/>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14" fontId="5" fillId="0" borderId="9" xfId="3" applyNumberFormat="1" applyFont="1" applyBorder="1" applyAlignment="1">
      <alignment vertical="center" wrapText="1"/>
    </xf>
    <xf numFmtId="14" fontId="5" fillId="0" borderId="9" xfId="3" applyNumberFormat="1" applyFont="1" applyBorder="1" applyAlignment="1">
      <alignment horizontal="left" vertical="center" wrapText="1"/>
    </xf>
    <xf numFmtId="0" fontId="4" fillId="0" borderId="10" xfId="0" applyFont="1" applyBorder="1" applyAlignment="1">
      <alignment horizontal="center" vertical="center"/>
    </xf>
    <xf numFmtId="0" fontId="10" fillId="3" borderId="48" xfId="9" applyFont="1" applyFill="1" applyBorder="1" applyAlignment="1">
      <alignment horizontal="center" vertical="center"/>
    </xf>
    <xf numFmtId="183" fontId="10" fillId="3" borderId="49" xfId="9" applyNumberFormat="1" applyFont="1" applyFill="1" applyBorder="1" applyAlignment="1">
      <alignment horizontal="center" vertical="center" wrapText="1"/>
    </xf>
    <xf numFmtId="185" fontId="10" fillId="3" borderId="49" xfId="3" applyNumberFormat="1" applyFont="1" applyFill="1" applyBorder="1" applyAlignment="1">
      <alignment horizontal="center" vertical="center"/>
    </xf>
    <xf numFmtId="185" fontId="10" fillId="3" borderId="50" xfId="3" applyNumberFormat="1" applyFont="1" applyFill="1" applyBorder="1" applyAlignment="1">
      <alignment horizontal="center" vertical="center"/>
    </xf>
    <xf numFmtId="4" fontId="46" fillId="0" borderId="63" xfId="9" applyNumberFormat="1" applyFont="1" applyBorder="1" applyAlignment="1">
      <alignment horizontal="center" vertical="center"/>
    </xf>
    <xf numFmtId="4" fontId="46" fillId="0" borderId="63" xfId="9" applyNumberFormat="1" applyFont="1" applyBorder="1" applyAlignment="1">
      <alignment horizontal="right" vertical="center"/>
    </xf>
    <xf numFmtId="2" fontId="8" fillId="0" borderId="0" xfId="0" applyNumberFormat="1" applyFont="1"/>
    <xf numFmtId="4" fontId="8" fillId="0" borderId="0" xfId="0" applyNumberFormat="1" applyFont="1"/>
    <xf numFmtId="10" fontId="47" fillId="0" borderId="56" xfId="2" applyNumberFormat="1" applyFont="1" applyFill="1" applyBorder="1" applyAlignment="1">
      <alignment horizontal="center" vertical="center"/>
    </xf>
    <xf numFmtId="10" fontId="47" fillId="0" borderId="56" xfId="2" applyNumberFormat="1" applyFont="1" applyFill="1" applyBorder="1" applyAlignment="1">
      <alignment horizontal="right" vertical="center"/>
    </xf>
    <xf numFmtId="10" fontId="8" fillId="0" borderId="0" xfId="0" applyNumberFormat="1" applyFont="1"/>
    <xf numFmtId="0" fontId="10" fillId="3" borderId="5" xfId="9" applyFont="1" applyFill="1" applyBorder="1" applyAlignment="1">
      <alignment horizontal="center" vertical="center"/>
    </xf>
    <xf numFmtId="0" fontId="10" fillId="3" borderId="0" xfId="9" applyFont="1" applyFill="1" applyAlignment="1">
      <alignment horizontal="left" vertical="center" wrapText="1"/>
    </xf>
    <xf numFmtId="0" fontId="10" fillId="3" borderId="0" xfId="9" applyFont="1" applyFill="1" applyAlignment="1">
      <alignment horizontal="right" vertical="center"/>
    </xf>
    <xf numFmtId="4" fontId="10" fillId="3" borderId="0" xfId="2" applyNumberFormat="1" applyFont="1" applyFill="1" applyBorder="1" applyAlignment="1">
      <alignment horizontal="center" vertical="center"/>
    </xf>
    <xf numFmtId="10" fontId="10" fillId="3" borderId="0" xfId="2" applyNumberFormat="1" applyFont="1" applyFill="1" applyBorder="1" applyAlignment="1">
      <alignment horizontal="right" vertical="center"/>
    </xf>
    <xf numFmtId="10" fontId="10" fillId="3" borderId="6" xfId="2" applyNumberFormat="1" applyFont="1" applyFill="1" applyBorder="1" applyAlignment="1">
      <alignment horizontal="right" vertical="center"/>
    </xf>
    <xf numFmtId="49" fontId="16" fillId="3" borderId="5" xfId="9" applyNumberFormat="1" applyFont="1" applyFill="1" applyBorder="1" applyAlignment="1">
      <alignment vertical="center"/>
    </xf>
    <xf numFmtId="49" fontId="16" fillId="3" borderId="0" xfId="9" applyNumberFormat="1" applyFont="1" applyFill="1" applyAlignment="1">
      <alignment vertical="center"/>
    </xf>
    <xf numFmtId="49" fontId="16" fillId="3" borderId="0" xfId="9" applyNumberFormat="1" applyFont="1" applyFill="1" applyAlignment="1">
      <alignment horizontal="right" vertical="center"/>
    </xf>
    <xf numFmtId="10" fontId="16" fillId="3" borderId="0" xfId="2" applyNumberFormat="1" applyFont="1" applyFill="1" applyBorder="1" applyAlignment="1">
      <alignment horizontal="right" vertical="center"/>
    </xf>
    <xf numFmtId="10" fontId="16" fillId="3" borderId="6" xfId="2" applyNumberFormat="1" applyFont="1" applyFill="1" applyBorder="1" applyAlignment="1">
      <alignment horizontal="right" vertical="center"/>
    </xf>
    <xf numFmtId="4" fontId="4" fillId="0" borderId="0" xfId="9" applyNumberFormat="1" applyFont="1" applyAlignment="1">
      <alignment vertical="center"/>
    </xf>
    <xf numFmtId="4" fontId="16" fillId="3" borderId="0" xfId="9" applyNumberFormat="1" applyFont="1" applyFill="1" applyAlignment="1">
      <alignment horizontal="right" vertical="center"/>
    </xf>
    <xf numFmtId="4" fontId="16" fillId="3" borderId="0" xfId="2" applyNumberFormat="1" applyFont="1" applyFill="1" applyBorder="1" applyAlignment="1">
      <alignment horizontal="right" vertical="center"/>
    </xf>
    <xf numFmtId="4" fontId="16" fillId="3" borderId="6" xfId="2" applyNumberFormat="1" applyFont="1" applyFill="1" applyBorder="1" applyAlignment="1">
      <alignment horizontal="right" vertical="center"/>
    </xf>
    <xf numFmtId="49" fontId="10" fillId="3" borderId="0" xfId="9" applyNumberFormat="1" applyFont="1" applyFill="1" applyAlignment="1">
      <alignment horizontal="right" vertical="center"/>
    </xf>
    <xf numFmtId="49" fontId="16" fillId="3" borderId="8" xfId="9" applyNumberFormat="1" applyFont="1" applyFill="1" applyBorder="1" applyAlignment="1">
      <alignment vertical="center"/>
    </xf>
    <xf numFmtId="49" fontId="16" fillId="3" borderId="9" xfId="9" applyNumberFormat="1" applyFont="1" applyFill="1" applyBorder="1" applyAlignment="1">
      <alignment vertical="center"/>
    </xf>
    <xf numFmtId="49" fontId="16" fillId="3" borderId="9" xfId="9" applyNumberFormat="1" applyFont="1" applyFill="1" applyBorder="1" applyAlignment="1">
      <alignment horizontal="right" vertical="center"/>
    </xf>
    <xf numFmtId="49" fontId="10" fillId="3" borderId="9" xfId="9" applyNumberFormat="1" applyFont="1" applyFill="1" applyBorder="1" applyAlignment="1">
      <alignment horizontal="right" vertical="center"/>
    </xf>
    <xf numFmtId="4" fontId="10" fillId="3" borderId="9" xfId="9" applyNumberFormat="1" applyFont="1" applyFill="1" applyBorder="1" applyAlignment="1">
      <alignment horizontal="right" vertical="center"/>
    </xf>
    <xf numFmtId="4" fontId="10" fillId="3" borderId="9" xfId="2" applyNumberFormat="1" applyFont="1" applyFill="1" applyBorder="1" applyAlignment="1">
      <alignment horizontal="right" vertical="center"/>
    </xf>
    <xf numFmtId="4" fontId="10" fillId="3" borderId="10" xfId="9" applyNumberFormat="1" applyFont="1" applyFill="1" applyBorder="1" applyAlignment="1">
      <alignment horizontal="right" vertical="center"/>
    </xf>
    <xf numFmtId="0" fontId="46" fillId="0" borderId="0" xfId="9" applyFont="1"/>
    <xf numFmtId="185" fontId="4" fillId="0" borderId="7" xfId="3" applyNumberFormat="1" applyFont="1" applyBorder="1" applyAlignment="1">
      <alignment horizontal="center" vertical="center"/>
    </xf>
    <xf numFmtId="185" fontId="4" fillId="0" borderId="7" xfId="3" applyNumberFormat="1" applyFont="1" applyBorder="1" applyAlignment="1">
      <alignment horizontal="center" vertical="center" wrapText="1"/>
    </xf>
    <xf numFmtId="183" fontId="4" fillId="0" borderId="15" xfId="9" applyNumberFormat="1" applyFont="1" applyBorder="1" applyAlignment="1">
      <alignment horizontal="center" vertical="center"/>
    </xf>
    <xf numFmtId="185" fontId="4" fillId="0" borderId="14" xfId="3" applyNumberFormat="1" applyFont="1" applyBorder="1" applyAlignment="1">
      <alignment horizontal="center" vertical="center"/>
    </xf>
    <xf numFmtId="0" fontId="8" fillId="0" borderId="15" xfId="0" applyFont="1" applyBorder="1" applyAlignment="1">
      <alignment vertical="center"/>
    </xf>
    <xf numFmtId="0" fontId="47" fillId="2" borderId="15" xfId="9" applyFont="1" applyFill="1" applyBorder="1" applyAlignment="1">
      <alignment horizontal="center" vertical="center" wrapText="1"/>
    </xf>
    <xf numFmtId="1" fontId="47" fillId="0" borderId="1" xfId="9" applyNumberFormat="1" applyFont="1" applyBorder="1" applyAlignment="1">
      <alignment horizontal="center" vertical="center"/>
    </xf>
    <xf numFmtId="0" fontId="7" fillId="0" borderId="2" xfId="9" applyFont="1" applyBorder="1" applyAlignment="1">
      <alignment horizontal="center" vertical="center"/>
    </xf>
    <xf numFmtId="174" fontId="47" fillId="0" borderId="3" xfId="9" applyNumberFormat="1" applyFont="1" applyBorder="1" applyAlignment="1">
      <alignment horizontal="center" vertical="center"/>
    </xf>
    <xf numFmtId="4" fontId="47" fillId="0" borderId="15" xfId="14" applyNumberFormat="1" applyFont="1" applyBorder="1" applyAlignment="1">
      <alignment horizontal="center" vertical="center"/>
    </xf>
    <xf numFmtId="2" fontId="47" fillId="0" borderId="15" xfId="9" applyNumberFormat="1" applyFont="1" applyBorder="1" applyAlignment="1">
      <alignment horizontal="center" vertical="center"/>
    </xf>
    <xf numFmtId="4" fontId="47" fillId="0" borderId="15" xfId="9" applyNumberFormat="1" applyFont="1" applyBorder="1" applyAlignment="1">
      <alignment horizontal="center" vertical="center"/>
    </xf>
    <xf numFmtId="4" fontId="47" fillId="9" borderId="15" xfId="14" applyNumberFormat="1" applyFont="1" applyFill="1" applyBorder="1" applyAlignment="1">
      <alignment horizontal="center" vertical="center"/>
    </xf>
    <xf numFmtId="174" fontId="4" fillId="0" borderId="0" xfId="9" applyNumberFormat="1" applyFont="1" applyAlignment="1">
      <alignment vertical="center"/>
    </xf>
    <xf numFmtId="186" fontId="4" fillId="0" borderId="0" xfId="9" applyNumberFormat="1" applyFont="1" applyAlignment="1">
      <alignment vertical="center"/>
    </xf>
    <xf numFmtId="0" fontId="7" fillId="2" borderId="15" xfId="0" applyFont="1" applyFill="1" applyBorder="1" applyAlignment="1">
      <alignment vertical="center"/>
    </xf>
    <xf numFmtId="174" fontId="8" fillId="0" borderId="0" xfId="0" applyNumberFormat="1" applyFont="1"/>
    <xf numFmtId="1" fontId="47" fillId="2" borderId="1" xfId="9" applyNumberFormat="1" applyFont="1" applyFill="1" applyBorder="1" applyAlignment="1">
      <alignment horizontal="center" vertical="center"/>
    </xf>
    <xf numFmtId="0" fontId="7" fillId="2" borderId="2" xfId="9" applyFont="1" applyFill="1" applyBorder="1" applyAlignment="1">
      <alignment horizontal="center" vertical="center"/>
    </xf>
    <xf numFmtId="174" fontId="47" fillId="2" borderId="3" xfId="9" applyNumberFormat="1" applyFont="1" applyFill="1" applyBorder="1" applyAlignment="1">
      <alignment horizontal="center" vertical="center"/>
    </xf>
    <xf numFmtId="4" fontId="47" fillId="2" borderId="15" xfId="14" applyNumberFormat="1" applyFont="1" applyFill="1" applyBorder="1" applyAlignment="1">
      <alignment horizontal="center" vertical="center"/>
    </xf>
    <xf numFmtId="2" fontId="47" fillId="2" borderId="15" xfId="9" applyNumberFormat="1" applyFont="1" applyFill="1" applyBorder="1" applyAlignment="1">
      <alignment horizontal="center" vertical="center"/>
    </xf>
    <xf numFmtId="4" fontId="10" fillId="3" borderId="15" xfId="9" applyNumberFormat="1" applyFont="1" applyFill="1" applyBorder="1" applyAlignment="1">
      <alignment horizontal="center" vertical="center"/>
    </xf>
    <xf numFmtId="0" fontId="17" fillId="0" borderId="8" xfId="0" applyFont="1" applyBorder="1" applyAlignment="1">
      <alignment horizontal="left" vertical="center"/>
    </xf>
    <xf numFmtId="0" fontId="8" fillId="0" borderId="9" xfId="0" applyFont="1" applyBorder="1" applyAlignment="1">
      <alignment horizontal="left"/>
    </xf>
    <xf numFmtId="0" fontId="8" fillId="0" borderId="9" xfId="0" applyFont="1" applyBorder="1" applyAlignment="1">
      <alignment horizontal="center"/>
    </xf>
    <xf numFmtId="174" fontId="8" fillId="0" borderId="9" xfId="0" applyNumberFormat="1" applyFont="1" applyBorder="1"/>
    <xf numFmtId="0" fontId="8" fillId="0" borderId="0" xfId="0" applyFont="1" applyAlignment="1">
      <alignment horizontal="left"/>
    </xf>
    <xf numFmtId="0" fontId="8" fillId="0" borderId="0" xfId="0" applyFont="1" applyAlignment="1">
      <alignment horizontal="center"/>
    </xf>
    <xf numFmtId="185" fontId="12" fillId="0" borderId="7" xfId="3" applyNumberFormat="1" applyFont="1" applyBorder="1" applyAlignment="1">
      <alignment horizontal="center" vertical="center"/>
    </xf>
    <xf numFmtId="185" fontId="12" fillId="0" borderId="14" xfId="3" applyNumberFormat="1" applyFont="1" applyBorder="1" applyAlignment="1">
      <alignment horizontal="center" vertical="center"/>
    </xf>
    <xf numFmtId="0" fontId="8" fillId="2" borderId="15" xfId="0" applyFont="1" applyFill="1" applyBorder="1" applyAlignment="1">
      <alignment vertical="center"/>
    </xf>
    <xf numFmtId="0" fontId="47" fillId="0" borderId="4" xfId="9" applyFont="1" applyBorder="1" applyAlignment="1">
      <alignment horizontal="center" vertical="center"/>
    </xf>
    <xf numFmtId="0" fontId="8" fillId="2" borderId="4" xfId="0" applyFont="1" applyFill="1" applyBorder="1" applyAlignment="1">
      <alignment horizontal="left" vertical="center"/>
    </xf>
    <xf numFmtId="4" fontId="47" fillId="2" borderId="15" xfId="9" applyNumberFormat="1" applyFont="1" applyFill="1" applyBorder="1" applyAlignment="1">
      <alignment horizontal="center" vertical="center"/>
    </xf>
    <xf numFmtId="4" fontId="0" fillId="0" borderId="0" xfId="0" applyNumberFormat="1"/>
    <xf numFmtId="0" fontId="4" fillId="0" borderId="7" xfId="3" applyFont="1" applyBorder="1" applyAlignment="1">
      <alignment horizontal="center" vertical="center" wrapText="1"/>
    </xf>
    <xf numFmtId="0" fontId="4" fillId="0" borderId="14" xfId="3" applyFont="1" applyBorder="1" applyAlignment="1">
      <alignment horizontal="center" vertical="center"/>
    </xf>
    <xf numFmtId="0" fontId="47" fillId="0" borderId="7" xfId="9" applyFont="1" applyBorder="1" applyAlignment="1">
      <alignment horizontal="center" vertical="center"/>
    </xf>
    <xf numFmtId="0" fontId="8" fillId="0" borderId="15" xfId="0" applyFont="1" applyBorder="1" applyAlignment="1">
      <alignment horizontal="left" vertical="center"/>
    </xf>
    <xf numFmtId="4" fontId="47" fillId="0" borderId="1" xfId="9" applyNumberFormat="1" applyFont="1" applyBorder="1" applyAlignment="1">
      <alignment horizontal="center" vertical="center"/>
    </xf>
    <xf numFmtId="0" fontId="8" fillId="0" borderId="15" xfId="0" applyFont="1" applyBorder="1" applyAlignment="1">
      <alignment horizontal="center"/>
    </xf>
    <xf numFmtId="4" fontId="47" fillId="0" borderId="7" xfId="9" applyNumberFormat="1" applyFont="1" applyBorder="1" applyAlignment="1">
      <alignment horizontal="center" vertical="center"/>
    </xf>
    <xf numFmtId="4" fontId="47" fillId="2" borderId="7" xfId="9" applyNumberFormat="1" applyFont="1" applyFill="1" applyBorder="1" applyAlignment="1">
      <alignment horizontal="center" vertical="center"/>
    </xf>
    <xf numFmtId="4" fontId="7" fillId="0" borderId="7" xfId="9" applyNumberFormat="1" applyFont="1" applyBorder="1" applyAlignment="1">
      <alignment horizontal="center" vertical="center"/>
    </xf>
    <xf numFmtId="0" fontId="10" fillId="3" borderId="15" xfId="9" applyFont="1" applyFill="1" applyBorder="1" applyAlignment="1">
      <alignment horizontal="center" vertical="center"/>
    </xf>
    <xf numFmtId="4" fontId="8" fillId="0" borderId="6" xfId="0" applyNumberFormat="1" applyFont="1" applyBorder="1"/>
    <xf numFmtId="187" fontId="8" fillId="0" borderId="0" xfId="0" applyNumberFormat="1" applyFont="1"/>
    <xf numFmtId="0" fontId="7" fillId="2" borderId="0" xfId="14" applyFont="1" applyFill="1"/>
    <xf numFmtId="0" fontId="7" fillId="0" borderId="0" xfId="14" applyFont="1"/>
    <xf numFmtId="0" fontId="4" fillId="0" borderId="14" xfId="14" applyFont="1" applyBorder="1" applyAlignment="1">
      <alignment horizontal="center" vertical="center" wrapText="1"/>
    </xf>
    <xf numFmtId="0" fontId="4" fillId="0" borderId="4" xfId="14" applyFont="1" applyBorder="1" applyAlignment="1">
      <alignment horizontal="center" vertical="center"/>
    </xf>
    <xf numFmtId="0" fontId="4" fillId="0" borderId="14" xfId="14" applyFont="1" applyBorder="1" applyAlignment="1">
      <alignment horizontal="center" vertical="center"/>
    </xf>
    <xf numFmtId="0" fontId="7" fillId="2" borderId="0" xfId="14" applyFont="1" applyFill="1" applyAlignment="1">
      <alignment vertical="center"/>
    </xf>
    <xf numFmtId="0" fontId="7" fillId="2" borderId="15" xfId="14" applyFont="1" applyFill="1" applyBorder="1" applyAlignment="1">
      <alignment horizontal="center" vertical="center"/>
    </xf>
    <xf numFmtId="0" fontId="47" fillId="9" borderId="15" xfId="14" applyFont="1" applyFill="1" applyBorder="1" applyAlignment="1">
      <alignment horizontal="left" vertical="center"/>
    </xf>
    <xf numFmtId="4" fontId="47" fillId="9" borderId="13" xfId="14" applyNumberFormat="1" applyFont="1" applyFill="1" applyBorder="1" applyAlignment="1">
      <alignment horizontal="center" vertical="center"/>
    </xf>
    <xf numFmtId="4" fontId="10" fillId="10" borderId="15" xfId="14" applyNumberFormat="1" applyFont="1" applyFill="1" applyBorder="1" applyAlignment="1">
      <alignment horizontal="center" vertical="center"/>
    </xf>
    <xf numFmtId="0" fontId="10" fillId="10" borderId="15" xfId="14" applyFont="1" applyFill="1" applyBorder="1" applyAlignment="1">
      <alignment horizontal="center" vertical="center"/>
    </xf>
    <xf numFmtId="0" fontId="7" fillId="3" borderId="9" xfId="14" applyFont="1" applyFill="1" applyBorder="1"/>
    <xf numFmtId="0" fontId="7" fillId="0" borderId="11" xfId="14" applyFont="1" applyBorder="1" applyAlignment="1">
      <alignment horizontal="center" vertical="center"/>
    </xf>
    <xf numFmtId="3" fontId="7" fillId="0" borderId="15" xfId="14" applyNumberFormat="1" applyFont="1" applyBorder="1" applyAlignment="1">
      <alignment horizontal="center" vertical="center"/>
    </xf>
    <xf numFmtId="0" fontId="7" fillId="0" borderId="15" xfId="14" applyFont="1" applyBorder="1" applyAlignment="1">
      <alignment horizontal="center" vertical="center"/>
    </xf>
    <xf numFmtId="0" fontId="47" fillId="9" borderId="11" xfId="14" applyFont="1" applyFill="1" applyBorder="1" applyAlignment="1">
      <alignment horizontal="center" vertical="center"/>
    </xf>
    <xf numFmtId="0" fontId="47" fillId="9" borderId="15" xfId="14" applyFont="1" applyFill="1" applyBorder="1" applyAlignment="1">
      <alignment horizontal="center" vertical="center"/>
    </xf>
    <xf numFmtId="0" fontId="4" fillId="0" borderId="7" xfId="14" applyFont="1" applyBorder="1" applyAlignment="1">
      <alignment horizontal="center" vertical="center"/>
    </xf>
    <xf numFmtId="0" fontId="4" fillId="0" borderId="7" xfId="14" applyFont="1" applyBorder="1" applyAlignment="1">
      <alignment horizontal="center" vertical="center" wrapText="1"/>
    </xf>
    <xf numFmtId="0" fontId="4" fillId="0" borderId="8" xfId="14" applyFont="1" applyBorder="1" applyAlignment="1">
      <alignment horizontal="center" vertical="center"/>
    </xf>
    <xf numFmtId="0" fontId="4" fillId="0" borderId="15" xfId="14" applyFont="1" applyBorder="1" applyAlignment="1">
      <alignment horizontal="center" vertical="center"/>
    </xf>
    <xf numFmtId="0" fontId="47" fillId="9" borderId="11" xfId="14" applyFont="1" applyFill="1" applyBorder="1" applyAlignment="1">
      <alignment horizontal="left" vertical="center"/>
    </xf>
    <xf numFmtId="166" fontId="47" fillId="9" borderId="11" xfId="14" applyNumberFormat="1" applyFont="1" applyFill="1" applyBorder="1" applyAlignment="1">
      <alignment horizontal="center" vertical="center"/>
    </xf>
    <xf numFmtId="4" fontId="7" fillId="2" borderId="15" xfId="14" applyNumberFormat="1" applyFont="1" applyFill="1" applyBorder="1" applyAlignment="1">
      <alignment horizontal="center" vertical="center"/>
    </xf>
    <xf numFmtId="0" fontId="10" fillId="10" borderId="13" xfId="14" applyFont="1" applyFill="1" applyBorder="1" applyAlignment="1">
      <alignment vertical="center"/>
    </xf>
    <xf numFmtId="166" fontId="52" fillId="10" borderId="12" xfId="14" applyNumberFormat="1" applyFont="1" applyFill="1" applyBorder="1" applyAlignment="1">
      <alignment horizontal="center" vertical="center"/>
    </xf>
    <xf numFmtId="0" fontId="4" fillId="2" borderId="64" xfId="3" applyFont="1" applyFill="1" applyBorder="1" applyAlignment="1">
      <alignment horizontal="left" vertical="center"/>
    </xf>
    <xf numFmtId="0" fontId="5" fillId="0" borderId="65" xfId="4" applyFont="1" applyBorder="1" applyAlignment="1">
      <alignment horizontal="left" vertical="center"/>
    </xf>
    <xf numFmtId="0" fontId="8" fillId="0" borderId="66" xfId="0" applyFont="1" applyBorder="1" applyAlignment="1">
      <alignment vertical="center"/>
    </xf>
    <xf numFmtId="0" fontId="4" fillId="2" borderId="67" xfId="3" applyFont="1" applyFill="1" applyBorder="1" applyAlignment="1">
      <alignment horizontal="left" vertical="center"/>
    </xf>
    <xf numFmtId="0" fontId="8" fillId="0" borderId="68" xfId="0" applyFont="1" applyBorder="1" applyAlignment="1">
      <alignment vertical="center"/>
    </xf>
    <xf numFmtId="0" fontId="4" fillId="2" borderId="69" xfId="3" applyFont="1" applyFill="1" applyBorder="1" applyAlignment="1">
      <alignment horizontal="left" vertical="center"/>
    </xf>
    <xf numFmtId="180" fontId="5" fillId="0" borderId="70" xfId="3" applyNumberFormat="1" applyFont="1" applyBorder="1" applyAlignment="1">
      <alignment horizontal="left" vertical="center"/>
    </xf>
    <xf numFmtId="0" fontId="8" fillId="0" borderId="71" xfId="0" applyFont="1" applyBorder="1" applyAlignment="1">
      <alignment vertical="center"/>
    </xf>
    <xf numFmtId="0" fontId="17" fillId="0" borderId="0" xfId="0" applyFont="1" applyAlignment="1">
      <alignment horizontal="right" vertical="center"/>
    </xf>
    <xf numFmtId="188" fontId="8" fillId="0" borderId="0" xfId="0" applyNumberFormat="1" applyFont="1" applyAlignment="1">
      <alignment horizontal="left" vertical="center"/>
    </xf>
    <xf numFmtId="0" fontId="4" fillId="0" borderId="15" xfId="22" applyFont="1" applyBorder="1" applyAlignment="1">
      <alignment horizontal="center" vertical="center"/>
    </xf>
    <xf numFmtId="2" fontId="4" fillId="0" borderId="15" xfId="22" applyNumberFormat="1" applyFont="1" applyBorder="1" applyAlignment="1">
      <alignment horizontal="center" vertical="center"/>
    </xf>
    <xf numFmtId="0" fontId="7" fillId="0" borderId="15" xfId="22" applyFont="1" applyBorder="1" applyAlignment="1">
      <alignment horizontal="center" vertical="center" wrapText="1"/>
    </xf>
    <xf numFmtId="0" fontId="7" fillId="0" borderId="15" xfId="22" applyFont="1" applyBorder="1" applyAlignment="1">
      <alignment horizontal="center" vertical="center"/>
    </xf>
    <xf numFmtId="0" fontId="7" fillId="0" borderId="15" xfId="23" applyFont="1" applyBorder="1" applyAlignment="1">
      <alignment horizontal="center" vertical="center"/>
    </xf>
    <xf numFmtId="2" fontId="7" fillId="0" borderId="15" xfId="24" applyNumberFormat="1" applyFont="1" applyFill="1" applyBorder="1" applyAlignment="1">
      <alignment horizontal="center" vertical="center"/>
    </xf>
    <xf numFmtId="2" fontId="7" fillId="0" borderId="15" xfId="25" applyNumberFormat="1" applyFont="1" applyFill="1" applyBorder="1" applyAlignment="1">
      <alignment horizontal="center" vertical="center"/>
    </xf>
    <xf numFmtId="0" fontId="7" fillId="0" borderId="15" xfId="23" applyFont="1" applyBorder="1" applyAlignment="1">
      <alignment horizontal="center" vertical="center" wrapText="1"/>
    </xf>
    <xf numFmtId="0" fontId="7" fillId="2" borderId="15" xfId="22" applyFont="1" applyFill="1" applyBorder="1" applyAlignment="1">
      <alignment horizontal="center" vertical="center" wrapText="1"/>
    </xf>
    <xf numFmtId="0" fontId="7" fillId="2" borderId="15" xfId="22" applyFont="1" applyFill="1" applyBorder="1" applyAlignment="1">
      <alignment horizontal="center" vertical="center"/>
    </xf>
    <xf numFmtId="0" fontId="8" fillId="2" borderId="15" xfId="23" applyFont="1" applyFill="1" applyBorder="1" applyAlignment="1">
      <alignment horizontal="center" vertical="center"/>
    </xf>
    <xf numFmtId="2" fontId="8" fillId="2" borderId="15" xfId="25" applyNumberFormat="1" applyFont="1" applyFill="1" applyBorder="1" applyAlignment="1">
      <alignment horizontal="center" vertical="center"/>
    </xf>
    <xf numFmtId="0" fontId="7" fillId="2" borderId="0" xfId="22" applyFont="1" applyFill="1" applyAlignment="1">
      <alignment horizontal="left" vertical="center"/>
    </xf>
    <xf numFmtId="0" fontId="7" fillId="0" borderId="7" xfId="23" applyFont="1" applyBorder="1" applyAlignment="1">
      <alignment horizontal="center" vertical="center"/>
    </xf>
    <xf numFmtId="171" fontId="7" fillId="0" borderId="15" xfId="23" applyNumberFormat="1" applyFont="1" applyBorder="1" applyAlignment="1">
      <alignment horizontal="center" vertical="center"/>
    </xf>
    <xf numFmtId="0" fontId="7" fillId="0" borderId="14" xfId="23" applyFont="1" applyBorder="1" applyAlignment="1">
      <alignment horizontal="center" vertical="center"/>
    </xf>
    <xf numFmtId="0" fontId="7" fillId="0" borderId="14" xfId="23" applyFont="1" applyBorder="1" applyAlignment="1">
      <alignment horizontal="center" vertical="center" wrapText="1"/>
    </xf>
    <xf numFmtId="0" fontId="4" fillId="0" borderId="15" xfId="23" applyFont="1" applyBorder="1" applyAlignment="1">
      <alignment horizontal="center" vertical="center"/>
    </xf>
    <xf numFmtId="0" fontId="7" fillId="0" borderId="15" xfId="23" applyFont="1" applyBorder="1" applyAlignment="1">
      <alignment horizontal="left" vertical="center" wrapText="1"/>
    </xf>
    <xf numFmtId="187" fontId="7" fillId="0" borderId="15" xfId="23" applyNumberFormat="1" applyFont="1" applyBorder="1" applyAlignment="1">
      <alignment horizontal="right" vertical="center" wrapText="1"/>
    </xf>
    <xf numFmtId="171" fontId="7" fillId="0" borderId="15" xfId="23" applyNumberFormat="1" applyFont="1" applyBorder="1" applyAlignment="1">
      <alignment horizontal="center" vertical="center" wrapText="1"/>
    </xf>
    <xf numFmtId="4" fontId="7" fillId="2" borderId="15" xfId="23" applyNumberFormat="1" applyFont="1" applyFill="1" applyBorder="1" applyAlignment="1">
      <alignment horizontal="center" vertical="center"/>
    </xf>
    <xf numFmtId="4" fontId="7" fillId="0" borderId="15" xfId="23" applyNumberFormat="1" applyFont="1" applyBorder="1" applyAlignment="1">
      <alignment horizontal="center" vertical="center"/>
    </xf>
    <xf numFmtId="4" fontId="7" fillId="2" borderId="72" xfId="23" applyNumberFormat="1" applyFont="1" applyFill="1" applyBorder="1" applyAlignment="1">
      <alignment vertical="center"/>
    </xf>
    <xf numFmtId="4" fontId="7" fillId="2" borderId="72" xfId="23" applyNumberFormat="1" applyFont="1" applyFill="1" applyBorder="1" applyAlignment="1">
      <alignment horizontal="center" vertical="center"/>
    </xf>
    <xf numFmtId="4" fontId="10" fillId="3" borderId="15" xfId="23" applyNumberFormat="1" applyFont="1" applyFill="1" applyBorder="1" applyAlignment="1">
      <alignment horizontal="right" vertical="center" indent="1"/>
    </xf>
    <xf numFmtId="4" fontId="10" fillId="3" borderId="15" xfId="23" applyNumberFormat="1" applyFont="1" applyFill="1" applyBorder="1" applyAlignment="1">
      <alignment horizontal="center" vertical="center"/>
    </xf>
    <xf numFmtId="0" fontId="4" fillId="0" borderId="8" xfId="23" applyFont="1" applyBorder="1" applyAlignment="1">
      <alignment horizontal="center" vertical="center"/>
    </xf>
    <xf numFmtId="0" fontId="7" fillId="2" borderId="72" xfId="23" applyFont="1" applyFill="1" applyBorder="1" applyAlignment="1">
      <alignment horizontal="center" vertical="center" wrapText="1"/>
    </xf>
    <xf numFmtId="4" fontId="7" fillId="2" borderId="15" xfId="3" applyNumberFormat="1" applyFont="1" applyFill="1" applyBorder="1" applyAlignment="1">
      <alignment horizontal="center" vertical="center"/>
    </xf>
    <xf numFmtId="4" fontId="7" fillId="0" borderId="15" xfId="3" applyNumberFormat="1" applyFont="1" applyBorder="1" applyAlignment="1">
      <alignment horizontal="center" vertical="center"/>
    </xf>
    <xf numFmtId="0" fontId="7" fillId="2" borderId="72" xfId="23" applyFont="1" applyFill="1" applyBorder="1" applyAlignment="1">
      <alignment horizontal="center" vertical="center"/>
    </xf>
    <xf numFmtId="4" fontId="7" fillId="2" borderId="72" xfId="23" applyNumberFormat="1" applyFont="1" applyFill="1" applyBorder="1" applyAlignment="1">
      <alignment vertical="center" wrapText="1"/>
    </xf>
    <xf numFmtId="187" fontId="7" fillId="2" borderId="72" xfId="23" applyNumberFormat="1" applyFont="1" applyFill="1" applyBorder="1" applyAlignment="1">
      <alignment horizontal="center" vertical="center" wrapText="1"/>
    </xf>
    <xf numFmtId="4" fontId="7" fillId="2" borderId="73" xfId="3" applyNumberFormat="1" applyFont="1" applyFill="1" applyBorder="1" applyAlignment="1">
      <alignment horizontal="center" vertical="center"/>
    </xf>
    <xf numFmtId="4" fontId="10" fillId="3" borderId="15" xfId="23" applyNumberFormat="1" applyFont="1" applyFill="1" applyBorder="1" applyAlignment="1">
      <alignment vertical="center"/>
    </xf>
    <xf numFmtId="4" fontId="7" fillId="2" borderId="15" xfId="3" applyNumberFormat="1" applyFont="1" applyFill="1" applyBorder="1" applyAlignment="1">
      <alignment vertical="center"/>
    </xf>
    <xf numFmtId="1" fontId="7" fillId="2" borderId="72" xfId="23" applyNumberFormat="1" applyFont="1" applyFill="1" applyBorder="1" applyAlignment="1">
      <alignment horizontal="center" vertical="center"/>
    </xf>
    <xf numFmtId="4" fontId="7" fillId="2" borderId="73" xfId="3" applyNumberFormat="1" applyFont="1" applyFill="1" applyBorder="1" applyAlignment="1">
      <alignment vertical="center"/>
    </xf>
    <xf numFmtId="4" fontId="7" fillId="0" borderId="15" xfId="3" applyNumberFormat="1" applyFont="1" applyBorder="1" applyAlignment="1">
      <alignment vertical="center"/>
    </xf>
    <xf numFmtId="4" fontId="7" fillId="0" borderId="74" xfId="3" applyNumberFormat="1" applyFont="1" applyBorder="1" applyAlignment="1">
      <alignment vertical="center"/>
    </xf>
    <xf numFmtId="171" fontId="7" fillId="2" borderId="0" xfId="14" applyNumberFormat="1" applyFont="1" applyFill="1"/>
    <xf numFmtId="0" fontId="8" fillId="0" borderId="0" xfId="26" applyFont="1"/>
    <xf numFmtId="0" fontId="54" fillId="2" borderId="11" xfId="9" applyFont="1" applyFill="1" applyBorder="1" applyAlignment="1">
      <alignment horizontal="center" vertical="center"/>
    </xf>
    <xf numFmtId="0" fontId="54" fillId="2" borderId="15" xfId="9" applyFont="1" applyFill="1" applyBorder="1" applyAlignment="1">
      <alignment horizontal="center" vertical="center"/>
    </xf>
    <xf numFmtId="0" fontId="8" fillId="0" borderId="15" xfId="26" applyFont="1" applyBorder="1"/>
    <xf numFmtId="0" fontId="8" fillId="0" borderId="6" xfId="26" applyFont="1" applyBorder="1"/>
    <xf numFmtId="189" fontId="7" fillId="0" borderId="15" xfId="9" applyNumberFormat="1" applyFont="1" applyBorder="1" applyAlignment="1">
      <alignment horizontal="center" vertical="center"/>
    </xf>
    <xf numFmtId="189" fontId="7" fillId="0" borderId="15" xfId="26" applyNumberFormat="1" applyFont="1" applyBorder="1" applyAlignment="1">
      <alignment horizontal="center"/>
    </xf>
    <xf numFmtId="189" fontId="4" fillId="0" borderId="15" xfId="26" applyNumberFormat="1" applyFont="1" applyBorder="1" applyAlignment="1">
      <alignment horizontal="center"/>
    </xf>
    <xf numFmtId="0" fontId="20" fillId="3" borderId="11" xfId="9" applyFont="1" applyFill="1" applyBorder="1" applyAlignment="1">
      <alignment vertical="center"/>
    </xf>
    <xf numFmtId="0" fontId="20" fillId="3" borderId="12" xfId="9" applyFont="1" applyFill="1" applyBorder="1" applyAlignment="1">
      <alignment vertical="center"/>
    </xf>
    <xf numFmtId="190" fontId="10" fillId="3" borderId="12" xfId="9" applyNumberFormat="1" applyFont="1" applyFill="1" applyBorder="1" applyAlignment="1">
      <alignment vertical="center"/>
    </xf>
    <xf numFmtId="0" fontId="55" fillId="0" borderId="0" xfId="26" applyFont="1"/>
    <xf numFmtId="0" fontId="55" fillId="0" borderId="0" xfId="0" applyFont="1"/>
    <xf numFmtId="2" fontId="12" fillId="2" borderId="1" xfId="22" applyNumberFormat="1" applyFont="1" applyFill="1" applyBorder="1" applyAlignment="1">
      <alignment horizontal="center" vertical="center" wrapText="1"/>
    </xf>
    <xf numFmtId="2" fontId="12" fillId="2" borderId="2" xfId="22" applyNumberFormat="1" applyFont="1" applyFill="1" applyBorder="1" applyAlignment="1">
      <alignment horizontal="center" vertical="center" wrapText="1"/>
    </xf>
    <xf numFmtId="2" fontId="12" fillId="2" borderId="3" xfId="22" applyNumberFormat="1" applyFont="1" applyFill="1" applyBorder="1" applyAlignment="1">
      <alignment horizontal="center" vertical="center" wrapText="1"/>
    </xf>
    <xf numFmtId="2" fontId="12" fillId="2" borderId="1" xfId="22" applyNumberFormat="1" applyFont="1" applyFill="1" applyBorder="1" applyAlignment="1">
      <alignment vertical="center" wrapText="1"/>
    </xf>
    <xf numFmtId="2" fontId="12" fillId="2" borderId="2" xfId="22" applyNumberFormat="1" applyFont="1" applyFill="1" applyBorder="1" applyAlignment="1">
      <alignment vertical="center" wrapText="1"/>
    </xf>
    <xf numFmtId="2" fontId="12" fillId="0" borderId="2" xfId="22" applyNumberFormat="1" applyFont="1" applyBorder="1" applyAlignment="1">
      <alignment vertical="center" wrapText="1"/>
    </xf>
    <xf numFmtId="2" fontId="12" fillId="2" borderId="3" xfId="22" applyNumberFormat="1" applyFont="1" applyFill="1" applyBorder="1" applyAlignment="1">
      <alignment vertical="center" wrapText="1"/>
    </xf>
    <xf numFmtId="2" fontId="12" fillId="0" borderId="1" xfId="22" applyNumberFormat="1" applyFont="1" applyBorder="1" applyAlignment="1">
      <alignment vertical="center" wrapText="1"/>
    </xf>
    <xf numFmtId="0" fontId="3" fillId="2" borderId="0" xfId="22" applyFill="1" applyAlignment="1">
      <alignment vertical="center"/>
    </xf>
    <xf numFmtId="2" fontId="12" fillId="2" borderId="8" xfId="22" applyNumberFormat="1" applyFont="1" applyFill="1" applyBorder="1" applyAlignment="1">
      <alignment horizontal="center" vertical="center" wrapText="1"/>
    </xf>
    <xf numFmtId="2" fontId="12" fillId="2" borderId="9" xfId="22" applyNumberFormat="1" applyFont="1" applyFill="1" applyBorder="1" applyAlignment="1">
      <alignment horizontal="center" vertical="center" wrapText="1"/>
    </xf>
    <xf numFmtId="2" fontId="12" fillId="2" borderId="10" xfId="22" applyNumberFormat="1" applyFont="1" applyFill="1" applyBorder="1" applyAlignment="1">
      <alignment horizontal="center" vertical="center" wrapText="1"/>
    </xf>
    <xf numFmtId="2" fontId="12" fillId="2" borderId="8" xfId="22" applyNumberFormat="1" applyFont="1" applyFill="1" applyBorder="1" applyAlignment="1">
      <alignment vertical="center" wrapText="1"/>
    </xf>
    <xf numFmtId="2" fontId="12" fillId="2" borderId="9" xfId="22" applyNumberFormat="1" applyFont="1" applyFill="1" applyBorder="1" applyAlignment="1">
      <alignment vertical="center" wrapText="1"/>
    </xf>
    <xf numFmtId="2" fontId="12" fillId="0" borderId="9" xfId="22" applyNumberFormat="1" applyFont="1" applyBorder="1" applyAlignment="1">
      <alignment vertical="center" wrapText="1"/>
    </xf>
    <xf numFmtId="2" fontId="12" fillId="2" borderId="10" xfId="22" applyNumberFormat="1" applyFont="1" applyFill="1" applyBorder="1" applyAlignment="1">
      <alignment vertical="center" wrapText="1"/>
    </xf>
    <xf numFmtId="2" fontId="12" fillId="0" borderId="8" xfId="22" applyNumberFormat="1" applyFont="1" applyBorder="1" applyAlignment="1">
      <alignment vertical="center" wrapText="1"/>
    </xf>
    <xf numFmtId="0" fontId="12" fillId="11" borderId="15" xfId="22" applyFont="1" applyFill="1" applyBorder="1" applyAlignment="1">
      <alignment horizontal="center" vertical="center"/>
    </xf>
    <xf numFmtId="0" fontId="12" fillId="11" borderId="15" xfId="22" applyFont="1" applyFill="1" applyBorder="1" applyAlignment="1">
      <alignment horizontal="center" vertical="center" wrapText="1"/>
    </xf>
    <xf numFmtId="0" fontId="57" fillId="11" borderId="15" xfId="23" applyFont="1" applyFill="1" applyBorder="1" applyAlignment="1">
      <alignment horizontal="center" vertical="center"/>
    </xf>
    <xf numFmtId="4" fontId="57" fillId="11" borderId="15" xfId="24" applyNumberFormat="1" applyFont="1" applyFill="1" applyBorder="1" applyAlignment="1">
      <alignment horizontal="center" vertical="center"/>
    </xf>
    <xf numFmtId="4" fontId="57" fillId="11" borderId="15" xfId="24" applyNumberFormat="1" applyFont="1" applyFill="1" applyBorder="1" applyAlignment="1">
      <alignment horizontal="center" vertical="center" wrapText="1"/>
    </xf>
    <xf numFmtId="4" fontId="12" fillId="11" borderId="11" xfId="24" applyNumberFormat="1" applyFont="1" applyFill="1" applyBorder="1" applyAlignment="1">
      <alignment horizontal="center" vertical="center"/>
    </xf>
    <xf numFmtId="0" fontId="3" fillId="0" borderId="15" xfId="22" applyBorder="1" applyAlignment="1">
      <alignment horizontal="center" vertical="center" wrapText="1"/>
    </xf>
    <xf numFmtId="0" fontId="3" fillId="0" borderId="15" xfId="22" applyBorder="1" applyAlignment="1">
      <alignment horizontal="left" vertical="center" wrapText="1"/>
    </xf>
    <xf numFmtId="2" fontId="3" fillId="6" borderId="15" xfId="22" applyNumberFormat="1" applyFill="1" applyBorder="1" applyAlignment="1">
      <alignment horizontal="center" vertical="center"/>
    </xf>
    <xf numFmtId="2" fontId="55" fillId="0" borderId="15" xfId="23" applyNumberFormat="1" applyFont="1" applyBorder="1" applyAlignment="1">
      <alignment horizontal="center" vertical="center"/>
    </xf>
    <xf numFmtId="2" fontId="3" fillId="0" borderId="15" xfId="22" applyNumberFormat="1" applyBorder="1" applyAlignment="1">
      <alignment horizontal="center" vertical="center" wrapText="1"/>
    </xf>
    <xf numFmtId="4" fontId="55" fillId="6" borderId="15" xfId="24" applyNumberFormat="1" applyFont="1" applyFill="1" applyBorder="1" applyAlignment="1">
      <alignment horizontal="center" vertical="center"/>
    </xf>
    <xf numFmtId="4" fontId="55" fillId="0" borderId="15" xfId="24" applyNumberFormat="1" applyFont="1" applyFill="1" applyBorder="1" applyAlignment="1">
      <alignment horizontal="center" vertical="center"/>
    </xf>
    <xf numFmtId="4" fontId="3" fillId="0" borderId="15" xfId="24" applyNumberFormat="1" applyFont="1" applyFill="1" applyBorder="1" applyAlignment="1">
      <alignment horizontal="center" vertical="center"/>
    </xf>
    <xf numFmtId="4" fontId="3" fillId="0" borderId="0" xfId="22" applyNumberFormat="1" applyAlignment="1">
      <alignment vertical="center"/>
    </xf>
    <xf numFmtId="0" fontId="3" fillId="0" borderId="0" xfId="22" applyAlignment="1">
      <alignment vertical="center"/>
    </xf>
    <xf numFmtId="4" fontId="30" fillId="11" borderId="15" xfId="24" applyNumberFormat="1" applyFont="1" applyFill="1" applyBorder="1" applyAlignment="1">
      <alignment horizontal="center" vertical="center"/>
    </xf>
    <xf numFmtId="0" fontId="58" fillId="11" borderId="15" xfId="22" applyFont="1" applyFill="1" applyBorder="1" applyAlignment="1">
      <alignment vertical="center" wrapText="1"/>
    </xf>
    <xf numFmtId="0" fontId="30" fillId="11" borderId="15" xfId="23" applyFont="1" applyFill="1" applyBorder="1" applyAlignment="1">
      <alignment horizontal="center" vertical="center"/>
    </xf>
    <xf numFmtId="4" fontId="58" fillId="11" borderId="15" xfId="24" applyNumberFormat="1" applyFont="1" applyFill="1" applyBorder="1" applyAlignment="1">
      <alignment horizontal="center" vertical="center"/>
    </xf>
    <xf numFmtId="4" fontId="43" fillId="11" borderId="15" xfId="24" applyNumberFormat="1" applyFont="1" applyFill="1" applyBorder="1" applyAlignment="1">
      <alignment horizontal="center" vertical="center"/>
    </xf>
    <xf numFmtId="0" fontId="58" fillId="0" borderId="0" xfId="22" applyFont="1" applyAlignment="1">
      <alignment horizontal="right" vertical="center" wrapText="1"/>
    </xf>
    <xf numFmtId="0" fontId="58" fillId="0" borderId="0" xfId="22" applyFont="1" applyAlignment="1">
      <alignment vertical="center" wrapText="1"/>
    </xf>
    <xf numFmtId="0" fontId="30" fillId="0" borderId="0" xfId="23" applyFont="1" applyAlignment="1">
      <alignment horizontal="center" vertical="center"/>
    </xf>
    <xf numFmtId="4" fontId="43" fillId="0" borderId="0" xfId="24" applyNumberFormat="1" applyFont="1" applyFill="1" applyBorder="1" applyAlignment="1">
      <alignment horizontal="center" vertical="center"/>
    </xf>
    <xf numFmtId="4" fontId="30" fillId="0" borderId="0" xfId="24" applyNumberFormat="1" applyFont="1" applyFill="1" applyBorder="1" applyAlignment="1">
      <alignment horizontal="center" vertical="center"/>
    </xf>
    <xf numFmtId="4" fontId="58" fillId="0" borderId="0" xfId="24" applyNumberFormat="1" applyFont="1" applyFill="1" applyBorder="1" applyAlignment="1">
      <alignment horizontal="center" vertical="center"/>
    </xf>
    <xf numFmtId="0" fontId="57" fillId="0" borderId="15" xfId="0" applyFont="1" applyBorder="1" applyAlignment="1">
      <alignment horizontal="center"/>
    </xf>
    <xf numFmtId="2" fontId="23" fillId="2" borderId="0" xfId="22" applyNumberFormat="1" applyFont="1" applyFill="1" applyAlignment="1">
      <alignment vertical="center"/>
    </xf>
    <xf numFmtId="0" fontId="0" fillId="0" borderId="0" xfId="0" applyAlignment="1">
      <alignment horizontal="center"/>
    </xf>
    <xf numFmtId="0" fontId="3" fillId="2" borderId="0" xfId="22" applyFill="1" applyAlignment="1">
      <alignment vertical="center" wrapText="1"/>
    </xf>
    <xf numFmtId="0" fontId="3" fillId="2" borderId="15" xfId="22" applyFill="1" applyBorder="1" applyAlignment="1">
      <alignment horizontal="left" vertical="center"/>
    </xf>
    <xf numFmtId="0" fontId="3" fillId="2" borderId="15" xfId="22" applyFill="1" applyBorder="1" applyAlignment="1">
      <alignment horizontal="center" vertical="center"/>
    </xf>
    <xf numFmtId="4" fontId="3" fillId="2" borderId="15" xfId="22" applyNumberFormat="1" applyFill="1" applyBorder="1" applyAlignment="1">
      <alignment horizontal="center" vertical="center"/>
    </xf>
    <xf numFmtId="2" fontId="12" fillId="0" borderId="15" xfId="22" applyNumberFormat="1" applyFont="1" applyBorder="1" applyAlignment="1">
      <alignment horizontal="left" vertical="center"/>
    </xf>
    <xf numFmtId="2" fontId="3" fillId="2" borderId="15" xfId="22" applyNumberFormat="1" applyFill="1" applyBorder="1" applyAlignment="1">
      <alignment horizontal="left" vertical="center"/>
    </xf>
    <xf numFmtId="2" fontId="3" fillId="2" borderId="0" xfId="22" applyNumberFormat="1" applyFill="1" applyAlignment="1">
      <alignment vertical="center"/>
    </xf>
    <xf numFmtId="2" fontId="3" fillId="0" borderId="0" xfId="22" applyNumberFormat="1" applyAlignment="1">
      <alignment vertical="center"/>
    </xf>
    <xf numFmtId="0" fontId="3" fillId="2" borderId="0" xfId="22" applyFill="1" applyAlignment="1">
      <alignment horizontal="center" vertical="center"/>
    </xf>
    <xf numFmtId="4" fontId="3" fillId="2" borderId="0" xfId="22" applyNumberFormat="1" applyFill="1" applyAlignment="1">
      <alignment horizontal="center" vertical="center"/>
    </xf>
    <xf numFmtId="174" fontId="3" fillId="2" borderId="0" xfId="22" applyNumberFormat="1" applyFill="1" applyAlignment="1">
      <alignment vertical="center"/>
    </xf>
    <xf numFmtId="0" fontId="23" fillId="2" borderId="0" xfId="22" applyFont="1" applyFill="1" applyAlignment="1">
      <alignment vertical="center" wrapText="1"/>
    </xf>
    <xf numFmtId="0" fontId="23" fillId="2" borderId="0" xfId="22" applyFont="1" applyFill="1" applyAlignment="1">
      <alignment horizontal="center" vertical="center"/>
    </xf>
    <xf numFmtId="2" fontId="23" fillId="0" borderId="0" xfId="22" applyNumberFormat="1" applyFont="1" applyAlignment="1">
      <alignment vertical="center"/>
    </xf>
    <xf numFmtId="0" fontId="23" fillId="2" borderId="0" xfId="22" applyFont="1" applyFill="1" applyAlignment="1">
      <alignment vertical="center"/>
    </xf>
    <xf numFmtId="0" fontId="7" fillId="0" borderId="0" xfId="0" applyFont="1"/>
    <xf numFmtId="0" fontId="4" fillId="12" borderId="0" xfId="9" applyFont="1" applyFill="1"/>
    <xf numFmtId="0" fontId="4" fillId="0" borderId="76" xfId="27" applyFont="1" applyBorder="1" applyAlignment="1" applyProtection="1">
      <alignment horizontal="center" vertical="center" wrapText="1"/>
      <protection locked="0"/>
    </xf>
    <xf numFmtId="185" fontId="4" fillId="0" borderId="77" xfId="3" applyNumberFormat="1" applyFont="1" applyBorder="1" applyAlignment="1">
      <alignment horizontal="center" vertical="center" wrapText="1"/>
    </xf>
    <xf numFmtId="0" fontId="4" fillId="0" borderId="77" xfId="27" applyFont="1" applyBorder="1" applyAlignment="1" applyProtection="1">
      <alignment horizontal="center" vertical="center" wrapText="1"/>
      <protection locked="0"/>
    </xf>
    <xf numFmtId="2" fontId="4" fillId="0" borderId="77" xfId="27" applyNumberFormat="1" applyFont="1" applyBorder="1" applyAlignment="1" applyProtection="1">
      <alignment horizontal="center" vertical="center" wrapText="1"/>
      <protection locked="0"/>
    </xf>
    <xf numFmtId="171" fontId="4" fillId="0" borderId="77" xfId="27" applyNumberFormat="1" applyFont="1" applyBorder="1" applyAlignment="1" applyProtection="1">
      <alignment horizontal="center" vertical="center" wrapText="1"/>
      <protection locked="0"/>
    </xf>
    <xf numFmtId="174" fontId="4" fillId="0" borderId="77" xfId="27" applyNumberFormat="1" applyFont="1" applyBorder="1" applyAlignment="1" applyProtection="1">
      <alignment horizontal="center" vertical="center" wrapText="1"/>
      <protection locked="0"/>
    </xf>
    <xf numFmtId="2" fontId="4" fillId="0" borderId="78" xfId="27" applyNumberFormat="1" applyFont="1" applyBorder="1" applyAlignment="1" applyProtection="1">
      <alignment horizontal="center" vertical="center" wrapText="1"/>
      <protection locked="0"/>
    </xf>
    <xf numFmtId="185" fontId="4" fillId="0" borderId="0" xfId="3" applyNumberFormat="1" applyFont="1" applyAlignment="1">
      <alignment horizontal="center" vertical="center" wrapText="1"/>
    </xf>
    <xf numFmtId="0" fontId="7" fillId="0" borderId="15" xfId="0" applyFont="1" applyBorder="1"/>
    <xf numFmtId="0" fontId="7" fillId="2" borderId="79" xfId="0" applyFont="1" applyFill="1" applyBorder="1" applyAlignment="1">
      <alignment horizontal="center" vertical="center"/>
    </xf>
    <xf numFmtId="0" fontId="8" fillId="0" borderId="15" xfId="0" applyFont="1" applyBorder="1" applyAlignment="1" applyProtection="1">
      <alignment horizontal="center" vertical="top"/>
      <protection locked="0"/>
    </xf>
    <xf numFmtId="4" fontId="7" fillId="2" borderId="15" xfId="0" applyNumberFormat="1" applyFont="1" applyFill="1" applyBorder="1" applyAlignment="1">
      <alignment horizontal="center" vertical="center" wrapText="1"/>
    </xf>
    <xf numFmtId="2" fontId="7" fillId="0" borderId="15" xfId="0" applyNumberFormat="1" applyFont="1" applyBorder="1" applyAlignment="1">
      <alignment horizontal="center" vertical="center" wrapText="1"/>
    </xf>
    <xf numFmtId="0" fontId="7" fillId="0" borderId="15" xfId="0" applyFont="1" applyBorder="1" applyAlignment="1">
      <alignment horizontal="center"/>
    </xf>
    <xf numFmtId="2" fontId="7" fillId="2" borderId="15" xfId="0" applyNumberFormat="1" applyFont="1" applyFill="1" applyBorder="1" applyAlignment="1">
      <alignment horizontal="center" vertical="center" wrapText="1"/>
    </xf>
    <xf numFmtId="4" fontId="7" fillId="2" borderId="80" xfId="0" applyNumberFormat="1" applyFont="1" applyFill="1" applyBorder="1" applyAlignment="1">
      <alignment horizontal="center" vertical="center" wrapText="1"/>
    </xf>
    <xf numFmtId="4" fontId="7" fillId="0" borderId="0" xfId="0" applyNumberFormat="1" applyFont="1"/>
    <xf numFmtId="171" fontId="7" fillId="0" borderId="15" xfId="0" applyNumberFormat="1" applyFont="1" applyBorder="1"/>
    <xf numFmtId="4" fontId="10" fillId="3" borderId="14" xfId="0" applyNumberFormat="1" applyFont="1" applyFill="1" applyBorder="1" applyAlignment="1">
      <alignment vertical="center" wrapText="1"/>
    </xf>
    <xf numFmtId="4" fontId="7" fillId="0" borderId="15" xfId="0" applyNumberFormat="1" applyFont="1" applyBorder="1"/>
    <xf numFmtId="4" fontId="4" fillId="0" borderId="15" xfId="0" applyNumberFormat="1" applyFont="1" applyBorder="1" applyAlignment="1">
      <alignment horizontal="center" vertical="center" wrapText="1"/>
    </xf>
    <xf numFmtId="4" fontId="4" fillId="0" borderId="0" xfId="0" applyNumberFormat="1" applyFont="1" applyAlignment="1">
      <alignment horizontal="center" vertical="center" wrapText="1"/>
    </xf>
    <xf numFmtId="4" fontId="10" fillId="3" borderId="15" xfId="0" applyNumberFormat="1" applyFont="1" applyFill="1" applyBorder="1" applyAlignment="1">
      <alignment horizontal="right" vertical="center" wrapText="1"/>
    </xf>
    <xf numFmtId="4" fontId="10" fillId="3" borderId="15" xfId="0" applyNumberFormat="1" applyFont="1" applyFill="1" applyBorder="1" applyAlignment="1">
      <alignment horizontal="center" vertical="center" wrapText="1"/>
    </xf>
    <xf numFmtId="4" fontId="10" fillId="3" borderId="0" xfId="0" applyNumberFormat="1" applyFont="1" applyFill="1" applyAlignment="1">
      <alignment horizontal="center" vertical="center" wrapText="1"/>
    </xf>
    <xf numFmtId="2" fontId="4" fillId="0" borderId="0" xfId="27" applyNumberFormat="1" applyFont="1" applyAlignment="1" applyProtection="1">
      <alignment horizontal="center" vertical="center" wrapText="1"/>
      <protection locked="0"/>
    </xf>
    <xf numFmtId="0" fontId="4" fillId="0" borderId="15" xfId="27" applyFont="1" applyBorder="1" applyAlignment="1" applyProtection="1">
      <alignment horizontal="center" vertical="center" wrapText="1"/>
      <protection locked="0"/>
    </xf>
    <xf numFmtId="2" fontId="4" fillId="0" borderId="15" xfId="27" applyNumberFormat="1" applyFont="1" applyBorder="1" applyAlignment="1" applyProtection="1">
      <alignment horizontal="center" vertical="center" wrapText="1"/>
      <protection locked="0"/>
    </xf>
    <xf numFmtId="171" fontId="4" fillId="0" borderId="15" xfId="27" applyNumberFormat="1" applyFont="1" applyBorder="1" applyAlignment="1" applyProtection="1">
      <alignment horizontal="center" vertical="center" wrapText="1"/>
      <protection locked="0"/>
    </xf>
    <xf numFmtId="174" fontId="4" fillId="0" borderId="15" xfId="27" applyNumberFormat="1" applyFont="1" applyBorder="1" applyAlignment="1" applyProtection="1">
      <alignment horizontal="center" vertical="center" wrapText="1"/>
      <protection locked="0"/>
    </xf>
    <xf numFmtId="4" fontId="7" fillId="0" borderId="15" xfId="0" applyNumberFormat="1" applyFont="1" applyBorder="1" applyAlignment="1">
      <alignment horizontal="center" vertical="center" wrapText="1"/>
    </xf>
    <xf numFmtId="4" fontId="7" fillId="0" borderId="0" xfId="0" applyNumberFormat="1" applyFont="1" applyAlignment="1">
      <alignment horizontal="center" vertical="center" wrapText="1"/>
    </xf>
    <xf numFmtId="2" fontId="10" fillId="3" borderId="15" xfId="0" applyNumberFormat="1" applyFont="1" applyFill="1" applyBorder="1" applyAlignment="1">
      <alignment horizontal="center" vertical="center" wrapText="1"/>
    </xf>
    <xf numFmtId="2" fontId="7" fillId="0" borderId="0" xfId="0" applyNumberFormat="1" applyFont="1" applyAlignment="1">
      <alignment horizontal="center" vertical="center" wrapText="1"/>
    </xf>
    <xf numFmtId="4" fontId="10" fillId="13" borderId="15" xfId="0" applyNumberFormat="1" applyFont="1" applyFill="1" applyBorder="1" applyAlignment="1">
      <alignment horizontal="center" vertical="center" wrapText="1"/>
    </xf>
    <xf numFmtId="0" fontId="7" fillId="2" borderId="15" xfId="0" applyFont="1" applyFill="1" applyBorder="1" applyAlignment="1">
      <alignment horizontal="center" vertical="center"/>
    </xf>
    <xf numFmtId="2" fontId="7" fillId="0" borderId="15" xfId="0" applyNumberFormat="1" applyFont="1" applyBorder="1"/>
    <xf numFmtId="4" fontId="10" fillId="3" borderId="11" xfId="0" applyNumberFormat="1" applyFont="1" applyFill="1" applyBorder="1" applyAlignment="1">
      <alignment vertical="center" wrapText="1"/>
    </xf>
    <xf numFmtId="4" fontId="10" fillId="3" borderId="12" xfId="0" applyNumberFormat="1" applyFont="1" applyFill="1" applyBorder="1" applyAlignment="1">
      <alignment vertical="center" wrapText="1"/>
    </xf>
    <xf numFmtId="3" fontId="10" fillId="3" borderId="15" xfId="0" applyNumberFormat="1" applyFont="1" applyFill="1" applyBorder="1" applyAlignment="1">
      <alignment horizontal="center" vertical="center" wrapText="1"/>
    </xf>
    <xf numFmtId="4" fontId="4" fillId="0" borderId="0" xfId="0" applyNumberFormat="1" applyFont="1" applyAlignment="1">
      <alignment vertical="center"/>
    </xf>
    <xf numFmtId="4" fontId="4" fillId="0" borderId="0" xfId="0" applyNumberFormat="1" applyFont="1" applyAlignment="1">
      <alignment vertical="center" wrapText="1"/>
    </xf>
    <xf numFmtId="4" fontId="4" fillId="0" borderId="14" xfId="0" applyNumberFormat="1" applyFont="1" applyBorder="1" applyAlignment="1">
      <alignment horizontal="right" vertical="center" wrapText="1"/>
    </xf>
    <xf numFmtId="4" fontId="4" fillId="0" borderId="14" xfId="0" applyNumberFormat="1" applyFont="1" applyBorder="1" applyAlignment="1">
      <alignment horizontal="center" vertical="center" wrapText="1"/>
    </xf>
    <xf numFmtId="0" fontId="4" fillId="12" borderId="15" xfId="9" applyFont="1" applyFill="1" applyBorder="1"/>
    <xf numFmtId="0" fontId="4" fillId="0" borderId="79" xfId="27" applyFont="1" applyBorder="1" applyAlignment="1" applyProtection="1">
      <alignment horizontal="center" vertical="center" wrapText="1"/>
      <protection locked="0"/>
    </xf>
    <xf numFmtId="2" fontId="4" fillId="0" borderId="80" xfId="27" applyNumberFormat="1" applyFont="1" applyBorder="1" applyAlignment="1" applyProtection="1">
      <alignment horizontal="center" vertical="center" wrapText="1"/>
      <protection locked="0"/>
    </xf>
    <xf numFmtId="2" fontId="7" fillId="0" borderId="79" xfId="0" applyNumberFormat="1" applyFont="1" applyBorder="1" applyAlignment="1">
      <alignment horizontal="center" vertical="center" wrapText="1"/>
    </xf>
    <xf numFmtId="2" fontId="7" fillId="0" borderId="80" xfId="0" applyNumberFormat="1" applyFont="1" applyBorder="1" applyAlignment="1">
      <alignment horizontal="center" vertical="center" wrapText="1"/>
    </xf>
    <xf numFmtId="4" fontId="10" fillId="3" borderId="85" xfId="0" applyNumberFormat="1" applyFont="1" applyFill="1" applyBorder="1" applyAlignment="1">
      <alignment horizontal="center" vertical="center"/>
    </xf>
    <xf numFmtId="4" fontId="10" fillId="3" borderId="85" xfId="0" applyNumberFormat="1" applyFont="1" applyFill="1" applyBorder="1" applyAlignment="1">
      <alignment horizontal="center" vertical="center" wrapText="1"/>
    </xf>
    <xf numFmtId="4" fontId="10" fillId="3" borderId="86" xfId="0" applyNumberFormat="1" applyFont="1" applyFill="1" applyBorder="1" applyAlignment="1">
      <alignment horizontal="center" vertical="center" wrapText="1"/>
    </xf>
    <xf numFmtId="0" fontId="4" fillId="0" borderId="14" xfId="27" applyFont="1" applyBorder="1" applyAlignment="1" applyProtection="1">
      <alignment horizontal="center" vertical="center" wrapText="1"/>
      <protection locked="0"/>
    </xf>
    <xf numFmtId="0" fontId="4" fillId="2" borderId="14" xfId="27" applyFont="1" applyFill="1" applyBorder="1" applyAlignment="1" applyProtection="1">
      <alignment horizontal="center" vertical="center" wrapText="1"/>
      <protection locked="0"/>
    </xf>
    <xf numFmtId="0" fontId="58" fillId="2" borderId="0" xfId="27" applyFont="1" applyFill="1" applyAlignment="1" applyProtection="1">
      <alignment horizontal="center" vertical="center" wrapText="1"/>
      <protection locked="0"/>
    </xf>
    <xf numFmtId="0" fontId="4" fillId="0" borderId="0" xfId="0" applyFont="1"/>
    <xf numFmtId="0" fontId="7" fillId="2" borderId="15" xfId="0" applyFont="1" applyFill="1" applyBorder="1" applyAlignment="1">
      <alignment horizontal="center" vertical="center" wrapText="1"/>
    </xf>
    <xf numFmtId="0" fontId="34" fillId="2" borderId="0" xfId="0" applyFont="1" applyFill="1" applyAlignment="1">
      <alignment horizontal="center" vertical="center" wrapText="1"/>
    </xf>
    <xf numFmtId="0" fontId="46" fillId="0" borderId="0" xfId="9" applyFont="1" applyAlignment="1">
      <alignment vertical="center"/>
    </xf>
    <xf numFmtId="0" fontId="46" fillId="12" borderId="0" xfId="9" applyFont="1" applyFill="1"/>
    <xf numFmtId="185" fontId="4" fillId="0" borderId="76" xfId="3" applyNumberFormat="1" applyFont="1" applyBorder="1" applyAlignment="1">
      <alignment horizontal="center" vertical="center" wrapText="1"/>
    </xf>
    <xf numFmtId="185" fontId="4" fillId="0" borderId="78" xfId="3" applyNumberFormat="1" applyFont="1" applyBorder="1" applyAlignment="1">
      <alignment horizontal="center" vertical="center" wrapText="1"/>
    </xf>
    <xf numFmtId="185" fontId="46" fillId="0" borderId="0" xfId="3" applyNumberFormat="1" applyFont="1" applyAlignment="1">
      <alignment horizontal="center" vertical="center" wrapText="1"/>
    </xf>
    <xf numFmtId="2" fontId="8" fillId="0" borderId="15" xfId="0" applyNumberFormat="1" applyFont="1" applyBorder="1" applyAlignment="1" applyProtection="1">
      <alignment horizontal="center" vertical="top"/>
      <protection locked="0"/>
    </xf>
    <xf numFmtId="174" fontId="8" fillId="0" borderId="15" xfId="0" applyNumberFormat="1" applyFont="1" applyBorder="1" applyAlignment="1" applyProtection="1">
      <alignment horizontal="center" vertical="top"/>
      <protection locked="0"/>
    </xf>
    <xf numFmtId="171" fontId="8" fillId="0" borderId="15" xfId="0" applyNumberFormat="1" applyFont="1" applyBorder="1" applyAlignment="1" applyProtection="1">
      <alignment horizontal="center" vertical="top"/>
      <protection locked="0"/>
    </xf>
    <xf numFmtId="0" fontId="8" fillId="0" borderId="80" xfId="0" applyFont="1" applyBorder="1" applyAlignment="1" applyProtection="1">
      <alignment horizontal="center" vertical="top"/>
      <protection locked="0"/>
    </xf>
    <xf numFmtId="0" fontId="8" fillId="0" borderId="7" xfId="0" applyFont="1" applyBorder="1" applyAlignment="1" applyProtection="1">
      <alignment horizontal="center" vertical="top"/>
      <protection locked="0"/>
    </xf>
    <xf numFmtId="2" fontId="8" fillId="0" borderId="7" xfId="0" applyNumberFormat="1" applyFont="1" applyBorder="1" applyAlignment="1" applyProtection="1">
      <alignment horizontal="center" vertical="top"/>
      <protection locked="0"/>
    </xf>
    <xf numFmtId="174" fontId="8" fillId="0" borderId="7" xfId="0" applyNumberFormat="1" applyFont="1" applyBorder="1" applyAlignment="1" applyProtection="1">
      <alignment horizontal="center" vertical="top"/>
      <protection locked="0"/>
    </xf>
    <xf numFmtId="171" fontId="8" fillId="0" borderId="7" xfId="0" applyNumberFormat="1" applyFont="1" applyBorder="1" applyAlignment="1" applyProtection="1">
      <alignment horizontal="center" vertical="top"/>
      <protection locked="0"/>
    </xf>
    <xf numFmtId="0" fontId="8" fillId="0" borderId="85" xfId="0" applyFont="1" applyBorder="1" applyAlignment="1" applyProtection="1">
      <alignment horizontal="center" vertical="top"/>
      <protection locked="0"/>
    </xf>
    <xf numFmtId="2" fontId="8" fillId="0" borderId="85" xfId="0" applyNumberFormat="1" applyFont="1" applyBorder="1" applyAlignment="1" applyProtection="1">
      <alignment horizontal="center" vertical="top"/>
      <protection locked="0"/>
    </xf>
    <xf numFmtId="174" fontId="8" fillId="0" borderId="85" xfId="0" applyNumberFormat="1" applyFont="1" applyBorder="1" applyAlignment="1" applyProtection="1">
      <alignment horizontal="center" vertical="top"/>
      <protection locked="0"/>
    </xf>
    <xf numFmtId="171" fontId="8" fillId="0" borderId="85" xfId="0" applyNumberFormat="1" applyFont="1" applyBorder="1" applyAlignment="1" applyProtection="1">
      <alignment horizontal="center" vertical="top"/>
      <protection locked="0"/>
    </xf>
    <xf numFmtId="0" fontId="8" fillId="0" borderId="86" xfId="0" applyFont="1" applyBorder="1" applyAlignment="1" applyProtection="1">
      <alignment horizontal="center" vertical="top"/>
      <protection locked="0"/>
    </xf>
    <xf numFmtId="0" fontId="8" fillId="0" borderId="14" xfId="0" applyFont="1" applyBorder="1" applyAlignment="1" applyProtection="1">
      <alignment horizontal="center" vertical="top"/>
      <protection locked="0"/>
    </xf>
    <xf numFmtId="2" fontId="8" fillId="0" borderId="14" xfId="0" applyNumberFormat="1" applyFont="1" applyBorder="1" applyAlignment="1" applyProtection="1">
      <alignment horizontal="center" vertical="top"/>
      <protection locked="0"/>
    </xf>
    <xf numFmtId="174" fontId="8" fillId="0" borderId="14" xfId="0" applyNumberFormat="1" applyFont="1" applyBorder="1" applyAlignment="1" applyProtection="1">
      <alignment horizontal="center" vertical="top"/>
      <protection locked="0"/>
    </xf>
    <xf numFmtId="171" fontId="8" fillId="0" borderId="14" xfId="0" applyNumberFormat="1" applyFont="1" applyBorder="1" applyAlignment="1" applyProtection="1">
      <alignment horizontal="center" vertical="top"/>
      <protection locked="0"/>
    </xf>
    <xf numFmtId="0" fontId="8" fillId="0" borderId="93" xfId="0" applyFont="1" applyBorder="1" applyAlignment="1" applyProtection="1">
      <alignment horizontal="center" vertical="top"/>
      <protection locked="0"/>
    </xf>
    <xf numFmtId="0" fontId="8" fillId="0" borderId="79" xfId="0" applyFont="1" applyBorder="1" applyAlignment="1" applyProtection="1">
      <alignment horizontal="center" vertical="center"/>
      <protection locked="0"/>
    </xf>
    <xf numFmtId="0" fontId="7" fillId="2" borderId="0" xfId="26" applyFont="1" applyFill="1"/>
    <xf numFmtId="0" fontId="4" fillId="0" borderId="3" xfId="9" applyFont="1" applyBorder="1" applyAlignment="1">
      <alignment horizontal="center" vertical="center"/>
    </xf>
    <xf numFmtId="0" fontId="4" fillId="0" borderId="13" xfId="9" applyFont="1" applyBorder="1" applyAlignment="1">
      <alignment horizontal="center" vertical="center"/>
    </xf>
    <xf numFmtId="0" fontId="4" fillId="0" borderId="9" xfId="9" applyFont="1" applyBorder="1" applyAlignment="1">
      <alignment horizontal="center" vertical="center"/>
    </xf>
    <xf numFmtId="0" fontId="4" fillId="0" borderId="10" xfId="9" applyFont="1" applyBorder="1" applyAlignment="1">
      <alignment horizontal="center" vertical="center"/>
    </xf>
    <xf numFmtId="0" fontId="34" fillId="2" borderId="15" xfId="9" applyFont="1" applyFill="1" applyBorder="1" applyAlignment="1">
      <alignment horizontal="center" vertical="center"/>
    </xf>
    <xf numFmtId="0" fontId="59" fillId="0" borderId="15" xfId="0" applyFont="1" applyBorder="1" applyAlignment="1">
      <alignment horizontal="left" vertical="center" wrapText="1"/>
    </xf>
    <xf numFmtId="0" fontId="34" fillId="0" borderId="15" xfId="9" applyFont="1" applyBorder="1" applyAlignment="1">
      <alignment horizontal="center" vertical="center" wrapText="1"/>
    </xf>
    <xf numFmtId="2" fontId="34" fillId="0" borderId="15" xfId="9" applyNumberFormat="1" applyFont="1" applyBorder="1" applyAlignment="1">
      <alignment horizontal="center" vertical="center"/>
    </xf>
    <xf numFmtId="4" fontId="10" fillId="3" borderId="7" xfId="26" applyNumberFormat="1" applyFont="1" applyFill="1" applyBorder="1" applyAlignment="1">
      <alignment horizontal="center" vertical="center"/>
    </xf>
    <xf numFmtId="0" fontId="16" fillId="3" borderId="0" xfId="26" applyFont="1" applyFill="1"/>
    <xf numFmtId="0" fontId="34" fillId="2" borderId="15" xfId="9" applyFont="1" applyFill="1" applyBorder="1" applyAlignment="1">
      <alignment horizontal="center" vertical="center" wrapText="1"/>
    </xf>
    <xf numFmtId="2" fontId="34" fillId="2" borderId="15" xfId="9" applyNumberFormat="1" applyFont="1" applyFill="1" applyBorder="1" applyAlignment="1">
      <alignment horizontal="center" vertical="center"/>
    </xf>
    <xf numFmtId="0" fontId="8" fillId="0" borderId="0" xfId="26" applyFont="1" applyAlignment="1">
      <alignment horizontal="center"/>
    </xf>
    <xf numFmtId="0" fontId="7" fillId="0" borderId="0" xfId="27" applyFont="1"/>
    <xf numFmtId="0" fontId="7" fillId="0" borderId="15" xfId="27" applyFont="1" applyBorder="1"/>
    <xf numFmtId="0" fontId="7" fillId="2" borderId="15" xfId="0" applyFont="1" applyFill="1" applyBorder="1" applyAlignment="1" applyProtection="1">
      <alignment horizontal="center" vertical="center"/>
      <protection locked="0"/>
    </xf>
    <xf numFmtId="171" fontId="7" fillId="0" borderId="0" xfId="27" applyNumberFormat="1" applyFont="1"/>
    <xf numFmtId="166" fontId="7" fillId="0" borderId="15" xfId="23" applyNumberFormat="1" applyFont="1" applyBorder="1" applyAlignment="1">
      <alignment horizontal="center" vertical="center"/>
    </xf>
    <xf numFmtId="4" fontId="7" fillId="0" borderId="15" xfId="23" applyNumberFormat="1" applyFont="1" applyBorder="1" applyAlignment="1">
      <alignment horizontal="right" vertical="center" wrapText="1"/>
    </xf>
    <xf numFmtId="4" fontId="7" fillId="0" borderId="15" xfId="23" applyNumberFormat="1" applyFont="1" applyBorder="1" applyAlignment="1">
      <alignment horizontal="center" vertical="center" wrapText="1"/>
    </xf>
    <xf numFmtId="1" fontId="4" fillId="0" borderId="8" xfId="23" applyNumberFormat="1" applyFont="1" applyBorder="1" applyAlignment="1">
      <alignment horizontal="center" vertical="center"/>
    </xf>
    <xf numFmtId="0" fontId="7" fillId="2" borderId="0" xfId="14" applyFont="1" applyFill="1" applyAlignment="1">
      <alignment horizontal="center" vertical="center"/>
    </xf>
    <xf numFmtId="3" fontId="7" fillId="2" borderId="15" xfId="14" applyNumberFormat="1" applyFont="1" applyFill="1" applyBorder="1" applyAlignment="1">
      <alignment horizontal="center" vertical="center"/>
    </xf>
    <xf numFmtId="4" fontId="7" fillId="2" borderId="0" xfId="14" applyNumberFormat="1" applyFont="1" applyFill="1"/>
    <xf numFmtId="164" fontId="10" fillId="3" borderId="11" xfId="5" applyNumberFormat="1" applyFont="1" applyFill="1" applyBorder="1" applyAlignment="1">
      <alignment horizontal="right" vertical="center"/>
    </xf>
    <xf numFmtId="164" fontId="10" fillId="3" borderId="12" xfId="5" applyNumberFormat="1" applyFont="1" applyFill="1" applyBorder="1" applyAlignment="1">
      <alignment horizontal="right" vertical="center"/>
    </xf>
    <xf numFmtId="164" fontId="10" fillId="3" borderId="13" xfId="5" applyNumberFormat="1" applyFont="1" applyFill="1" applyBorder="1" applyAlignment="1">
      <alignment horizontal="right" vertical="center"/>
    </xf>
    <xf numFmtId="164" fontId="0" fillId="2" borderId="11" xfId="5" applyNumberFormat="1" applyFont="1" applyFill="1" applyBorder="1" applyAlignment="1">
      <alignment horizontal="center" vertical="center"/>
    </xf>
    <xf numFmtId="164" fontId="7" fillId="2" borderId="13" xfId="5" applyNumberFormat="1" applyFont="1" applyFill="1" applyBorder="1" applyAlignment="1">
      <alignment horizontal="center" vertical="center"/>
    </xf>
    <xf numFmtId="4" fontId="7" fillId="2" borderId="11" xfId="5" applyNumberFormat="1" applyFont="1" applyFill="1" applyBorder="1" applyAlignment="1">
      <alignment horizontal="center" vertical="center"/>
    </xf>
    <xf numFmtId="4" fontId="7" fillId="2" borderId="13" xfId="5" applyNumberFormat="1" applyFont="1" applyFill="1" applyBorder="1" applyAlignment="1">
      <alignment horizontal="center" vertical="center"/>
    </xf>
    <xf numFmtId="0" fontId="9" fillId="3" borderId="11" xfId="5" applyFont="1" applyFill="1" applyBorder="1" applyAlignment="1">
      <alignment horizontal="center" vertical="center"/>
    </xf>
    <xf numFmtId="0" fontId="9" fillId="3" borderId="12" xfId="5" applyFont="1" applyFill="1" applyBorder="1" applyAlignment="1">
      <alignment horizontal="center" vertical="center"/>
    </xf>
    <xf numFmtId="0" fontId="9" fillId="3" borderId="13" xfId="5" applyFont="1" applyFill="1" applyBorder="1" applyAlignment="1">
      <alignment horizontal="center" vertical="center"/>
    </xf>
    <xf numFmtId="0" fontId="4" fillId="2" borderId="7" xfId="5" applyFont="1" applyFill="1" applyBorder="1" applyAlignment="1">
      <alignment horizontal="center" vertical="center"/>
    </xf>
    <xf numFmtId="0" fontId="4" fillId="2" borderId="14" xfId="5" applyFont="1" applyFill="1" applyBorder="1" applyAlignment="1">
      <alignment horizontal="center" vertical="center"/>
    </xf>
    <xf numFmtId="0" fontId="4" fillId="2" borderId="1" xfId="5" applyFont="1" applyFill="1" applyBorder="1" applyAlignment="1">
      <alignment horizontal="center" vertical="center"/>
    </xf>
    <xf numFmtId="0" fontId="4" fillId="2" borderId="8" xfId="5" applyFont="1" applyFill="1" applyBorder="1" applyAlignment="1">
      <alignment horizontal="center" vertical="center"/>
    </xf>
    <xf numFmtId="164" fontId="4" fillId="2" borderId="7" xfId="5" applyNumberFormat="1" applyFont="1" applyFill="1" applyBorder="1" applyAlignment="1">
      <alignment horizontal="center" vertical="center" wrapText="1"/>
    </xf>
    <xf numFmtId="164" fontId="4" fillId="2" borderId="14" xfId="5" applyNumberFormat="1" applyFont="1" applyFill="1" applyBorder="1" applyAlignment="1">
      <alignment horizontal="center" vertical="center" wrapText="1"/>
    </xf>
    <xf numFmtId="164" fontId="4" fillId="2" borderId="1" xfId="5" applyNumberFormat="1" applyFont="1" applyFill="1" applyBorder="1" applyAlignment="1">
      <alignment horizontal="center" vertical="center"/>
    </xf>
    <xf numFmtId="164" fontId="4" fillId="2" borderId="3" xfId="5" applyNumberFormat="1" applyFont="1" applyFill="1" applyBorder="1" applyAlignment="1">
      <alignment horizontal="center" vertical="center"/>
    </xf>
    <xf numFmtId="164" fontId="4" fillId="2" borderId="8" xfId="5" applyNumberFormat="1" applyFont="1" applyFill="1" applyBorder="1" applyAlignment="1">
      <alignment horizontal="center" vertical="center"/>
    </xf>
    <xf numFmtId="164" fontId="4" fillId="2" borderId="10" xfId="5" applyNumberFormat="1" applyFont="1" applyFill="1" applyBorder="1" applyAlignment="1">
      <alignment horizontal="center" vertical="center"/>
    </xf>
    <xf numFmtId="164" fontId="10" fillId="3" borderId="15" xfId="6" applyNumberFormat="1" applyFont="1" applyFill="1" applyBorder="1" applyAlignment="1">
      <alignment horizontal="right" vertical="center"/>
    </xf>
    <xf numFmtId="0" fontId="10" fillId="4" borderId="11"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13" xfId="0" applyFont="1" applyFill="1" applyBorder="1" applyAlignment="1">
      <alignment horizontal="center" vertical="center"/>
    </xf>
    <xf numFmtId="0" fontId="9" fillId="3" borderId="11" xfId="6" applyFont="1" applyFill="1" applyBorder="1" applyAlignment="1">
      <alignment horizontal="center" vertical="center"/>
    </xf>
    <xf numFmtId="0" fontId="9" fillId="3" borderId="12" xfId="6" applyFont="1" applyFill="1" applyBorder="1" applyAlignment="1">
      <alignment horizontal="center" vertical="center"/>
    </xf>
    <xf numFmtId="0" fontId="9" fillId="3" borderId="13" xfId="6" applyFont="1" applyFill="1" applyBorder="1" applyAlignment="1">
      <alignment horizontal="center" vertical="center"/>
    </xf>
    <xf numFmtId="0" fontId="4" fillId="0" borderId="2" xfId="6" applyFont="1" applyBorder="1" applyAlignment="1">
      <alignment horizontal="center" vertical="center" wrapText="1"/>
    </xf>
    <xf numFmtId="0" fontId="4" fillId="0" borderId="9" xfId="6" applyFont="1" applyBorder="1" applyAlignment="1">
      <alignment horizontal="center" vertical="center" wrapText="1"/>
    </xf>
    <xf numFmtId="0" fontId="12" fillId="2" borderId="15" xfId="6" applyFont="1" applyFill="1" applyBorder="1" applyAlignment="1">
      <alignment horizontal="center" vertical="center"/>
    </xf>
    <xf numFmtId="164" fontId="12" fillId="2" borderId="15" xfId="6" applyNumberFormat="1" applyFont="1" applyFill="1" applyBorder="1" applyAlignment="1">
      <alignment horizontal="center" vertical="center" wrapText="1"/>
    </xf>
    <xf numFmtId="164" fontId="10" fillId="3" borderId="15" xfId="5" applyNumberFormat="1" applyFont="1" applyFill="1" applyBorder="1" applyAlignment="1">
      <alignment horizontal="right" vertical="center"/>
    </xf>
    <xf numFmtId="0" fontId="4" fillId="0" borderId="2" xfId="5" applyFont="1" applyBorder="1" applyAlignment="1">
      <alignment horizontal="left" vertical="center" wrapText="1"/>
    </xf>
    <xf numFmtId="0" fontId="4" fillId="0" borderId="3" xfId="5" applyFont="1" applyBorder="1" applyAlignment="1">
      <alignment horizontal="left" vertical="center" wrapText="1"/>
    </xf>
    <xf numFmtId="0" fontId="4" fillId="0" borderId="9" xfId="5" applyFont="1" applyBorder="1" applyAlignment="1">
      <alignment horizontal="left" vertical="center" wrapText="1"/>
    </xf>
    <xf numFmtId="0" fontId="4" fillId="0" borderId="10" xfId="5" applyFont="1" applyBorder="1" applyAlignment="1">
      <alignment horizontal="left" vertical="center" wrapText="1"/>
    </xf>
    <xf numFmtId="0" fontId="4" fillId="2" borderId="15" xfId="5" applyFont="1" applyFill="1" applyBorder="1" applyAlignment="1">
      <alignment horizontal="center" vertical="center"/>
    </xf>
    <xf numFmtId="164" fontId="4" fillId="2" borderId="15" xfId="5" applyNumberFormat="1" applyFont="1" applyFill="1" applyBorder="1" applyAlignment="1">
      <alignment horizontal="center" vertical="center" wrapText="1"/>
    </xf>
    <xf numFmtId="164" fontId="10" fillId="3" borderId="11" xfId="6" applyNumberFormat="1" applyFont="1" applyFill="1" applyBorder="1" applyAlignment="1">
      <alignment horizontal="right" vertical="center"/>
    </xf>
    <xf numFmtId="164" fontId="10" fillId="3" borderId="12" xfId="6" applyNumberFormat="1" applyFont="1" applyFill="1" applyBorder="1" applyAlignment="1">
      <alignment horizontal="right" vertical="center"/>
    </xf>
    <xf numFmtId="164" fontId="10" fillId="3" borderId="13" xfId="6" applyNumberFormat="1" applyFont="1" applyFill="1" applyBorder="1" applyAlignment="1">
      <alignment horizontal="right" vertical="center"/>
    </xf>
    <xf numFmtId="164" fontId="10" fillId="3" borderId="1" xfId="6" applyNumberFormat="1" applyFont="1" applyFill="1" applyBorder="1" applyAlignment="1">
      <alignment horizontal="center" vertical="center"/>
    </xf>
    <xf numFmtId="164" fontId="10" fillId="3" borderId="3" xfId="6" applyNumberFormat="1" applyFont="1" applyFill="1" applyBorder="1" applyAlignment="1">
      <alignment horizontal="center" vertical="center"/>
    </xf>
    <xf numFmtId="164" fontId="10" fillId="3" borderId="8" xfId="6" applyNumberFormat="1" applyFont="1" applyFill="1" applyBorder="1" applyAlignment="1">
      <alignment horizontal="center" vertical="center"/>
    </xf>
    <xf numFmtId="164" fontId="10" fillId="3" borderId="10" xfId="6" applyNumberFormat="1" applyFont="1" applyFill="1" applyBorder="1" applyAlignment="1">
      <alignment horizontal="center" vertical="center"/>
    </xf>
    <xf numFmtId="164" fontId="10" fillId="4" borderId="15" xfId="6" applyNumberFormat="1" applyFont="1" applyFill="1" applyBorder="1" applyAlignment="1">
      <alignment horizontal="right" vertical="center"/>
    </xf>
    <xf numFmtId="164" fontId="4" fillId="2" borderId="15" xfId="6" applyNumberFormat="1" applyFont="1" applyFill="1" applyBorder="1" applyAlignment="1">
      <alignment horizontal="center" vertical="center" wrapText="1"/>
    </xf>
    <xf numFmtId="0" fontId="4" fillId="2" borderId="15" xfId="6" applyFont="1" applyFill="1" applyBorder="1" applyAlignment="1">
      <alignment horizontal="center" vertical="center"/>
    </xf>
    <xf numFmtId="0" fontId="4" fillId="2" borderId="7" xfId="6" applyFont="1" applyFill="1" applyBorder="1" applyAlignment="1">
      <alignment horizontal="center" vertical="center"/>
    </xf>
    <xf numFmtId="0" fontId="4" fillId="2" borderId="14" xfId="6" applyFont="1" applyFill="1" applyBorder="1" applyAlignment="1">
      <alignment horizontal="center" vertical="center"/>
    </xf>
    <xf numFmtId="164" fontId="4" fillId="2" borderId="7" xfId="6" applyNumberFormat="1" applyFont="1" applyFill="1" applyBorder="1" applyAlignment="1">
      <alignment horizontal="center" vertical="center" wrapText="1"/>
    </xf>
    <xf numFmtId="164" fontId="4" fillId="2" borderId="14" xfId="6" applyNumberFormat="1" applyFont="1" applyFill="1" applyBorder="1" applyAlignment="1">
      <alignment horizontal="center" vertical="center" wrapText="1"/>
    </xf>
    <xf numFmtId="164" fontId="4" fillId="2" borderId="11" xfId="6" applyNumberFormat="1" applyFont="1" applyFill="1" applyBorder="1" applyAlignment="1">
      <alignment horizontal="center" vertical="center" wrapText="1"/>
    </xf>
    <xf numFmtId="164" fontId="4" fillId="2" borderId="13" xfId="6" applyNumberFormat="1" applyFont="1" applyFill="1" applyBorder="1" applyAlignment="1">
      <alignment horizontal="center" vertical="center" wrapText="1"/>
    </xf>
    <xf numFmtId="0" fontId="14" fillId="3" borderId="11" xfId="5" applyFont="1" applyFill="1" applyBorder="1" applyAlignment="1">
      <alignment horizontal="center" vertical="center"/>
    </xf>
    <xf numFmtId="0" fontId="14" fillId="3" borderId="12" xfId="5" applyFont="1" applyFill="1" applyBorder="1" applyAlignment="1">
      <alignment horizontal="center" vertical="center"/>
    </xf>
    <xf numFmtId="0" fontId="14" fillId="3" borderId="13" xfId="5" applyFont="1" applyFill="1" applyBorder="1" applyAlignment="1">
      <alignment horizontal="center" vertical="center"/>
    </xf>
    <xf numFmtId="0" fontId="15" fillId="0" borderId="5" xfId="4" applyFont="1" applyBorder="1" applyAlignment="1">
      <alignment horizontal="center" vertical="center" wrapText="1"/>
    </xf>
    <xf numFmtId="0" fontId="15" fillId="0" borderId="6" xfId="4" applyFont="1" applyBorder="1" applyAlignment="1">
      <alignment horizontal="center" vertical="center" wrapText="1"/>
    </xf>
    <xf numFmtId="0" fontId="15" fillId="0" borderId="8" xfId="4" applyFont="1" applyBorder="1" applyAlignment="1">
      <alignment horizontal="center" vertical="center" wrapText="1"/>
    </xf>
    <xf numFmtId="0" fontId="15" fillId="0" borderId="10" xfId="4" applyFont="1" applyBorder="1" applyAlignment="1">
      <alignment horizontal="center" vertical="center" wrapText="1"/>
    </xf>
    <xf numFmtId="0" fontId="7" fillId="0" borderId="8" xfId="4" applyFont="1" applyBorder="1" applyAlignment="1">
      <alignment horizontal="left" vertical="center"/>
    </xf>
    <xf numFmtId="0" fontId="7" fillId="0" borderId="10" xfId="4" applyFont="1" applyBorder="1" applyAlignment="1">
      <alignment horizontal="left" vertical="center"/>
    </xf>
    <xf numFmtId="0" fontId="7" fillId="0" borderId="11" xfId="3" applyFont="1" applyBorder="1" applyAlignment="1">
      <alignment horizontal="left" vertical="center"/>
    </xf>
    <xf numFmtId="0" fontId="7" fillId="0" borderId="13" xfId="3" applyFont="1" applyBorder="1" applyAlignment="1">
      <alignment horizontal="left" vertical="center"/>
    </xf>
    <xf numFmtId="0" fontId="21" fillId="4" borderId="1" xfId="7" applyFont="1" applyFill="1" applyBorder="1" applyAlignment="1">
      <alignment horizontal="right" vertical="center"/>
    </xf>
    <xf numFmtId="0" fontId="21" fillId="4" borderId="2" xfId="7" applyFont="1" applyFill="1" applyBorder="1" applyAlignment="1">
      <alignment horizontal="right" vertical="center"/>
    </xf>
    <xf numFmtId="0" fontId="21" fillId="4" borderId="3" xfId="7" applyFont="1" applyFill="1" applyBorder="1" applyAlignment="1">
      <alignment horizontal="right" vertical="center"/>
    </xf>
    <xf numFmtId="0" fontId="21" fillId="4" borderId="8" xfId="7" applyFont="1" applyFill="1" applyBorder="1" applyAlignment="1">
      <alignment horizontal="right" vertical="center"/>
    </xf>
    <xf numFmtId="0" fontId="21" fillId="4" borderId="9" xfId="7" applyFont="1" applyFill="1" applyBorder="1" applyAlignment="1">
      <alignment horizontal="right" vertical="center"/>
    </xf>
    <xf numFmtId="0" fontId="21" fillId="4" borderId="10" xfId="7" applyFont="1" applyFill="1" applyBorder="1" applyAlignment="1">
      <alignment horizontal="right" vertical="center"/>
    </xf>
    <xf numFmtId="0" fontId="21" fillId="4" borderId="11" xfId="7" applyFont="1" applyFill="1" applyBorder="1" applyAlignment="1">
      <alignment horizontal="center" vertical="center"/>
    </xf>
    <xf numFmtId="0" fontId="21" fillId="4" borderId="12" xfId="7" applyFont="1" applyFill="1" applyBorder="1" applyAlignment="1">
      <alignment horizontal="center" vertical="center"/>
    </xf>
    <xf numFmtId="0" fontId="21" fillId="4" borderId="13" xfId="7" applyFont="1" applyFill="1" applyBorder="1" applyAlignment="1">
      <alignment horizontal="center" vertical="center"/>
    </xf>
    <xf numFmtId="175" fontId="21" fillId="4" borderId="11" xfId="7" applyNumberFormat="1" applyFont="1" applyFill="1" applyBorder="1" applyAlignment="1">
      <alignment horizontal="center" vertical="center"/>
    </xf>
    <xf numFmtId="175" fontId="21" fillId="4" borderId="12" xfId="7" applyNumberFormat="1" applyFont="1" applyFill="1" applyBorder="1" applyAlignment="1">
      <alignment horizontal="center" vertical="center"/>
    </xf>
    <xf numFmtId="175" fontId="21" fillId="4" borderId="13" xfId="7" applyNumberFormat="1" applyFont="1" applyFill="1" applyBorder="1" applyAlignment="1">
      <alignment horizontal="center" vertical="center"/>
    </xf>
    <xf numFmtId="175" fontId="21" fillId="4" borderId="11" xfId="8" applyNumberFormat="1" applyFont="1" applyFill="1" applyBorder="1" applyAlignment="1">
      <alignment horizontal="center" vertical="center"/>
    </xf>
    <xf numFmtId="175" fontId="21" fillId="4" borderId="12" xfId="8" applyNumberFormat="1" applyFont="1" applyFill="1" applyBorder="1" applyAlignment="1">
      <alignment horizontal="center" vertical="center"/>
    </xf>
    <xf numFmtId="175" fontId="21" fillId="4" borderId="13" xfId="8" applyNumberFormat="1" applyFont="1" applyFill="1" applyBorder="1" applyAlignment="1">
      <alignment horizontal="center" vertical="center"/>
    </xf>
    <xf numFmtId="0" fontId="26" fillId="0" borderId="0" xfId="7" applyFont="1" applyAlignment="1">
      <alignment horizontal="left" vertical="center"/>
    </xf>
    <xf numFmtId="0" fontId="22" fillId="0" borderId="11" xfId="7" applyFont="1" applyBorder="1" applyAlignment="1">
      <alignment horizontal="right" vertical="center"/>
    </xf>
    <xf numFmtId="0" fontId="22" fillId="0" borderId="12" xfId="7" applyFont="1" applyBorder="1" applyAlignment="1">
      <alignment horizontal="right" vertical="center"/>
    </xf>
    <xf numFmtId="172" fontId="22" fillId="0" borderId="12" xfId="7" applyNumberFormat="1" applyFont="1" applyBorder="1" applyAlignment="1">
      <alignment horizontal="center" vertical="center"/>
    </xf>
    <xf numFmtId="172" fontId="22" fillId="0" borderId="13" xfId="7" applyNumberFormat="1" applyFont="1" applyBorder="1" applyAlignment="1">
      <alignment horizontal="center" vertical="center"/>
    </xf>
    <xf numFmtId="0" fontId="22" fillId="2" borderId="1" xfId="7" applyFont="1" applyFill="1" applyBorder="1" applyAlignment="1">
      <alignment horizontal="center" vertical="center"/>
    </xf>
    <xf numFmtId="0" fontId="22" fillId="2" borderId="8" xfId="7" applyFont="1" applyFill="1" applyBorder="1" applyAlignment="1">
      <alignment horizontal="center" vertical="center"/>
    </xf>
    <xf numFmtId="0" fontId="22" fillId="2" borderId="2" xfId="7" applyFont="1" applyFill="1" applyBorder="1" applyAlignment="1">
      <alignment horizontal="center" vertical="center"/>
    </xf>
    <xf numFmtId="0" fontId="22" fillId="2" borderId="9" xfId="7" applyFont="1" applyFill="1" applyBorder="1" applyAlignment="1">
      <alignment horizontal="center" vertical="center"/>
    </xf>
    <xf numFmtId="0" fontId="22" fillId="2" borderId="12" xfId="7" applyFont="1" applyFill="1" applyBorder="1" applyAlignment="1">
      <alignment horizontal="center" vertical="center"/>
    </xf>
    <xf numFmtId="0" fontId="22" fillId="2" borderId="3" xfId="7" applyFont="1" applyFill="1" applyBorder="1" applyAlignment="1">
      <alignment horizontal="center" vertical="center"/>
    </xf>
    <xf numFmtId="0" fontId="22" fillId="2" borderId="10" xfId="7" applyFont="1" applyFill="1" applyBorder="1" applyAlignment="1">
      <alignment horizontal="center" vertical="center"/>
    </xf>
    <xf numFmtId="0" fontId="22" fillId="2" borderId="11" xfId="7" applyFont="1" applyFill="1" applyBorder="1" applyAlignment="1">
      <alignment horizontal="center" vertical="center"/>
    </xf>
    <xf numFmtId="0" fontId="22" fillId="2" borderId="13" xfId="7" applyFont="1" applyFill="1" applyBorder="1" applyAlignment="1">
      <alignment horizontal="center" vertical="center"/>
    </xf>
    <xf numFmtId="171" fontId="24" fillId="0" borderId="2" xfId="7" applyNumberFormat="1" applyFont="1" applyBorder="1" applyAlignment="1">
      <alignment horizontal="center" vertical="center"/>
    </xf>
    <xf numFmtId="171" fontId="24" fillId="0" borderId="3" xfId="7" applyNumberFormat="1" applyFont="1" applyBorder="1" applyAlignment="1">
      <alignment horizontal="center" vertical="center"/>
    </xf>
    <xf numFmtId="171" fontId="24" fillId="0" borderId="0" xfId="7" applyNumberFormat="1" applyFont="1" applyAlignment="1">
      <alignment horizontal="center" vertical="center"/>
    </xf>
    <xf numFmtId="171" fontId="24" fillId="0" borderId="6" xfId="7" applyNumberFormat="1" applyFont="1" applyBorder="1" applyAlignment="1">
      <alignment horizontal="center" vertical="center"/>
    </xf>
    <xf numFmtId="0" fontId="22" fillId="2" borderId="11" xfId="7" applyFont="1" applyFill="1" applyBorder="1" applyAlignment="1">
      <alignment horizontal="right" vertical="center"/>
    </xf>
    <xf numFmtId="0" fontId="22" fillId="2" borderId="12" xfId="7" applyFont="1" applyFill="1" applyBorder="1" applyAlignment="1">
      <alignment horizontal="right" vertical="center"/>
    </xf>
    <xf numFmtId="172" fontId="22" fillId="2" borderId="12" xfId="7" applyNumberFormat="1" applyFont="1" applyFill="1" applyBorder="1" applyAlignment="1">
      <alignment horizontal="center" vertical="center"/>
    </xf>
    <xf numFmtId="172" fontId="22" fillId="2" borderId="12" xfId="7" applyNumberFormat="1" applyFont="1" applyFill="1" applyBorder="1" applyAlignment="1">
      <alignment horizontal="center"/>
    </xf>
    <xf numFmtId="172" fontId="22" fillId="2" borderId="13" xfId="7" applyNumberFormat="1" applyFont="1" applyFill="1" applyBorder="1" applyAlignment="1">
      <alignment horizontal="center"/>
    </xf>
    <xf numFmtId="172" fontId="22" fillId="0" borderId="12" xfId="7" applyNumberFormat="1" applyFont="1" applyBorder="1" applyAlignment="1">
      <alignment horizontal="center"/>
    </xf>
    <xf numFmtId="172" fontId="22" fillId="0" borderId="13" xfId="7" applyNumberFormat="1" applyFont="1" applyBorder="1" applyAlignment="1">
      <alignment horizontal="center"/>
    </xf>
    <xf numFmtId="0" fontId="24" fillId="2" borderId="0" xfId="7" applyFont="1" applyFill="1" applyAlignment="1">
      <alignment horizontal="left" vertical="center" wrapText="1"/>
    </xf>
    <xf numFmtId="171" fontId="24" fillId="2" borderId="0" xfId="7" applyNumberFormat="1" applyFont="1" applyFill="1" applyAlignment="1">
      <alignment horizontal="center" vertical="center"/>
    </xf>
    <xf numFmtId="171" fontId="24" fillId="2" borderId="6" xfId="7" applyNumberFormat="1" applyFont="1" applyFill="1" applyBorder="1" applyAlignment="1">
      <alignment horizontal="center" vertical="center"/>
    </xf>
    <xf numFmtId="0" fontId="24" fillId="2" borderId="9" xfId="7" applyFont="1" applyFill="1" applyBorder="1" applyAlignment="1">
      <alignment horizontal="left" vertical="center" wrapText="1"/>
    </xf>
    <xf numFmtId="171" fontId="24" fillId="2" borderId="9" xfId="7" applyNumberFormat="1" applyFont="1" applyFill="1" applyBorder="1" applyAlignment="1">
      <alignment horizontal="center" vertical="center"/>
    </xf>
    <xf numFmtId="171" fontId="24" fillId="2" borderId="10" xfId="7" applyNumberFormat="1" applyFont="1" applyFill="1" applyBorder="1" applyAlignment="1">
      <alignment horizontal="center" vertical="center"/>
    </xf>
    <xf numFmtId="0" fontId="24" fillId="2" borderId="2" xfId="7" applyFont="1" applyFill="1" applyBorder="1" applyAlignment="1">
      <alignment horizontal="left" vertical="center" wrapText="1"/>
    </xf>
    <xf numFmtId="171" fontId="24" fillId="2" borderId="2" xfId="7" applyNumberFormat="1" applyFont="1" applyFill="1" applyBorder="1" applyAlignment="1">
      <alignment horizontal="center" vertical="center"/>
    </xf>
    <xf numFmtId="171" fontId="24" fillId="2" borderId="3" xfId="7" applyNumberFormat="1" applyFont="1" applyFill="1" applyBorder="1" applyAlignment="1">
      <alignment horizontal="center" vertical="center"/>
    </xf>
    <xf numFmtId="174" fontId="24" fillId="2" borderId="0" xfId="7" applyNumberFormat="1" applyFont="1" applyFill="1" applyAlignment="1">
      <alignment horizontal="center" vertical="center"/>
    </xf>
    <xf numFmtId="171" fontId="24" fillId="0" borderId="0" xfId="8" applyNumberFormat="1" applyFont="1" applyBorder="1" applyAlignment="1">
      <alignment horizontal="center" vertical="center"/>
    </xf>
    <xf numFmtId="171" fontId="24" fillId="0" borderId="6" xfId="8" applyNumberFormat="1" applyFont="1" applyBorder="1" applyAlignment="1">
      <alignment horizontal="center" vertical="center"/>
    </xf>
    <xf numFmtId="172" fontId="22" fillId="0" borderId="12" xfId="8" applyNumberFormat="1" applyFont="1" applyBorder="1" applyAlignment="1">
      <alignment horizontal="center" vertical="center"/>
    </xf>
    <xf numFmtId="172" fontId="22" fillId="0" borderId="13" xfId="8" applyNumberFormat="1" applyFont="1" applyBorder="1" applyAlignment="1">
      <alignment horizontal="center" vertical="center"/>
    </xf>
    <xf numFmtId="0" fontId="22" fillId="2" borderId="5" xfId="7" applyFont="1" applyFill="1" applyBorder="1" applyAlignment="1">
      <alignment horizontal="right" vertical="center"/>
    </xf>
    <xf numFmtId="0" fontId="22" fillId="2" borderId="0" xfId="7" applyFont="1" applyFill="1" applyAlignment="1">
      <alignment horizontal="right" vertical="center"/>
    </xf>
    <xf numFmtId="172" fontId="22" fillId="2" borderId="0" xfId="7" applyNumberFormat="1" applyFont="1" applyFill="1" applyAlignment="1">
      <alignment horizontal="center" vertical="center"/>
    </xf>
    <xf numFmtId="172" fontId="22" fillId="2" borderId="6" xfId="7" applyNumberFormat="1" applyFont="1" applyFill="1" applyBorder="1" applyAlignment="1">
      <alignment horizontal="center" vertical="center"/>
    </xf>
    <xf numFmtId="174" fontId="24" fillId="2" borderId="2" xfId="7" applyNumberFormat="1" applyFont="1" applyFill="1" applyBorder="1" applyAlignment="1">
      <alignment horizontal="center" vertical="center"/>
    </xf>
    <xf numFmtId="171" fontId="24" fillId="0" borderId="2" xfId="8" applyNumberFormat="1" applyFont="1" applyBorder="1" applyAlignment="1">
      <alignment horizontal="center" vertical="center"/>
    </xf>
    <xf numFmtId="171" fontId="24" fillId="0" borderId="3" xfId="8" applyNumberFormat="1" applyFont="1" applyBorder="1" applyAlignment="1">
      <alignment horizontal="center" vertical="center"/>
    </xf>
    <xf numFmtId="0" fontId="22" fillId="0" borderId="8" xfId="7" applyFont="1" applyBorder="1" applyAlignment="1">
      <alignment horizontal="right" vertical="center"/>
    </xf>
    <xf numFmtId="0" fontId="22" fillId="0" borderId="9" xfId="7" applyFont="1" applyBorder="1" applyAlignment="1">
      <alignment horizontal="right" vertical="center"/>
    </xf>
    <xf numFmtId="172" fontId="22" fillId="0" borderId="9" xfId="8" applyNumberFormat="1" applyFont="1" applyBorder="1" applyAlignment="1">
      <alignment horizontal="center" vertical="center" wrapText="1"/>
    </xf>
    <xf numFmtId="172" fontId="22" fillId="0" borderId="10" xfId="8" applyNumberFormat="1" applyFont="1" applyBorder="1" applyAlignment="1">
      <alignment horizontal="center" vertical="center" wrapText="1"/>
    </xf>
    <xf numFmtId="0" fontId="22" fillId="2" borderId="1" xfId="7" applyFont="1" applyFill="1" applyBorder="1" applyAlignment="1">
      <alignment horizontal="right" vertical="center"/>
    </xf>
    <xf numFmtId="0" fontId="22" fillId="2" borderId="2" xfId="7" applyFont="1" applyFill="1" applyBorder="1" applyAlignment="1">
      <alignment horizontal="right" vertical="center"/>
    </xf>
    <xf numFmtId="172" fontId="22" fillId="2" borderId="2" xfId="7" applyNumberFormat="1" applyFont="1" applyFill="1" applyBorder="1" applyAlignment="1">
      <alignment horizontal="center" vertical="center"/>
    </xf>
    <xf numFmtId="172" fontId="22" fillId="2" borderId="3" xfId="7" applyNumberFormat="1" applyFont="1" applyFill="1" applyBorder="1" applyAlignment="1">
      <alignment horizontal="center" vertical="center"/>
    </xf>
    <xf numFmtId="0" fontId="22" fillId="0" borderId="1" xfId="7" applyFont="1" applyBorder="1" applyAlignment="1">
      <alignment horizontal="right" vertical="center"/>
    </xf>
    <xf numFmtId="0" fontId="22" fillId="0" borderId="2" xfId="7" applyFont="1" applyBorder="1" applyAlignment="1">
      <alignment horizontal="right" vertical="center"/>
    </xf>
    <xf numFmtId="172" fontId="22" fillId="0" borderId="2" xfId="8" applyNumberFormat="1" applyFont="1" applyBorder="1" applyAlignment="1">
      <alignment horizontal="center" vertical="center" wrapText="1"/>
    </xf>
    <xf numFmtId="172" fontId="22" fillId="0" borderId="3" xfId="8" applyNumberFormat="1" applyFont="1" applyBorder="1" applyAlignment="1">
      <alignment horizontal="center" vertical="center" wrapText="1"/>
    </xf>
    <xf numFmtId="0" fontId="22" fillId="0" borderId="13" xfId="7" applyFont="1" applyBorder="1" applyAlignment="1">
      <alignment horizontal="right" vertical="center"/>
    </xf>
    <xf numFmtId="0" fontId="9" fillId="3" borderId="11" xfId="7" applyFont="1" applyFill="1" applyBorder="1" applyAlignment="1">
      <alignment horizontal="center" vertical="center"/>
    </xf>
    <xf numFmtId="0" fontId="9" fillId="3" borderId="12" xfId="7" applyFont="1" applyFill="1" applyBorder="1" applyAlignment="1">
      <alignment horizontal="center" vertical="center"/>
    </xf>
    <xf numFmtId="0" fontId="9" fillId="3" borderId="13" xfId="7" applyFont="1" applyFill="1" applyBorder="1" applyAlignment="1">
      <alignment horizontal="center" vertical="center"/>
    </xf>
    <xf numFmtId="0" fontId="22" fillId="2" borderId="5" xfId="7" applyFont="1" applyFill="1" applyBorder="1" applyAlignment="1">
      <alignment horizontal="center" vertical="center"/>
    </xf>
    <xf numFmtId="0" fontId="22" fillId="2" borderId="0" xfId="7" applyFont="1" applyFill="1" applyAlignment="1">
      <alignment horizontal="center" vertical="center"/>
    </xf>
    <xf numFmtId="0" fontId="31" fillId="3" borderId="5" xfId="9" applyFont="1" applyFill="1" applyBorder="1" applyAlignment="1">
      <alignment horizontal="center" vertical="center" wrapText="1"/>
    </xf>
    <xf numFmtId="0" fontId="31" fillId="3" borderId="0" xfId="9" applyFont="1" applyFill="1" applyAlignment="1">
      <alignment horizontal="center" vertical="center" wrapText="1"/>
    </xf>
    <xf numFmtId="0" fontId="31" fillId="3" borderId="6" xfId="9" applyFont="1" applyFill="1" applyBorder="1" applyAlignment="1">
      <alignment horizontal="center" vertical="center" wrapText="1"/>
    </xf>
    <xf numFmtId="49" fontId="32" fillId="0" borderId="1" xfId="9" applyNumberFormat="1" applyFont="1" applyBorder="1" applyAlignment="1">
      <alignment horizontal="center" vertical="center" wrapText="1"/>
    </xf>
    <xf numFmtId="49" fontId="32" fillId="0" borderId="16" xfId="9" applyNumberFormat="1" applyFont="1" applyBorder="1" applyAlignment="1">
      <alignment horizontal="center" vertical="center" wrapText="1"/>
    </xf>
    <xf numFmtId="0" fontId="12" fillId="0" borderId="5" xfId="0" applyFont="1" applyBorder="1" applyAlignment="1">
      <alignment horizontal="left" vertical="top" wrapText="1"/>
    </xf>
    <xf numFmtId="0" fontId="12" fillId="0" borderId="0" xfId="0" applyFont="1" applyAlignment="1">
      <alignment horizontal="left" vertical="top" wrapText="1"/>
    </xf>
    <xf numFmtId="0" fontId="12" fillId="0" borderId="6" xfId="0" applyFont="1" applyBorder="1" applyAlignment="1">
      <alignment horizontal="left" vertical="top" wrapText="1"/>
    </xf>
    <xf numFmtId="0" fontId="12" fillId="0" borderId="8" xfId="0" applyFont="1" applyBorder="1" applyAlignment="1">
      <alignment horizontal="left" vertical="top" wrapText="1"/>
    </xf>
    <xf numFmtId="0" fontId="12" fillId="0" borderId="9" xfId="0" applyFont="1" applyBorder="1" applyAlignment="1">
      <alignment horizontal="left" vertical="top" wrapText="1"/>
    </xf>
    <xf numFmtId="0" fontId="12" fillId="0" borderId="10" xfId="0" applyFont="1" applyBorder="1" applyAlignment="1">
      <alignment horizontal="left" vertical="top" wrapText="1"/>
    </xf>
    <xf numFmtId="0" fontId="42" fillId="0" borderId="5" xfId="14" applyFont="1" applyBorder="1" applyAlignment="1">
      <alignment horizontal="left" vertical="top" wrapText="1"/>
    </xf>
    <xf numFmtId="0" fontId="42" fillId="0" borderId="0" xfId="14" applyFont="1" applyAlignment="1">
      <alignment horizontal="left" vertical="top" wrapText="1"/>
    </xf>
    <xf numFmtId="0" fontId="42" fillId="0" borderId="6" xfId="14" applyFont="1" applyBorder="1" applyAlignment="1">
      <alignment horizontal="left" vertical="top" wrapText="1"/>
    </xf>
    <xf numFmtId="0" fontId="36" fillId="2" borderId="5" xfId="11" applyFont="1" applyFill="1" applyBorder="1" applyAlignment="1">
      <alignment horizontal="left" vertical="top" wrapText="1"/>
    </xf>
    <xf numFmtId="0" fontId="36" fillId="2" borderId="0" xfId="11" applyFont="1" applyFill="1" applyAlignment="1">
      <alignment horizontal="left" vertical="top" wrapText="1"/>
    </xf>
    <xf numFmtId="0" fontId="36" fillId="2" borderId="6" xfId="11" applyFont="1" applyFill="1" applyBorder="1" applyAlignment="1">
      <alignment horizontal="left" vertical="top" wrapText="1"/>
    </xf>
    <xf numFmtId="0" fontId="36" fillId="2" borderId="8" xfId="11" applyFont="1" applyFill="1" applyBorder="1" applyAlignment="1">
      <alignment horizontal="left" vertical="top" wrapText="1"/>
    </xf>
    <xf numFmtId="0" fontId="36" fillId="2" borderId="9" xfId="11" applyFont="1" applyFill="1" applyBorder="1" applyAlignment="1">
      <alignment horizontal="left" vertical="top" wrapText="1"/>
    </xf>
    <xf numFmtId="0" fontId="36" fillId="2" borderId="10" xfId="11" applyFont="1" applyFill="1" applyBorder="1" applyAlignment="1">
      <alignment horizontal="left" vertical="top" wrapText="1"/>
    </xf>
    <xf numFmtId="0" fontId="4" fillId="0" borderId="11" xfId="12" applyFont="1" applyBorder="1" applyAlignment="1">
      <alignment horizontal="left" vertical="center" wrapText="1"/>
    </xf>
    <xf numFmtId="0" fontId="4" fillId="0" borderId="12" xfId="12" applyFont="1" applyBorder="1" applyAlignment="1">
      <alignment horizontal="left" vertical="center" wrapText="1"/>
    </xf>
    <xf numFmtId="0" fontId="4" fillId="0" borderId="13" xfId="12" applyFont="1" applyBorder="1" applyAlignment="1">
      <alignment horizontal="left" vertical="center" wrapText="1"/>
    </xf>
    <xf numFmtId="0" fontId="41" fillId="7" borderId="1" xfId="14" applyFont="1" applyFill="1" applyBorder="1" applyAlignment="1">
      <alignment horizontal="left" vertical="top" wrapText="1"/>
    </xf>
    <xf numFmtId="0" fontId="41" fillId="7" borderId="2" xfId="14" applyFont="1" applyFill="1" applyBorder="1" applyAlignment="1">
      <alignment horizontal="left" vertical="top" wrapText="1"/>
    </xf>
    <xf numFmtId="0" fontId="41" fillId="7" borderId="3" xfId="14" applyFont="1" applyFill="1" applyBorder="1" applyAlignment="1">
      <alignment horizontal="left" vertical="top" wrapText="1"/>
    </xf>
    <xf numFmtId="0" fontId="41" fillId="7" borderId="5" xfId="14" applyFont="1" applyFill="1" applyBorder="1" applyAlignment="1">
      <alignment horizontal="left" vertical="top" wrapText="1"/>
    </xf>
    <xf numFmtId="0" fontId="41" fillId="7" borderId="0" xfId="14" applyFont="1" applyFill="1" applyAlignment="1">
      <alignment horizontal="left" vertical="top" wrapText="1"/>
    </xf>
    <xf numFmtId="0" fontId="41" fillId="7" borderId="6" xfId="14" applyFont="1" applyFill="1" applyBorder="1" applyAlignment="1">
      <alignment horizontal="left" vertical="top" wrapText="1"/>
    </xf>
    <xf numFmtId="0" fontId="35" fillId="3" borderId="15" xfId="12" applyFont="1" applyFill="1" applyBorder="1" applyAlignment="1">
      <alignment horizontal="center" vertical="center" wrapText="1"/>
    </xf>
    <xf numFmtId="0" fontId="35" fillId="3" borderId="14" xfId="12" applyFont="1" applyFill="1" applyBorder="1" applyAlignment="1">
      <alignment horizontal="center" vertical="center" wrapText="1"/>
    </xf>
    <xf numFmtId="0" fontId="3" fillId="0" borderId="7" xfId="11" applyBorder="1" applyAlignment="1">
      <alignment horizontal="center" vertical="center" wrapText="1"/>
    </xf>
    <xf numFmtId="0" fontId="3" fillId="0" borderId="4" xfId="11" applyBorder="1" applyAlignment="1">
      <alignment horizontal="center" vertical="center" wrapText="1"/>
    </xf>
    <xf numFmtId="0" fontId="3" fillId="0" borderId="14" xfId="11" applyBorder="1" applyAlignment="1">
      <alignment horizontal="center" vertical="center" wrapText="1"/>
    </xf>
    <xf numFmtId="168" fontId="3" fillId="0" borderId="7" xfId="10" applyFont="1" applyFill="1" applyBorder="1" applyAlignment="1">
      <alignment horizontal="center" vertical="center"/>
    </xf>
    <xf numFmtId="168" fontId="3" fillId="0" borderId="14" xfId="10" applyFont="1" applyFill="1" applyBorder="1" applyAlignment="1">
      <alignment horizontal="center" vertical="center"/>
    </xf>
    <xf numFmtId="168" fontId="3" fillId="0" borderId="2" xfId="10" applyFont="1" applyFill="1" applyBorder="1" applyAlignment="1">
      <alignment horizontal="center" vertical="center"/>
    </xf>
    <xf numFmtId="168" fontId="3" fillId="0" borderId="9" xfId="10" applyFont="1" applyFill="1" applyBorder="1" applyAlignment="1">
      <alignment horizontal="center" vertical="center"/>
    </xf>
    <xf numFmtId="168" fontId="3" fillId="0" borderId="11" xfId="10" applyFont="1" applyFill="1" applyBorder="1" applyAlignment="1">
      <alignment horizontal="center" vertical="center" wrapText="1"/>
    </xf>
    <xf numFmtId="168" fontId="3" fillId="0" borderId="13" xfId="10" applyFont="1" applyFill="1" applyBorder="1" applyAlignment="1">
      <alignment horizontal="center" vertical="center" wrapText="1"/>
    </xf>
    <xf numFmtId="43" fontId="3" fillId="0" borderId="7" xfId="13" applyFont="1" applyFill="1" applyBorder="1" applyAlignment="1">
      <alignment horizontal="center" vertical="center"/>
    </xf>
    <xf numFmtId="43" fontId="3" fillId="0" borderId="14" xfId="13" applyFont="1" applyFill="1" applyBorder="1" applyAlignment="1">
      <alignment horizontal="center" vertical="center"/>
    </xf>
    <xf numFmtId="43" fontId="3" fillId="0" borderId="7" xfId="13" applyFont="1" applyFill="1" applyBorder="1" applyAlignment="1">
      <alignment horizontal="center" vertical="center" wrapText="1"/>
    </xf>
    <xf numFmtId="43" fontId="3" fillId="0" borderId="14" xfId="13" applyFont="1" applyFill="1" applyBorder="1" applyAlignment="1">
      <alignment horizontal="center" vertical="center" wrapText="1"/>
    </xf>
    <xf numFmtId="0" fontId="3" fillId="0" borderId="1" xfId="11" applyBorder="1" applyAlignment="1">
      <alignment horizontal="center" vertical="center"/>
    </xf>
    <xf numFmtId="0" fontId="3" fillId="0" borderId="2" xfId="11" applyBorder="1" applyAlignment="1">
      <alignment horizontal="center" vertical="center"/>
    </xf>
    <xf numFmtId="0" fontId="3" fillId="0" borderId="3" xfId="11" applyBorder="1" applyAlignment="1">
      <alignment horizontal="center" vertical="center"/>
    </xf>
    <xf numFmtId="0" fontId="3" fillId="0" borderId="8" xfId="11" applyBorder="1" applyAlignment="1">
      <alignment horizontal="center" vertical="center"/>
    </xf>
    <xf numFmtId="0" fontId="3" fillId="0" borderId="9" xfId="11" applyBorder="1" applyAlignment="1">
      <alignment horizontal="center" vertical="center"/>
    </xf>
    <xf numFmtId="0" fontId="3" fillId="0" borderId="10" xfId="11" applyBorder="1" applyAlignment="1">
      <alignment horizontal="center" vertical="center"/>
    </xf>
    <xf numFmtId="40" fontId="7" fillId="0" borderId="0" xfId="15" applyNumberFormat="1" applyFont="1" applyAlignment="1">
      <alignment horizontal="center" vertical="center"/>
    </xf>
    <xf numFmtId="0" fontId="7" fillId="0" borderId="5" xfId="15" applyFont="1" applyBorder="1" applyAlignment="1">
      <alignment horizontal="center"/>
    </xf>
    <xf numFmtId="0" fontId="7" fillId="0" borderId="0" xfId="15" applyFont="1" applyAlignment="1">
      <alignment horizontal="center"/>
    </xf>
    <xf numFmtId="0" fontId="7" fillId="0" borderId="6" xfId="15" applyFont="1" applyBorder="1" applyAlignment="1">
      <alignment horizontal="center"/>
    </xf>
    <xf numFmtId="0" fontId="7" fillId="0" borderId="5" xfId="15" applyFont="1" applyBorder="1" applyAlignment="1">
      <alignment horizontal="center" vertical="center"/>
    </xf>
    <xf numFmtId="0" fontId="7" fillId="0" borderId="0" xfId="15" applyFont="1" applyAlignment="1">
      <alignment horizontal="center" vertical="center"/>
    </xf>
    <xf numFmtId="0" fontId="7" fillId="0" borderId="6" xfId="15" applyFont="1" applyBorder="1" applyAlignment="1">
      <alignment horizontal="center" vertical="center"/>
    </xf>
    <xf numFmtId="0" fontId="4" fillId="0" borderId="15" xfId="15" applyFont="1" applyBorder="1" applyAlignment="1">
      <alignment horizontal="center" vertical="center" wrapText="1"/>
    </xf>
    <xf numFmtId="10" fontId="4" fillId="0" borderId="15" xfId="15" applyNumberFormat="1" applyFont="1" applyBorder="1" applyAlignment="1">
      <alignment horizontal="center" vertical="center"/>
    </xf>
    <xf numFmtId="1" fontId="4" fillId="0" borderId="5" xfId="15" applyNumberFormat="1" applyFont="1" applyBorder="1" applyAlignment="1">
      <alignment horizontal="center" vertical="center"/>
    </xf>
    <xf numFmtId="1" fontId="4" fillId="0" borderId="0" xfId="15" applyNumberFormat="1" applyFont="1" applyAlignment="1">
      <alignment horizontal="center" vertical="center"/>
    </xf>
    <xf numFmtId="1" fontId="4" fillId="0" borderId="6" xfId="15" applyNumberFormat="1" applyFont="1" applyBorder="1" applyAlignment="1">
      <alignment horizontal="center" vertical="center"/>
    </xf>
    <xf numFmtId="1" fontId="7" fillId="0" borderId="7" xfId="15" applyNumberFormat="1" applyFont="1" applyBorder="1" applyAlignment="1">
      <alignment horizontal="left"/>
    </xf>
    <xf numFmtId="4" fontId="7" fillId="0" borderId="7" xfId="15" applyNumberFormat="1" applyFont="1" applyBorder="1" applyAlignment="1">
      <alignment horizontal="center"/>
    </xf>
    <xf numFmtId="4" fontId="7" fillId="0" borderId="15" xfId="15" applyNumberFormat="1" applyFont="1" applyBorder="1" applyAlignment="1">
      <alignment horizontal="center"/>
    </xf>
    <xf numFmtId="1" fontId="7" fillId="0" borderId="15" xfId="15" applyNumberFormat="1" applyFont="1" applyBorder="1" applyAlignment="1">
      <alignment horizontal="left"/>
    </xf>
    <xf numFmtId="4" fontId="7" fillId="0" borderId="13" xfId="15" applyNumberFormat="1" applyFont="1" applyBorder="1" applyAlignment="1">
      <alignment horizontal="center"/>
    </xf>
    <xf numFmtId="1" fontId="7" fillId="0" borderId="14" xfId="15" applyNumberFormat="1" applyFont="1" applyBorder="1" applyAlignment="1">
      <alignment horizontal="left"/>
    </xf>
    <xf numFmtId="4" fontId="7" fillId="0" borderId="14" xfId="15" applyNumberFormat="1" applyFont="1" applyBorder="1" applyAlignment="1">
      <alignment horizontal="center"/>
    </xf>
    <xf numFmtId="0" fontId="7" fillId="0" borderId="11" xfId="15" applyFont="1" applyBorder="1" applyAlignment="1">
      <alignment horizontal="center"/>
    </xf>
    <xf numFmtId="0" fontId="7" fillId="0" borderId="12" xfId="15" applyFont="1" applyBorder="1" applyAlignment="1">
      <alignment horizontal="center"/>
    </xf>
    <xf numFmtId="0" fontId="7" fillId="0" borderId="13" xfId="15" applyFont="1" applyBorder="1" applyAlignment="1">
      <alignment horizontal="center"/>
    </xf>
    <xf numFmtId="1" fontId="4" fillId="0" borderId="12" xfId="15" applyNumberFormat="1" applyFont="1" applyBorder="1" applyAlignment="1">
      <alignment horizontal="center" vertical="center"/>
    </xf>
    <xf numFmtId="4" fontId="4" fillId="0" borderId="12" xfId="15" applyNumberFormat="1" applyFont="1" applyBorder="1" applyAlignment="1">
      <alignment horizontal="center" vertical="center"/>
    </xf>
    <xf numFmtId="4" fontId="4" fillId="0" borderId="13" xfId="15" applyNumberFormat="1" applyFont="1" applyBorder="1" applyAlignment="1">
      <alignment horizontal="center" vertical="center"/>
    </xf>
    <xf numFmtId="0" fontId="4" fillId="0" borderId="1" xfId="15" applyFont="1" applyBorder="1" applyAlignment="1">
      <alignment horizontal="center"/>
    </xf>
    <xf numFmtId="0" fontId="4" fillId="0" borderId="2" xfId="15" applyFont="1" applyBorder="1" applyAlignment="1">
      <alignment horizontal="center"/>
    </xf>
    <xf numFmtId="0" fontId="4" fillId="0" borderId="3" xfId="15" applyFont="1" applyBorder="1" applyAlignment="1">
      <alignment horizontal="center"/>
    </xf>
    <xf numFmtId="0" fontId="4" fillId="0" borderId="5" xfId="15" applyFont="1" applyBorder="1" applyAlignment="1">
      <alignment horizontal="center"/>
    </xf>
    <xf numFmtId="0" fontId="4" fillId="0" borderId="0" xfId="15" applyFont="1" applyAlignment="1">
      <alignment horizontal="center"/>
    </xf>
    <xf numFmtId="0" fontId="4" fillId="0" borderId="6" xfId="15" applyFont="1" applyBorder="1" applyAlignment="1">
      <alignment horizontal="center"/>
    </xf>
    <xf numFmtId="0" fontId="14" fillId="3" borderId="11" xfId="3" applyFont="1" applyFill="1" applyBorder="1" applyAlignment="1">
      <alignment horizontal="center" vertical="center"/>
    </xf>
    <xf numFmtId="0" fontId="14" fillId="3" borderId="12" xfId="3" applyFont="1" applyFill="1" applyBorder="1" applyAlignment="1">
      <alignment horizontal="center" vertical="center"/>
    </xf>
    <xf numFmtId="0" fontId="14" fillId="3" borderId="13" xfId="3" applyFont="1" applyFill="1" applyBorder="1" applyAlignment="1">
      <alignment horizontal="center" vertical="center"/>
    </xf>
    <xf numFmtId="0" fontId="4" fillId="0" borderId="1" xfId="15" applyFont="1" applyBorder="1" applyAlignment="1">
      <alignment horizontal="center" vertical="center"/>
    </xf>
    <xf numFmtId="0" fontId="4" fillId="0" borderId="8" xfId="15" applyFont="1" applyBorder="1" applyAlignment="1">
      <alignment horizontal="center" vertical="center"/>
    </xf>
    <xf numFmtId="0" fontId="4" fillId="0" borderId="2" xfId="15" applyFont="1" applyBorder="1" applyAlignment="1">
      <alignment horizontal="center" vertical="center"/>
    </xf>
    <xf numFmtId="0" fontId="4" fillId="0" borderId="9" xfId="15" applyFont="1" applyBorder="1" applyAlignment="1">
      <alignment horizontal="center" vertical="center"/>
    </xf>
    <xf numFmtId="0" fontId="4" fillId="0" borderId="3" xfId="15" applyFont="1" applyBorder="1" applyAlignment="1">
      <alignment horizontal="center" vertical="center"/>
    </xf>
    <xf numFmtId="0" fontId="4" fillId="0" borderId="10" xfId="15" applyFont="1" applyBorder="1" applyAlignment="1">
      <alignment horizontal="center" vertical="center"/>
    </xf>
    <xf numFmtId="0" fontId="17" fillId="0" borderId="0" xfId="0" applyFont="1" applyAlignment="1">
      <alignment horizontal="right" vertical="center" wrapText="1"/>
    </xf>
    <xf numFmtId="0" fontId="17" fillId="0" borderId="6" xfId="0" applyFont="1" applyBorder="1" applyAlignment="1">
      <alignment horizontal="right" vertical="center" wrapText="1"/>
    </xf>
    <xf numFmtId="0" fontId="14" fillId="3" borderId="11" xfId="3" applyFont="1" applyFill="1" applyBorder="1" applyAlignment="1">
      <alignment horizontal="center" vertical="center" wrapText="1"/>
    </xf>
    <xf numFmtId="0" fontId="14" fillId="3" borderId="12" xfId="3" applyFont="1" applyFill="1" applyBorder="1" applyAlignment="1">
      <alignment horizontal="center" vertical="center" wrapText="1"/>
    </xf>
    <xf numFmtId="0" fontId="14" fillId="3" borderId="13" xfId="3" applyFont="1" applyFill="1" applyBorder="1" applyAlignment="1">
      <alignment horizontal="center" vertical="center" wrapText="1"/>
    </xf>
    <xf numFmtId="0" fontId="4" fillId="0" borderId="15" xfId="0" applyFont="1" applyBorder="1" applyAlignment="1">
      <alignment horizontal="center" vertical="center"/>
    </xf>
    <xf numFmtId="181" fontId="4" fillId="0" borderId="15" xfId="0" applyNumberFormat="1" applyFont="1" applyBorder="1" applyAlignment="1">
      <alignment horizontal="center" vertical="center" wrapText="1"/>
    </xf>
    <xf numFmtId="0" fontId="14" fillId="3" borderId="11" xfId="4" applyFont="1" applyFill="1" applyBorder="1" applyAlignment="1">
      <alignment horizontal="center" vertical="center"/>
    </xf>
    <xf numFmtId="0" fontId="14" fillId="3" borderId="12" xfId="4" applyFont="1" applyFill="1" applyBorder="1" applyAlignment="1">
      <alignment horizontal="center" vertical="center"/>
    </xf>
    <xf numFmtId="0" fontId="14" fillId="3" borderId="13" xfId="4" applyFont="1" applyFill="1" applyBorder="1" applyAlignment="1">
      <alignment horizontal="center" vertical="center"/>
    </xf>
    <xf numFmtId="49" fontId="10" fillId="3" borderId="11" xfId="9" applyNumberFormat="1" applyFont="1" applyFill="1" applyBorder="1" applyAlignment="1">
      <alignment horizontal="right" vertical="center"/>
    </xf>
    <xf numFmtId="49" fontId="10" fillId="3" borderId="12" xfId="9" applyNumberFormat="1" applyFont="1" applyFill="1" applyBorder="1" applyAlignment="1">
      <alignment horizontal="right" vertical="center"/>
    </xf>
    <xf numFmtId="0" fontId="4" fillId="0" borderId="11" xfId="0" applyFont="1" applyBorder="1" applyAlignment="1">
      <alignment horizontal="left" vertical="center"/>
    </xf>
    <xf numFmtId="0" fontId="4" fillId="0" borderId="13" xfId="0" applyFont="1" applyBorder="1" applyAlignment="1">
      <alignment horizontal="left" vertical="center"/>
    </xf>
    <xf numFmtId="10" fontId="7" fillId="0" borderId="11" xfId="2" applyNumberFormat="1" applyFont="1" applyFill="1" applyBorder="1" applyAlignment="1">
      <alignment horizontal="center" vertical="center" wrapText="1"/>
    </xf>
    <xf numFmtId="10" fontId="7" fillId="0" borderId="13" xfId="2" applyNumberFormat="1" applyFont="1" applyFill="1" applyBorder="1" applyAlignment="1">
      <alignment horizontal="center" vertical="center" wrapText="1"/>
    </xf>
    <xf numFmtId="0" fontId="10" fillId="3" borderId="45" xfId="4" applyFont="1" applyFill="1" applyBorder="1" applyAlignment="1">
      <alignment horizontal="center" vertical="center" wrapText="1"/>
    </xf>
    <xf numFmtId="0" fontId="10" fillId="3" borderId="48" xfId="4" applyFont="1" applyFill="1" applyBorder="1" applyAlignment="1">
      <alignment horizontal="center" vertical="center" wrapText="1"/>
    </xf>
    <xf numFmtId="0" fontId="10" fillId="3" borderId="46" xfId="4" applyFont="1" applyFill="1" applyBorder="1" applyAlignment="1">
      <alignment horizontal="center" vertical="center"/>
    </xf>
    <xf numFmtId="0" fontId="10" fillId="3" borderId="49" xfId="4" applyFont="1" applyFill="1" applyBorder="1" applyAlignment="1">
      <alignment horizontal="center" vertical="center"/>
    </xf>
    <xf numFmtId="0" fontId="10" fillId="3" borderId="46" xfId="4" applyFont="1" applyFill="1" applyBorder="1" applyAlignment="1">
      <alignment horizontal="center" vertical="center" wrapText="1"/>
    </xf>
    <xf numFmtId="0" fontId="10" fillId="3" borderId="49" xfId="4" applyFont="1" applyFill="1" applyBorder="1" applyAlignment="1">
      <alignment horizontal="center" vertical="center" wrapText="1"/>
    </xf>
    <xf numFmtId="43" fontId="10" fillId="3" borderId="46" xfId="1" applyFont="1" applyFill="1" applyBorder="1" applyAlignment="1">
      <alignment horizontal="center" vertical="center"/>
    </xf>
    <xf numFmtId="43" fontId="10" fillId="3" borderId="49" xfId="1" applyFont="1" applyFill="1" applyBorder="1" applyAlignment="1">
      <alignment horizontal="center" vertical="center"/>
    </xf>
    <xf numFmtId="0" fontId="10" fillId="3" borderId="47" xfId="4" applyFont="1" applyFill="1" applyBorder="1" applyAlignment="1">
      <alignment horizontal="center" vertical="center"/>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8" fillId="0" borderId="5" xfId="0" applyFont="1" applyBorder="1" applyAlignment="1">
      <alignment horizontal="center" vertical="center"/>
    </xf>
    <xf numFmtId="10" fontId="7" fillId="0" borderId="1" xfId="2" applyNumberFormat="1" applyFont="1" applyFill="1" applyBorder="1" applyAlignment="1">
      <alignment horizontal="center" vertical="center" wrapText="1"/>
    </xf>
    <xf numFmtId="10" fontId="7" fillId="0" borderId="3" xfId="2" applyNumberFormat="1" applyFont="1" applyFill="1" applyBorder="1" applyAlignment="1">
      <alignment horizontal="center" vertical="center" wrapText="1"/>
    </xf>
    <xf numFmtId="0" fontId="47" fillId="0" borderId="62" xfId="9" applyFont="1" applyBorder="1" applyAlignment="1">
      <alignment horizontal="center" vertical="center"/>
    </xf>
    <xf numFmtId="0" fontId="47" fillId="0" borderId="55" xfId="9" applyFont="1" applyBorder="1" applyAlignment="1">
      <alignment horizontal="center" vertical="center"/>
    </xf>
    <xf numFmtId="0" fontId="47" fillId="0" borderId="63" xfId="9" applyFont="1" applyBorder="1" applyAlignment="1">
      <alignment horizontal="left" vertical="center" wrapText="1"/>
    </xf>
    <xf numFmtId="0" fontId="47" fillId="0" borderId="56" xfId="9" applyFont="1" applyBorder="1" applyAlignment="1">
      <alignment horizontal="left" vertical="center" wrapText="1"/>
    </xf>
    <xf numFmtId="0" fontId="14" fillId="3" borderId="59" xfId="9" applyFont="1" applyFill="1" applyBorder="1" applyAlignment="1">
      <alignment horizontal="center" vertical="center"/>
    </xf>
    <xf numFmtId="0" fontId="14" fillId="3" borderId="60" xfId="9" applyFont="1" applyFill="1" applyBorder="1" applyAlignment="1">
      <alignment horizontal="center" vertical="center"/>
    </xf>
    <xf numFmtId="0" fontId="14" fillId="3" borderId="61" xfId="9" applyFont="1" applyFill="1" applyBorder="1" applyAlignment="1">
      <alignment horizontal="center" vertical="center"/>
    </xf>
    <xf numFmtId="0" fontId="10" fillId="3" borderId="49" xfId="9" applyFont="1" applyFill="1" applyBorder="1" applyAlignment="1">
      <alignment horizontal="center" vertical="center"/>
    </xf>
    <xf numFmtId="49" fontId="10" fillId="3" borderId="13" xfId="9" applyNumberFormat="1" applyFont="1" applyFill="1" applyBorder="1" applyAlignment="1">
      <alignment horizontal="right" vertical="center"/>
    </xf>
    <xf numFmtId="0" fontId="9" fillId="3" borderId="11" xfId="9" applyFont="1" applyFill="1" applyBorder="1" applyAlignment="1">
      <alignment horizontal="center" vertical="center"/>
    </xf>
    <xf numFmtId="0" fontId="9" fillId="3" borderId="12" xfId="9" applyFont="1" applyFill="1" applyBorder="1" applyAlignment="1">
      <alignment horizontal="center" vertical="center"/>
    </xf>
    <xf numFmtId="0" fontId="9" fillId="3" borderId="13" xfId="9" applyFont="1" applyFill="1" applyBorder="1" applyAlignment="1">
      <alignment horizontal="center" vertical="center"/>
    </xf>
    <xf numFmtId="0" fontId="4" fillId="0" borderId="15" xfId="9" applyFont="1" applyBorder="1" applyAlignment="1">
      <alignment horizontal="center" vertical="center"/>
    </xf>
    <xf numFmtId="183" fontId="4" fillId="0" borderId="15" xfId="9" applyNumberFormat="1" applyFont="1" applyBorder="1" applyAlignment="1">
      <alignment horizontal="center" vertical="center"/>
    </xf>
    <xf numFmtId="185" fontId="4" fillId="0" borderId="15" xfId="3" applyNumberFormat="1" applyFont="1" applyBorder="1" applyAlignment="1">
      <alignment horizontal="center" vertical="center"/>
    </xf>
    <xf numFmtId="0" fontId="47" fillId="0" borderId="7" xfId="9" applyFont="1" applyBorder="1" applyAlignment="1">
      <alignment horizontal="center" vertical="center"/>
    </xf>
    <xf numFmtId="0" fontId="47" fillId="0" borderId="14" xfId="9" applyFont="1" applyBorder="1" applyAlignment="1">
      <alignment horizontal="center" vertical="center"/>
    </xf>
    <xf numFmtId="0" fontId="8" fillId="2" borderId="7" xfId="0" applyFont="1" applyFill="1" applyBorder="1" applyAlignment="1">
      <alignment horizontal="left" vertical="center"/>
    </xf>
    <xf numFmtId="0" fontId="8" fillId="2" borderId="14" xfId="0" applyFont="1" applyFill="1" applyBorder="1" applyAlignment="1">
      <alignment horizontal="left" vertical="center"/>
    </xf>
    <xf numFmtId="0" fontId="47" fillId="0" borderId="4" xfId="9" applyFont="1" applyBorder="1" applyAlignment="1">
      <alignment horizontal="center" vertical="center"/>
    </xf>
    <xf numFmtId="0" fontId="8" fillId="2" borderId="4" xfId="0" applyFont="1" applyFill="1" applyBorder="1" applyAlignment="1">
      <alignment horizontal="left" vertical="center"/>
    </xf>
    <xf numFmtId="4" fontId="4" fillId="0" borderId="5" xfId="9" applyNumberFormat="1" applyFont="1" applyBorder="1" applyAlignment="1">
      <alignment horizontal="center" vertical="center"/>
    </xf>
    <xf numFmtId="0" fontId="4" fillId="0" borderId="5" xfId="9" applyFont="1" applyBorder="1" applyAlignment="1">
      <alignment horizontal="center" vertical="center"/>
    </xf>
    <xf numFmtId="0" fontId="12" fillId="0" borderId="15" xfId="9" applyFont="1" applyBorder="1" applyAlignment="1">
      <alignment horizontal="center" vertical="center"/>
    </xf>
    <xf numFmtId="185" fontId="12" fillId="0" borderId="15" xfId="3" applyNumberFormat="1" applyFont="1" applyBorder="1" applyAlignment="1">
      <alignment horizontal="center" vertical="center"/>
    </xf>
    <xf numFmtId="185" fontId="12" fillId="0" borderId="11" xfId="3" applyNumberFormat="1" applyFont="1" applyBorder="1" applyAlignment="1">
      <alignment horizontal="center" vertical="center"/>
    </xf>
    <xf numFmtId="185" fontId="12" fillId="0" borderId="13" xfId="3" applyNumberFormat="1" applyFont="1" applyBorder="1" applyAlignment="1">
      <alignment horizontal="center" vertical="center"/>
    </xf>
    <xf numFmtId="183" fontId="12" fillId="0" borderId="15" xfId="9" applyNumberFormat="1" applyFont="1" applyBorder="1" applyAlignment="1">
      <alignment horizontal="center" vertical="center"/>
    </xf>
    <xf numFmtId="185" fontId="4" fillId="0" borderId="11" xfId="3" applyNumberFormat="1" applyFont="1" applyBorder="1" applyAlignment="1">
      <alignment horizontal="center" vertical="center" wrapText="1"/>
    </xf>
    <xf numFmtId="185" fontId="4" fillId="0" borderId="12" xfId="3" applyNumberFormat="1" applyFont="1" applyBorder="1" applyAlignment="1">
      <alignment horizontal="center" vertical="center" wrapText="1"/>
    </xf>
    <xf numFmtId="185" fontId="4" fillId="0" borderId="13" xfId="3" applyNumberFormat="1" applyFont="1" applyBorder="1" applyAlignment="1">
      <alignment horizontal="center" vertical="center" wrapText="1"/>
    </xf>
    <xf numFmtId="185" fontId="4" fillId="0" borderId="7" xfId="3" applyNumberFormat="1" applyFont="1" applyBorder="1" applyAlignment="1">
      <alignment horizontal="center" vertical="center" wrapText="1"/>
    </xf>
    <xf numFmtId="185" fontId="4" fillId="0" borderId="14" xfId="3" applyNumberFormat="1" applyFont="1" applyBorder="1" applyAlignment="1">
      <alignment horizontal="center" vertical="center" wrapText="1"/>
    </xf>
    <xf numFmtId="0" fontId="8" fillId="0" borderId="5" xfId="0" applyFont="1" applyBorder="1" applyAlignment="1">
      <alignment horizontal="left"/>
    </xf>
    <xf numFmtId="0" fontId="8" fillId="0" borderId="0" xfId="0" applyFont="1" applyAlignment="1">
      <alignment horizontal="left"/>
    </xf>
    <xf numFmtId="0" fontId="47" fillId="0" borderId="5" xfId="9" applyFont="1" applyBorder="1" applyAlignment="1">
      <alignment horizontal="left" vertical="center"/>
    </xf>
    <xf numFmtId="0" fontId="47" fillId="0" borderId="0" xfId="9" applyFont="1" applyAlignment="1">
      <alignment horizontal="left" vertical="center"/>
    </xf>
    <xf numFmtId="0" fontId="47" fillId="0" borderId="8" xfId="9" applyFont="1" applyBorder="1" applyAlignment="1">
      <alignment horizontal="left" vertical="center"/>
    </xf>
    <xf numFmtId="0" fontId="47" fillId="0" borderId="9" xfId="9" applyFont="1" applyBorder="1" applyAlignment="1">
      <alignment horizontal="left" vertical="center"/>
    </xf>
    <xf numFmtId="0" fontId="4" fillId="0" borderId="4" xfId="9" applyFont="1" applyBorder="1" applyAlignment="1">
      <alignment horizontal="center" vertical="center"/>
    </xf>
    <xf numFmtId="0" fontId="4" fillId="0" borderId="14" xfId="9" applyFont="1" applyBorder="1" applyAlignment="1">
      <alignment horizontal="center" vertical="center"/>
    </xf>
    <xf numFmtId="0" fontId="4" fillId="0" borderId="8" xfId="9" applyFont="1" applyBorder="1" applyAlignment="1">
      <alignment horizontal="center" vertical="center"/>
    </xf>
    <xf numFmtId="185" fontId="4" fillId="0" borderId="7" xfId="3" applyNumberFormat="1" applyFont="1" applyBorder="1" applyAlignment="1">
      <alignment horizontal="center" vertical="center"/>
    </xf>
    <xf numFmtId="185" fontId="4" fillId="0" borderId="4" xfId="3" applyNumberFormat="1" applyFont="1" applyBorder="1" applyAlignment="1">
      <alignment horizontal="center" vertical="center"/>
    </xf>
    <xf numFmtId="185" fontId="4" fillId="0" borderId="15" xfId="3" applyNumberFormat="1" applyFont="1" applyBorder="1" applyAlignment="1">
      <alignment horizontal="center" vertical="center" wrapText="1"/>
    </xf>
    <xf numFmtId="185" fontId="4" fillId="0" borderId="4" xfId="3" applyNumberFormat="1" applyFont="1" applyBorder="1" applyAlignment="1">
      <alignment horizontal="center" vertical="center" wrapText="1"/>
    </xf>
    <xf numFmtId="0" fontId="10" fillId="10" borderId="11" xfId="14" applyFont="1" applyFill="1" applyBorder="1" applyAlignment="1">
      <alignment horizontal="right" vertical="center"/>
    </xf>
    <xf numFmtId="0" fontId="10" fillId="10" borderId="12" xfId="14" applyFont="1" applyFill="1" applyBorder="1" applyAlignment="1">
      <alignment horizontal="right" vertical="center"/>
    </xf>
    <xf numFmtId="0" fontId="9" fillId="10" borderId="11" xfId="14" applyFont="1" applyFill="1" applyBorder="1" applyAlignment="1">
      <alignment horizontal="center" vertical="center"/>
    </xf>
    <xf numFmtId="0" fontId="9" fillId="10" borderId="12" xfId="14" applyFont="1" applyFill="1" applyBorder="1" applyAlignment="1">
      <alignment horizontal="center" vertical="center"/>
    </xf>
    <xf numFmtId="0" fontId="9" fillId="10" borderId="13" xfId="14" applyFont="1" applyFill="1" applyBorder="1" applyAlignment="1">
      <alignment horizontal="center" vertical="center"/>
    </xf>
    <xf numFmtId="0" fontId="4" fillId="0" borderId="14" xfId="14" applyFont="1" applyBorder="1" applyAlignment="1">
      <alignment horizontal="center" vertical="center"/>
    </xf>
    <xf numFmtId="0" fontId="4" fillId="0" borderId="15" xfId="14" applyFont="1" applyBorder="1" applyAlignment="1">
      <alignment horizontal="center" vertical="center"/>
    </xf>
    <xf numFmtId="0" fontId="4" fillId="0" borderId="4" xfId="14" applyFont="1" applyBorder="1" applyAlignment="1">
      <alignment horizontal="center" vertical="center"/>
    </xf>
    <xf numFmtId="0" fontId="4" fillId="0" borderId="4" xfId="14" applyFont="1" applyBorder="1" applyAlignment="1">
      <alignment horizontal="center" vertical="center" wrapText="1"/>
    </xf>
    <xf numFmtId="0" fontId="4" fillId="0" borderId="14" xfId="14" applyFont="1" applyBorder="1" applyAlignment="1">
      <alignment horizontal="center" vertical="center" wrapText="1"/>
    </xf>
    <xf numFmtId="0" fontId="4" fillId="0" borderId="8" xfId="14" applyFont="1" applyBorder="1" applyAlignment="1">
      <alignment horizontal="center" vertical="center" wrapText="1"/>
    </xf>
    <xf numFmtId="0" fontId="4" fillId="0" borderId="10" xfId="14" applyFont="1" applyBorder="1" applyAlignment="1">
      <alignment horizontal="center" vertical="center" wrapText="1"/>
    </xf>
    <xf numFmtId="0" fontId="10" fillId="10" borderId="11" xfId="14" applyFont="1" applyFill="1" applyBorder="1" applyAlignment="1">
      <alignment horizontal="center" vertical="center"/>
    </xf>
    <xf numFmtId="0" fontId="10" fillId="10" borderId="13" xfId="14" applyFont="1" applyFill="1" applyBorder="1" applyAlignment="1">
      <alignment horizontal="center" vertical="center"/>
    </xf>
    <xf numFmtId="0" fontId="4" fillId="0" borderId="12" xfId="14" applyFont="1" applyBorder="1" applyAlignment="1">
      <alignment horizontal="center" vertical="center" wrapText="1"/>
    </xf>
    <xf numFmtId="0" fontId="4" fillId="0" borderId="13" xfId="14" applyFont="1" applyBorder="1" applyAlignment="1">
      <alignment horizontal="center" vertical="center" wrapText="1"/>
    </xf>
    <xf numFmtId="0" fontId="10" fillId="10" borderId="12" xfId="14" applyFont="1" applyFill="1" applyBorder="1" applyAlignment="1">
      <alignment horizontal="center" vertical="center"/>
    </xf>
    <xf numFmtId="0" fontId="7" fillId="2" borderId="2" xfId="22" applyFont="1" applyFill="1" applyBorder="1" applyAlignment="1">
      <alignment horizontal="left" vertical="center"/>
    </xf>
    <xf numFmtId="0" fontId="9" fillId="3" borderId="11" xfId="22" applyFont="1" applyFill="1" applyBorder="1" applyAlignment="1">
      <alignment horizontal="center" vertical="center"/>
    </xf>
    <xf numFmtId="0" fontId="9" fillId="3" borderId="12" xfId="22" applyFont="1" applyFill="1" applyBorder="1" applyAlignment="1">
      <alignment horizontal="center" vertical="center"/>
    </xf>
    <xf numFmtId="0" fontId="9" fillId="3" borderId="13" xfId="22" applyFont="1" applyFill="1" applyBorder="1" applyAlignment="1">
      <alignment horizontal="center" vertical="center"/>
    </xf>
    <xf numFmtId="0" fontId="4" fillId="0" borderId="7" xfId="22" applyFont="1" applyBorder="1" applyAlignment="1">
      <alignment horizontal="center" vertical="center" wrapText="1"/>
    </xf>
    <xf numFmtId="0" fontId="4" fillId="0" borderId="14" xfId="22" applyFont="1" applyBorder="1" applyAlignment="1">
      <alignment horizontal="center" vertical="center" wrapText="1"/>
    </xf>
    <xf numFmtId="0" fontId="4" fillId="0" borderId="7" xfId="22" applyFont="1" applyBorder="1" applyAlignment="1">
      <alignment horizontal="center" vertical="center"/>
    </xf>
    <xf numFmtId="0" fontId="4" fillId="0" borderId="14" xfId="22" applyFont="1" applyBorder="1" applyAlignment="1">
      <alignment horizontal="center" vertical="center"/>
    </xf>
    <xf numFmtId="0" fontId="4" fillId="0" borderId="11" xfId="22" applyFont="1" applyBorder="1" applyAlignment="1">
      <alignment horizontal="center" vertical="center"/>
    </xf>
    <xf numFmtId="0" fontId="4" fillId="0" borderId="13" xfId="22" applyFont="1" applyBorder="1" applyAlignment="1">
      <alignment horizontal="center" vertical="center"/>
    </xf>
    <xf numFmtId="2" fontId="4" fillId="0" borderId="11" xfId="22" applyNumberFormat="1" applyFont="1" applyBorder="1" applyAlignment="1">
      <alignment horizontal="center" vertical="center" wrapText="1"/>
    </xf>
    <xf numFmtId="2" fontId="4" fillId="0" borderId="12" xfId="22" applyNumberFormat="1" applyFont="1" applyBorder="1" applyAlignment="1">
      <alignment horizontal="center" vertical="center" wrapText="1"/>
    </xf>
    <xf numFmtId="2" fontId="4" fillId="0" borderId="13" xfId="22" applyNumberFormat="1" applyFont="1" applyBorder="1" applyAlignment="1">
      <alignment horizontal="center" vertical="center" wrapText="1"/>
    </xf>
    <xf numFmtId="0" fontId="7" fillId="0" borderId="7" xfId="22" applyFont="1" applyBorder="1" applyAlignment="1">
      <alignment horizontal="center" vertical="center" wrapText="1"/>
    </xf>
    <xf numFmtId="0" fontId="7" fillId="0" borderId="14" xfId="22" applyFont="1" applyBorder="1" applyAlignment="1">
      <alignment horizontal="center" vertical="center" wrapText="1"/>
    </xf>
    <xf numFmtId="0" fontId="4" fillId="0" borderId="12" xfId="23" applyFont="1" applyBorder="1" applyAlignment="1">
      <alignment horizontal="left" vertical="center" wrapText="1"/>
    </xf>
    <xf numFmtId="0" fontId="4" fillId="0" borderId="13" xfId="23" applyFont="1" applyBorder="1" applyAlignment="1">
      <alignment horizontal="left" vertical="center" wrapText="1"/>
    </xf>
    <xf numFmtId="49" fontId="10" fillId="3" borderId="15" xfId="23" applyNumberFormat="1" applyFont="1" applyFill="1" applyBorder="1" applyAlignment="1">
      <alignment horizontal="right" vertical="center"/>
    </xf>
    <xf numFmtId="0" fontId="9" fillId="3" borderId="15" xfId="23" applyFont="1" applyFill="1" applyBorder="1" applyAlignment="1">
      <alignment horizontal="center" vertical="center" wrapText="1"/>
    </xf>
    <xf numFmtId="0" fontId="7" fillId="0" borderId="15" xfId="23" applyFont="1" applyBorder="1" applyAlignment="1">
      <alignment horizontal="center" vertical="center"/>
    </xf>
    <xf numFmtId="0" fontId="7" fillId="0" borderId="15" xfId="23" applyFont="1" applyBorder="1" applyAlignment="1">
      <alignment horizontal="center" vertical="center" wrapText="1"/>
    </xf>
    <xf numFmtId="0" fontId="7" fillId="0" borderId="7" xfId="23" applyFont="1" applyBorder="1" applyAlignment="1">
      <alignment horizontal="center" vertical="center"/>
    </xf>
    <xf numFmtId="0" fontId="7" fillId="0" borderId="14" xfId="23" applyFont="1" applyBorder="1" applyAlignment="1">
      <alignment horizontal="center" vertical="center"/>
    </xf>
    <xf numFmtId="166" fontId="7" fillId="0" borderId="15" xfId="23" applyNumberFormat="1" applyFont="1" applyBorder="1" applyAlignment="1">
      <alignment horizontal="center" vertical="center"/>
    </xf>
    <xf numFmtId="0" fontId="9" fillId="3" borderId="8" xfId="9" applyFont="1" applyFill="1" applyBorder="1" applyAlignment="1">
      <alignment horizontal="center" vertical="center"/>
    </xf>
    <xf numFmtId="0" fontId="9" fillId="3" borderId="9" xfId="9" applyFont="1" applyFill="1" applyBorder="1" applyAlignment="1">
      <alignment horizontal="center" vertical="center"/>
    </xf>
    <xf numFmtId="0" fontId="53" fillId="0" borderId="7" xfId="9" applyFont="1" applyBorder="1" applyAlignment="1">
      <alignment horizontal="center" vertical="center"/>
    </xf>
    <xf numFmtId="0" fontId="53" fillId="0" borderId="14" xfId="9" applyFont="1" applyBorder="1" applyAlignment="1">
      <alignment horizontal="center" vertical="center"/>
    </xf>
    <xf numFmtId="0" fontId="4" fillId="0" borderId="15" xfId="26" applyFont="1" applyBorder="1" applyAlignment="1">
      <alignment horizontal="right"/>
    </xf>
    <xf numFmtId="190" fontId="10" fillId="3" borderId="0" xfId="9" applyNumberFormat="1" applyFont="1" applyFill="1" applyAlignment="1">
      <alignment horizontal="center" vertical="center"/>
    </xf>
    <xf numFmtId="2" fontId="12" fillId="0" borderId="11" xfId="22" applyNumberFormat="1" applyFont="1" applyBorder="1" applyAlignment="1">
      <alignment horizontal="left" vertical="center"/>
    </xf>
    <xf numFmtId="2" fontId="12" fillId="0" borderId="13" xfId="22" applyNumberFormat="1" applyFont="1" applyBorder="1" applyAlignment="1">
      <alignment horizontal="left" vertical="center"/>
    </xf>
    <xf numFmtId="4" fontId="12" fillId="11" borderId="11" xfId="24" applyNumberFormat="1" applyFont="1" applyFill="1" applyBorder="1" applyAlignment="1">
      <alignment horizontal="center" vertical="center"/>
    </xf>
    <xf numFmtId="4" fontId="56" fillId="11" borderId="12" xfId="24" applyNumberFormat="1" applyFont="1" applyFill="1" applyBorder="1" applyAlignment="1">
      <alignment horizontal="center" vertical="center"/>
    </xf>
    <xf numFmtId="4" fontId="56" fillId="11" borderId="13" xfId="24" applyNumberFormat="1" applyFont="1" applyFill="1" applyBorder="1" applyAlignment="1">
      <alignment horizontal="center" vertical="center"/>
    </xf>
    <xf numFmtId="4" fontId="57" fillId="11" borderId="11" xfId="24" applyNumberFormat="1" applyFont="1" applyFill="1" applyBorder="1" applyAlignment="1">
      <alignment horizontal="center" vertical="center"/>
    </xf>
    <xf numFmtId="4" fontId="57" fillId="11" borderId="12" xfId="24" applyNumberFormat="1" applyFont="1" applyFill="1" applyBorder="1" applyAlignment="1">
      <alignment horizontal="center" vertical="center"/>
    </xf>
    <xf numFmtId="4" fontId="57" fillId="11" borderId="13" xfId="24" applyNumberFormat="1" applyFont="1" applyFill="1" applyBorder="1" applyAlignment="1">
      <alignment horizontal="center" vertical="center"/>
    </xf>
    <xf numFmtId="4" fontId="12" fillId="11" borderId="11" xfId="24" applyNumberFormat="1" applyFont="1" applyFill="1" applyBorder="1" applyAlignment="1">
      <alignment horizontal="center" vertical="center" wrapText="1"/>
    </xf>
    <xf numFmtId="4" fontId="12" fillId="11" borderId="12" xfId="24" applyNumberFormat="1" applyFont="1" applyFill="1" applyBorder="1" applyAlignment="1">
      <alignment horizontal="center" vertical="center" wrapText="1"/>
    </xf>
    <xf numFmtId="4" fontId="12" fillId="11" borderId="13" xfId="24" applyNumberFormat="1" applyFont="1" applyFill="1" applyBorder="1" applyAlignment="1">
      <alignment horizontal="center" vertical="center" wrapText="1"/>
    </xf>
    <xf numFmtId="0" fontId="58" fillId="11" borderId="15" xfId="22" applyFont="1" applyFill="1" applyBorder="1" applyAlignment="1">
      <alignment horizontal="right" vertical="center" wrapText="1"/>
    </xf>
    <xf numFmtId="0" fontId="57" fillId="0" borderId="15" xfId="0" applyFont="1" applyBorder="1" applyAlignment="1">
      <alignment horizontal="center"/>
    </xf>
    <xf numFmtId="0" fontId="57" fillId="0" borderId="11" xfId="0" applyFont="1" applyBorder="1" applyAlignment="1">
      <alignment horizontal="center"/>
    </xf>
    <xf numFmtId="0" fontId="57" fillId="0" borderId="13" xfId="0" applyFont="1" applyBorder="1" applyAlignment="1">
      <alignment horizontal="center"/>
    </xf>
    <xf numFmtId="0" fontId="12" fillId="11" borderId="4" xfId="22" applyFont="1" applyFill="1" applyBorder="1" applyAlignment="1">
      <alignment horizontal="center" vertical="center" wrapText="1"/>
    </xf>
    <xf numFmtId="0" fontId="12" fillId="11" borderId="14" xfId="22" applyFont="1" applyFill="1" applyBorder="1" applyAlignment="1">
      <alignment horizontal="center" vertical="center" wrapText="1"/>
    </xf>
    <xf numFmtId="0" fontId="12" fillId="2" borderId="5" xfId="22" applyFont="1" applyFill="1" applyBorder="1" applyAlignment="1">
      <alignment horizontal="center" vertical="center"/>
    </xf>
    <xf numFmtId="0" fontId="12" fillId="2" borderId="0" xfId="22" applyFont="1" applyFill="1" applyAlignment="1">
      <alignment horizontal="center" vertical="center"/>
    </xf>
    <xf numFmtId="0" fontId="12" fillId="2" borderId="6" xfId="22" applyFont="1" applyFill="1" applyBorder="1" applyAlignment="1">
      <alignment horizontal="center" vertical="center"/>
    </xf>
    <xf numFmtId="0" fontId="12" fillId="2" borderId="8" xfId="22" applyFont="1" applyFill="1" applyBorder="1" applyAlignment="1">
      <alignment horizontal="center" vertical="center"/>
    </xf>
    <xf numFmtId="0" fontId="12" fillId="2" borderId="9" xfId="22" applyFont="1" applyFill="1" applyBorder="1" applyAlignment="1">
      <alignment horizontal="center" vertical="center"/>
    </xf>
    <xf numFmtId="0" fontId="12" fillId="2" borderId="10" xfId="22" applyFont="1" applyFill="1" applyBorder="1" applyAlignment="1">
      <alignment horizontal="center" vertical="center"/>
    </xf>
    <xf numFmtId="2" fontId="12" fillId="2" borderId="5" xfId="22" applyNumberFormat="1" applyFont="1" applyFill="1" applyBorder="1" applyAlignment="1">
      <alignment horizontal="center" vertical="center" wrapText="1"/>
    </xf>
    <xf numFmtId="2" fontId="12" fillId="2" borderId="0" xfId="22" applyNumberFormat="1" applyFont="1" applyFill="1" applyAlignment="1">
      <alignment horizontal="center" vertical="center" wrapText="1"/>
    </xf>
    <xf numFmtId="2" fontId="12" fillId="2" borderId="6" xfId="22" applyNumberFormat="1" applyFont="1" applyFill="1" applyBorder="1" applyAlignment="1">
      <alignment horizontal="center" vertical="center" wrapText="1"/>
    </xf>
    <xf numFmtId="2" fontId="12" fillId="2" borderId="8" xfId="22" applyNumberFormat="1" applyFont="1" applyFill="1" applyBorder="1" applyAlignment="1">
      <alignment horizontal="center" vertical="center" wrapText="1"/>
    </xf>
    <xf numFmtId="2" fontId="12" fillId="2" borderId="9" xfId="22" applyNumberFormat="1" applyFont="1" applyFill="1" applyBorder="1" applyAlignment="1">
      <alignment horizontal="center" vertical="center" wrapText="1"/>
    </xf>
    <xf numFmtId="2" fontId="12" fillId="2" borderId="10" xfId="22" applyNumberFormat="1" applyFont="1" applyFill="1" applyBorder="1" applyAlignment="1">
      <alignment horizontal="center" vertical="center" wrapText="1"/>
    </xf>
    <xf numFmtId="0" fontId="12" fillId="11" borderId="11" xfId="22" applyFont="1" applyFill="1" applyBorder="1" applyAlignment="1">
      <alignment horizontal="center" vertical="center" wrapText="1"/>
    </xf>
    <xf numFmtId="0" fontId="12" fillId="11" borderId="12" xfId="22" applyFont="1" applyFill="1" applyBorder="1" applyAlignment="1">
      <alignment horizontal="center" vertical="center" wrapText="1"/>
    </xf>
    <xf numFmtId="0" fontId="12" fillId="11" borderId="13" xfId="22" applyFont="1" applyFill="1" applyBorder="1" applyAlignment="1">
      <alignment horizontal="center" vertical="center" wrapText="1"/>
    </xf>
    <xf numFmtId="4" fontId="3" fillId="11" borderId="12" xfId="24" applyNumberFormat="1" applyFont="1" applyFill="1" applyBorder="1" applyAlignment="1">
      <alignment horizontal="center" vertical="center" wrapText="1"/>
    </xf>
    <xf numFmtId="4" fontId="3" fillId="11" borderId="13" xfId="24" applyNumberFormat="1" applyFont="1" applyFill="1" applyBorder="1" applyAlignment="1">
      <alignment horizontal="center" vertical="center" wrapText="1"/>
    </xf>
    <xf numFmtId="0" fontId="4" fillId="0" borderId="8" xfId="27" applyFont="1" applyBorder="1" applyAlignment="1" applyProtection="1">
      <alignment horizontal="center" vertical="center" wrapText="1"/>
      <protection locked="0"/>
    </xf>
    <xf numFmtId="0" fontId="4" fillId="0" borderId="9" xfId="27" applyFont="1" applyBorder="1" applyAlignment="1" applyProtection="1">
      <alignment horizontal="center" vertical="center" wrapText="1"/>
      <protection locked="0"/>
    </xf>
    <xf numFmtId="0" fontId="4" fillId="2" borderId="12" xfId="27" applyFont="1" applyFill="1" applyBorder="1" applyAlignment="1" applyProtection="1">
      <alignment horizontal="center" vertical="center" wrapText="1"/>
      <protection locked="0"/>
    </xf>
    <xf numFmtId="0" fontId="4" fillId="2" borderId="13" xfId="27" applyFont="1" applyFill="1" applyBorder="1" applyAlignment="1" applyProtection="1">
      <alignment horizontal="center" vertical="center" wrapText="1"/>
      <protection locked="0"/>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2" fontId="7" fillId="2" borderId="12" xfId="0" applyNumberFormat="1" applyFont="1" applyFill="1" applyBorder="1" applyAlignment="1">
      <alignment horizontal="center" vertical="center" wrapText="1"/>
    </xf>
    <xf numFmtId="2" fontId="7" fillId="2" borderId="13" xfId="0" applyNumberFormat="1" applyFont="1" applyFill="1" applyBorder="1" applyAlignment="1">
      <alignment horizontal="center" vertical="center" wrapText="1"/>
    </xf>
    <xf numFmtId="0" fontId="10" fillId="3" borderId="15" xfId="9" applyFont="1" applyFill="1" applyBorder="1" applyAlignment="1">
      <alignment horizontal="center" vertical="center" wrapText="1"/>
    </xf>
    <xf numFmtId="0" fontId="10" fillId="3" borderId="76" xfId="9" applyFont="1" applyFill="1" applyBorder="1" applyAlignment="1">
      <alignment horizontal="center" vertical="center" wrapText="1"/>
    </xf>
    <xf numFmtId="0" fontId="10" fillId="3" borderId="77" xfId="9" applyFont="1" applyFill="1" applyBorder="1" applyAlignment="1">
      <alignment horizontal="center" vertical="center" wrapText="1"/>
    </xf>
    <xf numFmtId="0" fontId="10" fillId="3" borderId="78" xfId="9" applyFont="1" applyFill="1" applyBorder="1" applyAlignment="1">
      <alignment horizontal="center" vertical="center" wrapText="1"/>
    </xf>
    <xf numFmtId="49" fontId="10" fillId="3" borderId="84" xfId="0" applyNumberFormat="1" applyFont="1" applyFill="1" applyBorder="1" applyAlignment="1">
      <alignment horizontal="right" vertical="center" wrapText="1"/>
    </xf>
    <xf numFmtId="49" fontId="10" fillId="3" borderId="85" xfId="0" applyNumberFormat="1" applyFont="1" applyFill="1" applyBorder="1" applyAlignment="1">
      <alignment horizontal="right" vertical="center" wrapText="1"/>
    </xf>
    <xf numFmtId="0" fontId="10" fillId="13" borderId="87" xfId="9" applyFont="1" applyFill="1" applyBorder="1" applyAlignment="1">
      <alignment horizontal="center" vertical="center" wrapText="1"/>
    </xf>
    <xf numFmtId="0" fontId="10" fillId="13" borderId="88" xfId="9" applyFont="1" applyFill="1" applyBorder="1" applyAlignment="1">
      <alignment horizontal="center" vertical="center" wrapText="1"/>
    </xf>
    <xf numFmtId="0" fontId="10" fillId="13" borderId="89" xfId="9" applyFont="1" applyFill="1" applyBorder="1" applyAlignment="1">
      <alignment horizontal="center" vertical="center" wrapText="1"/>
    </xf>
    <xf numFmtId="0" fontId="10" fillId="13" borderId="12" xfId="9" applyFont="1" applyFill="1" applyBorder="1" applyAlignment="1">
      <alignment horizontal="center" vertical="center" wrapText="1"/>
    </xf>
    <xf numFmtId="0" fontId="10" fillId="13" borderId="13" xfId="9" applyFont="1" applyFill="1" applyBorder="1" applyAlignment="1">
      <alignment horizontal="center" vertical="center" wrapText="1"/>
    </xf>
    <xf numFmtId="49" fontId="10" fillId="3" borderId="15" xfId="0" applyNumberFormat="1" applyFont="1" applyFill="1" applyBorder="1" applyAlignment="1">
      <alignment horizontal="right" vertical="center" wrapText="1"/>
    </xf>
    <xf numFmtId="0" fontId="9" fillId="3" borderId="39" xfId="9" applyFont="1" applyFill="1" applyBorder="1" applyAlignment="1">
      <alignment horizontal="center" vertical="center" wrapText="1"/>
    </xf>
    <xf numFmtId="0" fontId="9" fillId="3" borderId="75" xfId="9" applyFont="1" applyFill="1" applyBorder="1" applyAlignment="1">
      <alignment horizontal="center" vertical="center" wrapText="1"/>
    </xf>
    <xf numFmtId="0" fontId="9" fillId="3" borderId="40" xfId="9" applyFont="1" applyFill="1" applyBorder="1" applyAlignment="1">
      <alignment horizontal="center" vertical="center" wrapText="1"/>
    </xf>
    <xf numFmtId="0" fontId="9" fillId="3" borderId="0" xfId="9" applyFont="1" applyFill="1" applyAlignment="1">
      <alignment horizontal="center" vertical="center" wrapText="1"/>
    </xf>
    <xf numFmtId="0" fontId="7" fillId="0" borderId="15" xfId="0" applyFont="1" applyBorder="1" applyAlignment="1">
      <alignment horizontal="center"/>
    </xf>
    <xf numFmtId="4" fontId="10" fillId="3" borderId="81" xfId="0" applyNumberFormat="1" applyFont="1" applyFill="1" applyBorder="1" applyAlignment="1">
      <alignment horizontal="center" vertical="center" wrapText="1"/>
    </xf>
    <xf numFmtId="4" fontId="10" fillId="3" borderId="82" xfId="0" applyNumberFormat="1" applyFont="1" applyFill="1" applyBorder="1" applyAlignment="1">
      <alignment horizontal="center" vertical="center" wrapText="1"/>
    </xf>
    <xf numFmtId="4" fontId="10" fillId="3" borderId="83" xfId="0" applyNumberFormat="1" applyFont="1" applyFill="1" applyBorder="1" applyAlignment="1">
      <alignment horizontal="center" vertical="center" wrapText="1"/>
    </xf>
    <xf numFmtId="4" fontId="7" fillId="0" borderId="15" xfId="0" applyNumberFormat="1" applyFont="1" applyBorder="1" applyAlignment="1">
      <alignment horizontal="center"/>
    </xf>
    <xf numFmtId="4" fontId="10" fillId="3" borderId="11" xfId="0" applyNumberFormat="1" applyFont="1" applyFill="1" applyBorder="1" applyAlignment="1">
      <alignment horizontal="center" vertical="center" wrapText="1"/>
    </xf>
    <xf numFmtId="4" fontId="10" fillId="3" borderId="13" xfId="0" applyNumberFormat="1" applyFont="1" applyFill="1" applyBorder="1" applyAlignment="1">
      <alignment horizontal="center" vertical="center" wrapText="1"/>
    </xf>
    <xf numFmtId="0" fontId="8" fillId="0" borderId="90" xfId="0" applyFont="1" applyBorder="1" applyAlignment="1" applyProtection="1">
      <alignment horizontal="center" vertical="center"/>
      <protection locked="0"/>
    </xf>
    <xf numFmtId="0" fontId="8" fillId="0" borderId="91" xfId="0" applyFont="1" applyBorder="1" applyAlignment="1" applyProtection="1">
      <alignment horizontal="center" vertical="center"/>
      <protection locked="0"/>
    </xf>
    <xf numFmtId="0" fontId="8" fillId="0" borderId="92" xfId="0" applyFont="1" applyBorder="1" applyAlignment="1" applyProtection="1">
      <alignment horizontal="center" vertical="center"/>
      <protection locked="0"/>
    </xf>
    <xf numFmtId="0" fontId="9" fillId="3" borderId="15" xfId="9" applyFont="1" applyFill="1" applyBorder="1" applyAlignment="1">
      <alignment horizontal="center" vertical="center"/>
    </xf>
    <xf numFmtId="0" fontId="9" fillId="3" borderId="7" xfId="9" applyFont="1" applyFill="1" applyBorder="1" applyAlignment="1">
      <alignment horizontal="center" vertical="center"/>
    </xf>
    <xf numFmtId="0" fontId="8" fillId="0" borderId="90" xfId="0" applyFont="1" applyBorder="1" applyAlignment="1">
      <alignment horizontal="center" vertical="center"/>
    </xf>
    <xf numFmtId="0" fontId="8" fillId="0" borderId="91" xfId="0" applyFont="1" applyBorder="1" applyAlignment="1">
      <alignment horizontal="center" vertical="center"/>
    </xf>
    <xf numFmtId="0" fontId="8" fillId="0" borderId="92" xfId="0" applyFont="1" applyBorder="1" applyAlignment="1">
      <alignment horizontal="center" vertical="center"/>
    </xf>
    <xf numFmtId="0" fontId="10" fillId="3" borderId="2" xfId="26" applyFont="1" applyFill="1" applyBorder="1" applyAlignment="1">
      <alignment horizontal="right" vertical="center"/>
    </xf>
    <xf numFmtId="0" fontId="10" fillId="3" borderId="3" xfId="26" applyFont="1" applyFill="1" applyBorder="1" applyAlignment="1">
      <alignment horizontal="right" vertical="center"/>
    </xf>
    <xf numFmtId="0" fontId="14" fillId="3" borderId="15" xfId="9" applyFont="1" applyFill="1" applyBorder="1" applyAlignment="1">
      <alignment horizontal="center" vertical="center"/>
    </xf>
    <xf numFmtId="0" fontId="4" fillId="0" borderId="7" xfId="9" applyFont="1" applyBorder="1" applyAlignment="1">
      <alignment horizontal="center" vertical="center"/>
    </xf>
    <xf numFmtId="0" fontId="4" fillId="0" borderId="12" xfId="9" applyFont="1" applyBorder="1" applyAlignment="1">
      <alignment horizontal="center" vertical="center"/>
    </xf>
    <xf numFmtId="0" fontId="4" fillId="0" borderId="13" xfId="9" applyFont="1" applyBorder="1" applyAlignment="1">
      <alignment horizontal="center" vertical="center"/>
    </xf>
    <xf numFmtId="0" fontId="4" fillId="0" borderId="11" xfId="9" applyFont="1" applyBorder="1" applyAlignment="1">
      <alignment horizontal="center" vertical="center"/>
    </xf>
    <xf numFmtId="0" fontId="14" fillId="3" borderId="9" xfId="9" applyFont="1" applyFill="1" applyBorder="1" applyAlignment="1">
      <alignment horizontal="center" vertical="center"/>
    </xf>
    <xf numFmtId="0" fontId="14" fillId="3" borderId="10" xfId="9" applyFont="1" applyFill="1" applyBorder="1" applyAlignment="1">
      <alignment horizontal="center" vertical="center"/>
    </xf>
    <xf numFmtId="4" fontId="7" fillId="2" borderId="11" xfId="14" applyNumberFormat="1" applyFont="1" applyFill="1" applyBorder="1" applyAlignment="1">
      <alignment horizontal="center" vertical="center"/>
    </xf>
    <xf numFmtId="4" fontId="7" fillId="2" borderId="13" xfId="14" applyNumberFormat="1" applyFont="1" applyFill="1" applyBorder="1" applyAlignment="1">
      <alignment horizontal="center" vertical="center"/>
    </xf>
    <xf numFmtId="4" fontId="7" fillId="2" borderId="15" xfId="14" applyNumberFormat="1" applyFont="1" applyFill="1" applyBorder="1" applyAlignment="1">
      <alignment horizontal="center" vertical="center"/>
    </xf>
    <xf numFmtId="0" fontId="16" fillId="3" borderId="15" xfId="14" applyFont="1" applyFill="1" applyBorder="1" applyAlignment="1">
      <alignment horizontal="center" vertical="center"/>
    </xf>
    <xf numFmtId="0" fontId="7" fillId="0" borderId="11" xfId="23" applyFont="1" applyBorder="1" applyAlignment="1">
      <alignment horizontal="left" vertical="center" wrapText="1"/>
    </xf>
    <xf numFmtId="0" fontId="7" fillId="0" borderId="12" xfId="23" applyFont="1" applyBorder="1" applyAlignment="1">
      <alignment horizontal="left" vertical="center" wrapText="1"/>
    </xf>
    <xf numFmtId="0" fontId="7" fillId="0" borderId="13" xfId="23" applyFont="1" applyBorder="1" applyAlignment="1">
      <alignment horizontal="left" vertical="center" wrapText="1"/>
    </xf>
    <xf numFmtId="0" fontId="0" fillId="0" borderId="13" xfId="0" applyBorder="1" applyAlignment="1">
      <alignment horizontal="left" vertical="center" wrapText="1"/>
    </xf>
    <xf numFmtId="0" fontId="7" fillId="0" borderId="11" xfId="23" applyFont="1" applyBorder="1" applyAlignment="1">
      <alignment horizontal="center" vertical="center"/>
    </xf>
    <xf numFmtId="0" fontId="7" fillId="0" borderId="12" xfId="23" applyFont="1" applyBorder="1" applyAlignment="1">
      <alignment horizontal="center" vertical="center"/>
    </xf>
    <xf numFmtId="0" fontId="7" fillId="0" borderId="13" xfId="23" applyFont="1" applyBorder="1" applyAlignment="1">
      <alignment horizontal="center" vertical="center"/>
    </xf>
  </cellXfs>
  <cellStyles count="28">
    <cellStyle name="Normal" xfId="0" builtinId="0"/>
    <cellStyle name="Normal 10" xfId="14"/>
    <cellStyle name="Normal 10 2 2" xfId="27"/>
    <cellStyle name="Normal 12 2 5" xfId="11"/>
    <cellStyle name="Normal 16 2" xfId="22"/>
    <cellStyle name="Normal 17 2 2" xfId="12"/>
    <cellStyle name="Normal 2 10" xfId="9"/>
    <cellStyle name="Normal 2 2 10" xfId="15"/>
    <cellStyle name="Normal 2 2 2 2" xfId="4"/>
    <cellStyle name="Normal 2 3" xfId="3"/>
    <cellStyle name="Normal 282" xfId="5"/>
    <cellStyle name="Normal 282 2" xfId="6"/>
    <cellStyle name="Normal 3 12" xfId="26"/>
    <cellStyle name="Normal 3 2 3" xfId="16"/>
    <cellStyle name="Normal 5" xfId="20"/>
    <cellStyle name="Normal 6 2" xfId="19"/>
    <cellStyle name="Normal 8 2" xfId="23"/>
    <cellStyle name="Normal 9" xfId="7"/>
    <cellStyle name="Porcentagem" xfId="2" builtinId="5"/>
    <cellStyle name="Porcentagem 2 10" xfId="17"/>
    <cellStyle name="Porcentagem 3 2 2" xfId="21"/>
    <cellStyle name="Vírgula" xfId="1" builtinId="3"/>
    <cellStyle name="Vírgula 12" xfId="24"/>
    <cellStyle name="Vírgula 15" xfId="10"/>
    <cellStyle name="Vírgula 2 2 2" xfId="25"/>
    <cellStyle name="Vírgula 2 3" xfId="18"/>
    <cellStyle name="Vírgula 5 12" xfId="13"/>
    <cellStyle name="Vírgula 6" xfId="8"/>
  </cellStyles>
  <dxfs count="68">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b/>
        <i val="0"/>
        <color auto="1"/>
      </font>
      <fill>
        <patternFill>
          <bgColor theme="3" tint="0.79998168889431442"/>
        </patternFill>
      </fill>
    </dxf>
    <dxf>
      <font>
        <b/>
        <i val="0"/>
        <color auto="1"/>
      </font>
      <fill>
        <patternFill>
          <bgColor theme="3" tint="0.79998168889431442"/>
        </patternFill>
      </fill>
    </dxf>
    <dxf>
      <font>
        <b/>
        <i val="0"/>
        <color auto="1"/>
      </font>
      <fill>
        <patternFill>
          <bgColor theme="3" tint="0.79998168889431442"/>
        </patternFill>
      </fill>
    </dxf>
    <dxf>
      <font>
        <b/>
        <i val="0"/>
        <color auto="1"/>
      </font>
      <fill>
        <patternFill>
          <bgColor theme="3" tint="0.79998168889431442"/>
        </patternFill>
      </fill>
    </dxf>
    <dxf>
      <font>
        <b/>
        <i val="0"/>
        <color auto="1"/>
      </font>
      <fill>
        <patternFill>
          <bgColor theme="3" tint="0.79998168889431442"/>
        </patternFill>
      </fill>
    </dxf>
    <dxf>
      <font>
        <b/>
        <i val="0"/>
        <color auto="1"/>
      </font>
      <fill>
        <patternFill>
          <bgColor theme="3" tint="0.79998168889431442"/>
        </patternFill>
      </fill>
    </dxf>
    <dxf>
      <font>
        <b/>
        <i val="0"/>
        <color auto="1"/>
      </font>
      <fill>
        <patternFill>
          <bgColor theme="3" tint="0.79998168889431442"/>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
      <font>
        <color rgb="FFFF0000"/>
      </font>
      <fill>
        <patternFill>
          <bgColor rgb="FFFF99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A1"/></Relationships>
</file>

<file path=xl/drawings/_rels/drawing6.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8.jpeg"/><Relationship Id="rId4" Type="http://schemas.openxmlformats.org/officeDocument/2006/relationships/image" Target="../media/image1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6" Type="http://schemas.openxmlformats.org/officeDocument/2006/relationships/image" Target="../media/image17.png"/><Relationship Id="rId5" Type="http://schemas.openxmlformats.org/officeDocument/2006/relationships/image" Target="../media/image16.png"/><Relationship Id="rId4" Type="http://schemas.openxmlformats.org/officeDocument/2006/relationships/image" Target="../media/image15.png"/></Relationships>
</file>

<file path=xl/drawings/_rels/drawing8.xml.rels><?xml version="1.0" encoding="UTF-8" standalone="yes"?>
<Relationships xmlns="http://schemas.openxmlformats.org/package/2006/relationships"><Relationship Id="rId2" Type="http://schemas.openxmlformats.org/officeDocument/2006/relationships/image" Target="../media/image20.jpeg"/><Relationship Id="rId1" Type="http://schemas.openxmlformats.org/officeDocument/2006/relationships/image" Target="../media/image19.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7.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18.jpe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0.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171450</xdr:colOff>
      <xdr:row>38</xdr:row>
      <xdr:rowOff>171450</xdr:rowOff>
    </xdr:from>
    <xdr:to>
      <xdr:col>0</xdr:col>
      <xdr:colOff>942975</xdr:colOff>
      <xdr:row>40</xdr:row>
      <xdr:rowOff>28575</xdr:rowOff>
    </xdr:to>
    <xdr:sp macro="" textlink="">
      <xdr:nvSpPr>
        <xdr:cNvPr id="2" name="Retângulo 1">
          <a:extLst>
            <a:ext uri="{FF2B5EF4-FFF2-40B4-BE49-F238E27FC236}">
              <a16:creationId xmlns:a16="http://schemas.microsoft.com/office/drawing/2014/main" xmlns="" id="{645B9260-8ACB-43F6-9D1B-C7F2893BF47A}"/>
            </a:ext>
          </a:extLst>
        </xdr:cNvPr>
        <xdr:cNvSpPr/>
      </xdr:nvSpPr>
      <xdr:spPr>
        <a:xfrm>
          <a:off x="171450" y="9525000"/>
          <a:ext cx="771525" cy="238125"/>
        </a:xfrm>
        <a:prstGeom prst="rect">
          <a:avLst/>
        </a:prstGeom>
        <a:solidFill>
          <a:srgbClr val="0E2E7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0</xdr:col>
      <xdr:colOff>272142</xdr:colOff>
      <xdr:row>20</xdr:row>
      <xdr:rowOff>54429</xdr:rowOff>
    </xdr:from>
    <xdr:to>
      <xdr:col>2</xdr:col>
      <xdr:colOff>3125561</xdr:colOff>
      <xdr:row>32</xdr:row>
      <xdr:rowOff>179446</xdr:rowOff>
    </xdr:to>
    <xdr:pic>
      <xdr:nvPicPr>
        <xdr:cNvPr id="3" name="Imagem 2">
          <a:extLst>
            <a:ext uri="{FF2B5EF4-FFF2-40B4-BE49-F238E27FC236}">
              <a16:creationId xmlns:a16="http://schemas.microsoft.com/office/drawing/2014/main" xmlns="" id="{A606371D-D79A-48CD-9B04-AF236DF1E61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621" t="15410" r="5208" b="34606"/>
        <a:stretch/>
      </xdr:blipFill>
      <xdr:spPr>
        <a:xfrm>
          <a:off x="272142" y="5978979"/>
          <a:ext cx="4786994" cy="2411017"/>
        </a:xfrm>
        <a:prstGeom prst="rect">
          <a:avLst/>
        </a:prstGeom>
      </xdr:spPr>
    </xdr:pic>
    <xdr:clientData/>
  </xdr:twoCellAnchor>
  <xdr:twoCellAnchor editAs="oneCell">
    <xdr:from>
      <xdr:col>2</xdr:col>
      <xdr:colOff>4695825</xdr:colOff>
      <xdr:row>23</xdr:row>
      <xdr:rowOff>76033</xdr:rowOff>
    </xdr:from>
    <xdr:to>
      <xdr:col>6</xdr:col>
      <xdr:colOff>695325</xdr:colOff>
      <xdr:row>33</xdr:row>
      <xdr:rowOff>1123</xdr:rowOff>
    </xdr:to>
    <xdr:pic>
      <xdr:nvPicPr>
        <xdr:cNvPr id="4" name="Imagem 3">
          <a:extLst>
            <a:ext uri="{FF2B5EF4-FFF2-40B4-BE49-F238E27FC236}">
              <a16:creationId xmlns:a16="http://schemas.microsoft.com/office/drawing/2014/main" xmlns="" id="{596DD632-50E4-49A2-97CD-361CB4DFE07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4053" t="8174" r="5588" b="41440"/>
        <a:stretch/>
      </xdr:blipFill>
      <xdr:spPr>
        <a:xfrm>
          <a:off x="6629400" y="6572083"/>
          <a:ext cx="3619500" cy="18300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275853</xdr:colOff>
      <xdr:row>25</xdr:row>
      <xdr:rowOff>283277</xdr:rowOff>
    </xdr:from>
    <xdr:to>
      <xdr:col>13</xdr:col>
      <xdr:colOff>3041815</xdr:colOff>
      <xdr:row>32</xdr:row>
      <xdr:rowOff>138976</xdr:rowOff>
    </xdr:to>
    <xdr:pic>
      <xdr:nvPicPr>
        <xdr:cNvPr id="2" name="Imagem 1">
          <a:extLst>
            <a:ext uri="{FF2B5EF4-FFF2-40B4-BE49-F238E27FC236}">
              <a16:creationId xmlns:a16="http://schemas.microsoft.com/office/drawing/2014/main" xmlns="" id="{44EDC026-1039-4E0A-A063-E2F44A94C9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73203" y="10379777"/>
          <a:ext cx="3756562" cy="1313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13</xdr:col>
      <xdr:colOff>0</xdr:colOff>
      <xdr:row>1</xdr:row>
      <xdr:rowOff>0</xdr:rowOff>
    </xdr:from>
    <xdr:to>
      <xdr:col>16</xdr:col>
      <xdr:colOff>296778</xdr:colOff>
      <xdr:row>2</xdr:row>
      <xdr:rowOff>113296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308B0AC-A980-4DA2-BB13-8146A8BF1BF6}"/>
            </a:ext>
          </a:extLst>
        </xdr:cNvPr>
        <xdr:cNvSpPr txBox="1"/>
      </xdr:nvSpPr>
      <xdr:spPr>
        <a:xfrm>
          <a:off x="11696700" y="266700"/>
          <a:ext cx="2125578" cy="360946"/>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600" b="1">
              <a:solidFill>
                <a:srgbClr val="FF0000"/>
              </a:solidFill>
            </a:rPr>
            <a:t>VOLTAR AO ÍNDICE</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0</xdr:row>
          <xdr:rowOff>99060</xdr:rowOff>
        </xdr:from>
        <xdr:to>
          <xdr:col>0</xdr:col>
          <xdr:colOff>937260</xdr:colOff>
          <xdr:row>3</xdr:row>
          <xdr:rowOff>190500</xdr:rowOff>
        </xdr:to>
        <xdr:sp macro="" textlink="">
          <xdr:nvSpPr>
            <xdr:cNvPr id="4097" name="Object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xdr:col>
      <xdr:colOff>92066</xdr:colOff>
      <xdr:row>30</xdr:row>
      <xdr:rowOff>84994</xdr:rowOff>
    </xdr:from>
    <xdr:to>
      <xdr:col>7</xdr:col>
      <xdr:colOff>1003788</xdr:colOff>
      <xdr:row>34</xdr:row>
      <xdr:rowOff>43963</xdr:rowOff>
    </xdr:to>
    <xdr:sp macro="" textlink="">
      <xdr:nvSpPr>
        <xdr:cNvPr id="2" name="Retângulo de cantos arredondados 1">
          <a:extLst>
            <a:ext uri="{FF2B5EF4-FFF2-40B4-BE49-F238E27FC236}">
              <a16:creationId xmlns:a16="http://schemas.microsoft.com/office/drawing/2014/main" xmlns="" id="{C631D814-C60E-432E-B35D-D983F9D6B79E}"/>
            </a:ext>
          </a:extLst>
        </xdr:cNvPr>
        <xdr:cNvSpPr/>
      </xdr:nvSpPr>
      <xdr:spPr>
        <a:xfrm>
          <a:off x="2587616" y="4971319"/>
          <a:ext cx="5102722" cy="740019"/>
        </a:xfrm>
        <a:prstGeom prst="roundRect">
          <a:avLst/>
        </a:prstGeom>
        <a:no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twoCellAnchor>
    <xdr:from>
      <xdr:col>5</xdr:col>
      <xdr:colOff>236661</xdr:colOff>
      <xdr:row>30</xdr:row>
      <xdr:rowOff>69605</xdr:rowOff>
    </xdr:from>
    <xdr:to>
      <xdr:col>7</xdr:col>
      <xdr:colOff>10960</xdr:colOff>
      <xdr:row>30</xdr:row>
      <xdr:rowOff>315057</xdr:rowOff>
    </xdr:to>
    <xdr:sp macro="" textlink="">
      <xdr:nvSpPr>
        <xdr:cNvPr id="3" name="CaixaDeTexto 2">
          <a:extLst>
            <a:ext uri="{FF2B5EF4-FFF2-40B4-BE49-F238E27FC236}">
              <a16:creationId xmlns:a16="http://schemas.microsoft.com/office/drawing/2014/main" xmlns="" id="{DCA02D04-62D7-40CD-A2E9-12A5F78B8D56}"/>
            </a:ext>
          </a:extLst>
        </xdr:cNvPr>
        <xdr:cNvSpPr txBox="1"/>
      </xdr:nvSpPr>
      <xdr:spPr>
        <a:xfrm>
          <a:off x="4160961" y="4955930"/>
          <a:ext cx="2536549" cy="245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000" b="1">
              <a:latin typeface="Arial" panose="020B0604020202020204" pitchFamily="34" charset="0"/>
              <a:cs typeface="Arial" panose="020B0604020202020204" pitchFamily="34" charset="0"/>
            </a:rPr>
            <a:t>CÁLCULO</a:t>
          </a:r>
          <a:r>
            <a:rPr lang="pt-BR" sz="1000" b="1" baseline="0">
              <a:latin typeface="Arial" panose="020B0604020202020204" pitchFamily="34" charset="0"/>
              <a:cs typeface="Arial" panose="020B0604020202020204" pitchFamily="34" charset="0"/>
            </a:rPr>
            <a:t> DO BDI</a:t>
          </a:r>
          <a:endParaRPr lang="pt-BR" sz="1000" b="1">
            <a:latin typeface="Arial" panose="020B0604020202020204" pitchFamily="34" charset="0"/>
            <a:cs typeface="Arial" panose="020B0604020202020204" pitchFamily="34" charset="0"/>
          </a:endParaRPr>
        </a:p>
      </xdr:txBody>
    </xdr:sp>
    <xdr:clientData/>
  </xdr:twoCellAnchor>
  <xdr:twoCellAnchor>
    <xdr:from>
      <xdr:col>4</xdr:col>
      <xdr:colOff>743136</xdr:colOff>
      <xdr:row>30</xdr:row>
      <xdr:rowOff>310565</xdr:rowOff>
    </xdr:from>
    <xdr:to>
      <xdr:col>7</xdr:col>
      <xdr:colOff>328044</xdr:colOff>
      <xdr:row>34</xdr:row>
      <xdr:rowOff>137578</xdr:rowOff>
    </xdr:to>
    <xdr:grpSp>
      <xdr:nvGrpSpPr>
        <xdr:cNvPr id="4" name="Agrupar 3">
          <a:extLst>
            <a:ext uri="{FF2B5EF4-FFF2-40B4-BE49-F238E27FC236}">
              <a16:creationId xmlns:a16="http://schemas.microsoft.com/office/drawing/2014/main" xmlns="" id="{0F9A9A69-8686-44D7-B42A-6E5F419597F3}"/>
            </a:ext>
          </a:extLst>
        </xdr:cNvPr>
        <xdr:cNvGrpSpPr/>
      </xdr:nvGrpSpPr>
      <xdr:grpSpPr>
        <a:xfrm>
          <a:off x="3317003" y="5051898"/>
          <a:ext cx="3885974" cy="580547"/>
          <a:chOff x="2937458" y="8939368"/>
          <a:chExt cx="3160865" cy="577481"/>
        </a:xfrm>
      </xdr:grpSpPr>
      <xdr:sp macro="" textlink="">
        <xdr:nvSpPr>
          <xdr:cNvPr id="5" name="CaixaDeTexto 4">
            <a:extLst>
              <a:ext uri="{FF2B5EF4-FFF2-40B4-BE49-F238E27FC236}">
                <a16:creationId xmlns:a16="http://schemas.microsoft.com/office/drawing/2014/main" xmlns="" id="{65F9A3F9-EE96-A5EC-6D55-0C9F1CC9EDDE}"/>
              </a:ext>
            </a:extLst>
          </xdr:cNvPr>
          <xdr:cNvSpPr txBox="1"/>
        </xdr:nvSpPr>
        <xdr:spPr>
          <a:xfrm>
            <a:off x="3278593" y="8939368"/>
            <a:ext cx="2533827" cy="5774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000">
                <a:latin typeface="Arial" panose="020B0604020202020204" pitchFamily="34" charset="0"/>
                <a:cs typeface="Arial" panose="020B0604020202020204" pitchFamily="34" charset="0"/>
              </a:rPr>
              <a:t>( 1 + AC + S + R + G ) ( 1 + DF ) ( 1 + L )</a:t>
            </a:r>
          </a:p>
          <a:p>
            <a:pPr algn="ctr"/>
            <a:endParaRPr lang="pt-BR" sz="1000">
              <a:latin typeface="Arial" panose="020B0604020202020204" pitchFamily="34" charset="0"/>
              <a:cs typeface="Arial" panose="020B0604020202020204" pitchFamily="34" charset="0"/>
            </a:endParaRPr>
          </a:p>
          <a:p>
            <a:pPr algn="ctr"/>
            <a:r>
              <a:rPr lang="pt-BR" sz="1000">
                <a:latin typeface="Arial" panose="020B0604020202020204" pitchFamily="34" charset="0"/>
                <a:cs typeface="Arial" panose="020B0604020202020204" pitchFamily="34" charset="0"/>
              </a:rPr>
              <a:t>(1-I)</a:t>
            </a:r>
          </a:p>
        </xdr:txBody>
      </xdr:sp>
      <xdr:sp macro="" textlink="">
        <xdr:nvSpPr>
          <xdr:cNvPr id="6" name="CaixaDeTexto 5">
            <a:extLst>
              <a:ext uri="{FF2B5EF4-FFF2-40B4-BE49-F238E27FC236}">
                <a16:creationId xmlns:a16="http://schemas.microsoft.com/office/drawing/2014/main" xmlns="" id="{D67BE244-6999-394F-0710-9FDBF89BCE26}"/>
              </a:ext>
            </a:extLst>
          </xdr:cNvPr>
          <xdr:cNvSpPr txBox="1"/>
        </xdr:nvSpPr>
        <xdr:spPr>
          <a:xfrm>
            <a:off x="5703152" y="8974013"/>
            <a:ext cx="395171" cy="311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000">
                <a:latin typeface="Arial" panose="020B0604020202020204" pitchFamily="34" charset="0"/>
                <a:cs typeface="Arial" panose="020B0604020202020204" pitchFamily="34" charset="0"/>
              </a:rPr>
              <a:t>-1</a:t>
            </a:r>
          </a:p>
        </xdr:txBody>
      </xdr:sp>
      <xdr:sp macro="" textlink="">
        <xdr:nvSpPr>
          <xdr:cNvPr id="7" name="CaixaDeTexto 6">
            <a:extLst>
              <a:ext uri="{FF2B5EF4-FFF2-40B4-BE49-F238E27FC236}">
                <a16:creationId xmlns:a16="http://schemas.microsoft.com/office/drawing/2014/main" xmlns="" id="{77C2A8A0-F5E5-00EA-1029-5983BE81D77E}"/>
              </a:ext>
            </a:extLst>
          </xdr:cNvPr>
          <xdr:cNvSpPr txBox="1"/>
        </xdr:nvSpPr>
        <xdr:spPr>
          <a:xfrm>
            <a:off x="2937458" y="8974013"/>
            <a:ext cx="531131" cy="311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000" b="1">
                <a:latin typeface="Arial" panose="020B0604020202020204" pitchFamily="34" charset="0"/>
                <a:cs typeface="Arial" panose="020B0604020202020204" pitchFamily="34" charset="0"/>
              </a:rPr>
              <a:t>BDI=</a:t>
            </a:r>
          </a:p>
        </xdr:txBody>
      </xdr:sp>
      <xdr:cxnSp macro="">
        <xdr:nvCxnSpPr>
          <xdr:cNvPr id="8" name="Conector reto 7">
            <a:extLst>
              <a:ext uri="{FF2B5EF4-FFF2-40B4-BE49-F238E27FC236}">
                <a16:creationId xmlns:a16="http://schemas.microsoft.com/office/drawing/2014/main" xmlns="" id="{DA416F33-04B5-0A55-5A7F-916B90512A8C}"/>
              </a:ext>
            </a:extLst>
          </xdr:cNvPr>
          <xdr:cNvCxnSpPr/>
        </xdr:nvCxnSpPr>
        <xdr:spPr>
          <a:xfrm>
            <a:off x="3374572" y="9149444"/>
            <a:ext cx="2400299" cy="0"/>
          </a:xfrm>
          <a:prstGeom prst="line">
            <a:avLst/>
          </a:prstGeom>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8</xdr:col>
      <xdr:colOff>187316</xdr:colOff>
      <xdr:row>30</xdr:row>
      <xdr:rowOff>84994</xdr:rowOff>
    </xdr:from>
    <xdr:to>
      <xdr:col>11</xdr:col>
      <xdr:colOff>1051413</xdr:colOff>
      <xdr:row>34</xdr:row>
      <xdr:rowOff>43963</xdr:rowOff>
    </xdr:to>
    <xdr:sp macro="" textlink="">
      <xdr:nvSpPr>
        <xdr:cNvPr id="9" name="Retângulo de cantos arredondados 1">
          <a:extLst>
            <a:ext uri="{FF2B5EF4-FFF2-40B4-BE49-F238E27FC236}">
              <a16:creationId xmlns:a16="http://schemas.microsoft.com/office/drawing/2014/main" xmlns="" id="{5DCAB4FC-07B3-4DA2-8122-331C4AAAED18}"/>
            </a:ext>
          </a:extLst>
        </xdr:cNvPr>
        <xdr:cNvSpPr/>
      </xdr:nvSpPr>
      <xdr:spPr>
        <a:xfrm>
          <a:off x="8083541" y="4971319"/>
          <a:ext cx="5321797" cy="740019"/>
        </a:xfrm>
        <a:prstGeom prst="roundRect">
          <a:avLst/>
        </a:prstGeom>
        <a:no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twoCellAnchor>
    <xdr:from>
      <xdr:col>8</xdr:col>
      <xdr:colOff>1212974</xdr:colOff>
      <xdr:row>30</xdr:row>
      <xdr:rowOff>69605</xdr:rowOff>
    </xdr:from>
    <xdr:to>
      <xdr:col>11</xdr:col>
      <xdr:colOff>130023</xdr:colOff>
      <xdr:row>30</xdr:row>
      <xdr:rowOff>315057</xdr:rowOff>
    </xdr:to>
    <xdr:sp macro="" textlink="">
      <xdr:nvSpPr>
        <xdr:cNvPr id="10" name="CaixaDeTexto 9">
          <a:extLst>
            <a:ext uri="{FF2B5EF4-FFF2-40B4-BE49-F238E27FC236}">
              <a16:creationId xmlns:a16="http://schemas.microsoft.com/office/drawing/2014/main" xmlns="" id="{D8EEEC9C-1BAE-4C87-A785-42FBB72956CC}"/>
            </a:ext>
          </a:extLst>
        </xdr:cNvPr>
        <xdr:cNvSpPr txBox="1"/>
      </xdr:nvSpPr>
      <xdr:spPr>
        <a:xfrm>
          <a:off x="9109199" y="4955930"/>
          <a:ext cx="3374749" cy="245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000" b="1">
              <a:latin typeface="Arial" panose="020B0604020202020204" pitchFamily="34" charset="0"/>
              <a:cs typeface="Arial" panose="020B0604020202020204" pitchFamily="34" charset="0"/>
            </a:rPr>
            <a:t>ISS</a:t>
          </a:r>
          <a:r>
            <a:rPr lang="pt-BR" sz="1000" b="1" baseline="0">
              <a:latin typeface="Arial" panose="020B0604020202020204" pitchFamily="34" charset="0"/>
              <a:cs typeface="Arial" panose="020B0604020202020204" pitchFamily="34" charset="0"/>
            </a:rPr>
            <a:t> - Imposto Sobre Serviços</a:t>
          </a:r>
          <a:endParaRPr lang="pt-BR" sz="1000" b="1">
            <a:latin typeface="Arial" panose="020B0604020202020204" pitchFamily="34" charset="0"/>
            <a:cs typeface="Arial" panose="020B06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247650</xdr:colOff>
      <xdr:row>2</xdr:row>
      <xdr:rowOff>41680</xdr:rowOff>
    </xdr:from>
    <xdr:to>
      <xdr:col>3</xdr:col>
      <xdr:colOff>1093304</xdr:colOff>
      <xdr:row>2</xdr:row>
      <xdr:rowOff>876300</xdr:rowOff>
    </xdr:to>
    <xdr:pic>
      <xdr:nvPicPr>
        <xdr:cNvPr id="2" name="Imagem 1">
          <a:extLst>
            <a:ext uri="{FF2B5EF4-FFF2-40B4-BE49-F238E27FC236}">
              <a16:creationId xmlns:a16="http://schemas.microsoft.com/office/drawing/2014/main" xmlns="" id="{48864BC5-A93A-47AA-BF3B-A98888171F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0100" y="670330"/>
          <a:ext cx="845654" cy="834620"/>
        </a:xfrm>
        <a:prstGeom prst="rect">
          <a:avLst/>
        </a:prstGeom>
      </xdr:spPr>
    </xdr:pic>
    <xdr:clientData/>
  </xdr:twoCellAnchor>
  <xdr:twoCellAnchor editAs="oneCell">
    <xdr:from>
      <xdr:col>2</xdr:col>
      <xdr:colOff>247650</xdr:colOff>
      <xdr:row>2</xdr:row>
      <xdr:rowOff>38008</xdr:rowOff>
    </xdr:from>
    <xdr:to>
      <xdr:col>2</xdr:col>
      <xdr:colOff>1109533</xdr:colOff>
      <xdr:row>2</xdr:row>
      <xdr:rowOff>904875</xdr:rowOff>
    </xdr:to>
    <xdr:pic>
      <xdr:nvPicPr>
        <xdr:cNvPr id="3" name="Imagem 6" descr="Resultado de imagem para placa pare">
          <a:extLst>
            <a:ext uri="{FF2B5EF4-FFF2-40B4-BE49-F238E27FC236}">
              <a16:creationId xmlns:a16="http://schemas.microsoft.com/office/drawing/2014/main" xmlns="" id="{87E6D1F3-0BF9-4BFB-8D05-2191A901C44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28975" y="666658"/>
          <a:ext cx="861883" cy="866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123825</xdr:colOff>
      <xdr:row>2</xdr:row>
      <xdr:rowOff>95250</xdr:rowOff>
    </xdr:from>
    <xdr:to>
      <xdr:col>5</xdr:col>
      <xdr:colOff>1600200</xdr:colOff>
      <xdr:row>2</xdr:row>
      <xdr:rowOff>792308</xdr:rowOff>
    </xdr:to>
    <xdr:pic>
      <xdr:nvPicPr>
        <xdr:cNvPr id="4" name="Imagem 3">
          <a:extLst>
            <a:ext uri="{FF2B5EF4-FFF2-40B4-BE49-F238E27FC236}">
              <a16:creationId xmlns:a16="http://schemas.microsoft.com/office/drawing/2014/main" xmlns="" id="{45A264DB-AB36-48C3-A76B-2B618CC6252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48525" y="723900"/>
          <a:ext cx="1476375" cy="697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292141</xdr:colOff>
      <xdr:row>2</xdr:row>
      <xdr:rowOff>28575</xdr:rowOff>
    </xdr:from>
    <xdr:to>
      <xdr:col>4</xdr:col>
      <xdr:colOff>1125860</xdr:colOff>
      <xdr:row>2</xdr:row>
      <xdr:rowOff>914400</xdr:rowOff>
    </xdr:to>
    <xdr:pic>
      <xdr:nvPicPr>
        <xdr:cNvPr id="5" name="Imagem 4">
          <a:extLst>
            <a:ext uri="{FF2B5EF4-FFF2-40B4-BE49-F238E27FC236}">
              <a16:creationId xmlns:a16="http://schemas.microsoft.com/office/drawing/2014/main" xmlns="" id="{D5532CC7-C6A1-4037-BCF6-915FCC199828}"/>
            </a:ext>
          </a:extLst>
        </xdr:cNvPr>
        <xdr:cNvPicPr>
          <a:picLocks noChangeAspect="1"/>
        </xdr:cNvPicPr>
      </xdr:nvPicPr>
      <xdr:blipFill>
        <a:blip xmlns:r="http://schemas.openxmlformats.org/officeDocument/2006/relationships" r:embed="rId4"/>
        <a:stretch>
          <a:fillRect/>
        </a:stretch>
      </xdr:blipFill>
      <xdr:spPr>
        <a:xfrm>
          <a:off x="6035716" y="657225"/>
          <a:ext cx="833719" cy="8858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544107</xdr:colOff>
      <xdr:row>1</xdr:row>
      <xdr:rowOff>169396</xdr:rowOff>
    </xdr:from>
    <xdr:to>
      <xdr:col>5</xdr:col>
      <xdr:colOff>519552</xdr:colOff>
      <xdr:row>2</xdr:row>
      <xdr:rowOff>469900</xdr:rowOff>
    </xdr:to>
    <xdr:pic>
      <xdr:nvPicPr>
        <xdr:cNvPr id="2" name="Imagem 1">
          <a:extLst>
            <a:ext uri="{FF2B5EF4-FFF2-40B4-BE49-F238E27FC236}">
              <a16:creationId xmlns:a16="http://schemas.microsoft.com/office/drawing/2014/main" xmlns="" id="{2B05CD80-4FB8-47AE-AEE8-E85FA9B14FF5}"/>
            </a:ext>
          </a:extLst>
        </xdr:cNvPr>
        <xdr:cNvPicPr>
          <a:picLocks noChangeAspect="1"/>
        </xdr:cNvPicPr>
      </xdr:nvPicPr>
      <xdr:blipFill>
        <a:blip xmlns:r="http://schemas.openxmlformats.org/officeDocument/2006/relationships" r:embed="rId1"/>
        <a:stretch>
          <a:fillRect/>
        </a:stretch>
      </xdr:blipFill>
      <xdr:spPr>
        <a:xfrm>
          <a:off x="3325407" y="550396"/>
          <a:ext cx="2680545" cy="1576854"/>
        </a:xfrm>
        <a:prstGeom prst="rect">
          <a:avLst/>
        </a:prstGeom>
      </xdr:spPr>
    </xdr:pic>
    <xdr:clientData/>
  </xdr:twoCellAnchor>
  <xdr:twoCellAnchor editAs="oneCell">
    <xdr:from>
      <xdr:col>6</xdr:col>
      <xdr:colOff>197410</xdr:colOff>
      <xdr:row>1</xdr:row>
      <xdr:rowOff>213471</xdr:rowOff>
    </xdr:from>
    <xdr:to>
      <xdr:col>10</xdr:col>
      <xdr:colOff>433632</xdr:colOff>
      <xdr:row>2</xdr:row>
      <xdr:rowOff>437029</xdr:rowOff>
    </xdr:to>
    <xdr:pic>
      <xdr:nvPicPr>
        <xdr:cNvPr id="3" name="Imagem 2">
          <a:extLst>
            <a:ext uri="{FF2B5EF4-FFF2-40B4-BE49-F238E27FC236}">
              <a16:creationId xmlns:a16="http://schemas.microsoft.com/office/drawing/2014/main" xmlns="" id="{46F7F5B7-E748-4F6D-852C-9CB806B94538}"/>
            </a:ext>
          </a:extLst>
        </xdr:cNvPr>
        <xdr:cNvPicPr>
          <a:picLocks/>
        </xdr:cNvPicPr>
      </xdr:nvPicPr>
      <xdr:blipFill>
        <a:blip xmlns:r="http://schemas.openxmlformats.org/officeDocument/2006/relationships" r:embed="rId2"/>
        <a:stretch>
          <a:fillRect/>
        </a:stretch>
      </xdr:blipFill>
      <xdr:spPr>
        <a:xfrm>
          <a:off x="6588685" y="594471"/>
          <a:ext cx="3531872" cy="1499908"/>
        </a:xfrm>
        <a:prstGeom prst="rect">
          <a:avLst/>
        </a:prstGeom>
      </xdr:spPr>
    </xdr:pic>
    <xdr:clientData/>
  </xdr:twoCellAnchor>
  <xdr:twoCellAnchor editAs="oneCell">
    <xdr:from>
      <xdr:col>19</xdr:col>
      <xdr:colOff>232522</xdr:colOff>
      <xdr:row>1</xdr:row>
      <xdr:rowOff>124201</xdr:rowOff>
    </xdr:from>
    <xdr:to>
      <xdr:col>24</xdr:col>
      <xdr:colOff>150947</xdr:colOff>
      <xdr:row>2</xdr:row>
      <xdr:rowOff>573691</xdr:rowOff>
    </xdr:to>
    <xdr:pic>
      <xdr:nvPicPr>
        <xdr:cNvPr id="4" name="Imagem 3">
          <a:extLst>
            <a:ext uri="{FF2B5EF4-FFF2-40B4-BE49-F238E27FC236}">
              <a16:creationId xmlns:a16="http://schemas.microsoft.com/office/drawing/2014/main" xmlns="" id="{22FE5CFE-09B3-42AC-8262-585CFCA81A87}"/>
            </a:ext>
          </a:extLst>
        </xdr:cNvPr>
        <xdr:cNvPicPr>
          <a:picLocks noChangeAspect="1"/>
        </xdr:cNvPicPr>
      </xdr:nvPicPr>
      <xdr:blipFill>
        <a:blip xmlns:r="http://schemas.openxmlformats.org/officeDocument/2006/relationships" r:embed="rId3"/>
        <a:stretch>
          <a:fillRect/>
        </a:stretch>
      </xdr:blipFill>
      <xdr:spPr>
        <a:xfrm>
          <a:off x="17434672" y="505201"/>
          <a:ext cx="3471250" cy="1725840"/>
        </a:xfrm>
        <a:prstGeom prst="rect">
          <a:avLst/>
        </a:prstGeom>
      </xdr:spPr>
    </xdr:pic>
    <xdr:clientData/>
  </xdr:twoCellAnchor>
  <xdr:twoCellAnchor editAs="oneCell">
    <xdr:from>
      <xdr:col>25</xdr:col>
      <xdr:colOff>240129</xdr:colOff>
      <xdr:row>1</xdr:row>
      <xdr:rowOff>115422</xdr:rowOff>
    </xdr:from>
    <xdr:to>
      <xdr:col>30</xdr:col>
      <xdr:colOff>414538</xdr:colOff>
      <xdr:row>2</xdr:row>
      <xdr:rowOff>414618</xdr:rowOff>
    </xdr:to>
    <xdr:pic>
      <xdr:nvPicPr>
        <xdr:cNvPr id="5" name="Imagem 4">
          <a:extLst>
            <a:ext uri="{FF2B5EF4-FFF2-40B4-BE49-F238E27FC236}">
              <a16:creationId xmlns:a16="http://schemas.microsoft.com/office/drawing/2014/main" xmlns="" id="{E8E4D7B3-CFFF-42C5-9D77-8D6B62772720}"/>
            </a:ext>
          </a:extLst>
        </xdr:cNvPr>
        <xdr:cNvPicPr>
          <a:picLocks noChangeAspect="1"/>
        </xdr:cNvPicPr>
      </xdr:nvPicPr>
      <xdr:blipFill>
        <a:blip xmlns:r="http://schemas.openxmlformats.org/officeDocument/2006/relationships" r:embed="rId4"/>
        <a:stretch>
          <a:fillRect/>
        </a:stretch>
      </xdr:blipFill>
      <xdr:spPr>
        <a:xfrm>
          <a:off x="21642804" y="496422"/>
          <a:ext cx="2965234" cy="1575546"/>
        </a:xfrm>
        <a:prstGeom prst="rect">
          <a:avLst/>
        </a:prstGeom>
      </xdr:spPr>
    </xdr:pic>
    <xdr:clientData/>
  </xdr:twoCellAnchor>
  <xdr:twoCellAnchor editAs="oneCell">
    <xdr:from>
      <xdr:col>16</xdr:col>
      <xdr:colOff>134469</xdr:colOff>
      <xdr:row>1</xdr:row>
      <xdr:rowOff>224120</xdr:rowOff>
    </xdr:from>
    <xdr:to>
      <xdr:col>18</xdr:col>
      <xdr:colOff>630148</xdr:colOff>
      <xdr:row>2</xdr:row>
      <xdr:rowOff>403411</xdr:rowOff>
    </xdr:to>
    <xdr:pic>
      <xdr:nvPicPr>
        <xdr:cNvPr id="6" name="Imagem 5">
          <a:extLst>
            <a:ext uri="{FF2B5EF4-FFF2-40B4-BE49-F238E27FC236}">
              <a16:creationId xmlns:a16="http://schemas.microsoft.com/office/drawing/2014/main" xmlns="" id="{1DB15EE5-9D69-4F61-8551-11D9A9BC4D15}"/>
            </a:ext>
          </a:extLst>
        </xdr:cNvPr>
        <xdr:cNvPicPr>
          <a:picLocks noChangeAspect="1"/>
        </xdr:cNvPicPr>
      </xdr:nvPicPr>
      <xdr:blipFill>
        <a:blip xmlns:r="http://schemas.openxmlformats.org/officeDocument/2006/relationships" r:embed="rId5"/>
        <a:stretch>
          <a:fillRect/>
        </a:stretch>
      </xdr:blipFill>
      <xdr:spPr>
        <a:xfrm>
          <a:off x="14574369" y="605120"/>
          <a:ext cx="2391154" cy="1455641"/>
        </a:xfrm>
        <a:prstGeom prst="rect">
          <a:avLst/>
        </a:prstGeom>
      </xdr:spPr>
    </xdr:pic>
    <xdr:clientData/>
  </xdr:twoCellAnchor>
  <xdr:twoCellAnchor editAs="oneCell">
    <xdr:from>
      <xdr:col>12</xdr:col>
      <xdr:colOff>526676</xdr:colOff>
      <xdr:row>1</xdr:row>
      <xdr:rowOff>44824</xdr:rowOff>
    </xdr:from>
    <xdr:to>
      <xdr:col>14</xdr:col>
      <xdr:colOff>417041</xdr:colOff>
      <xdr:row>2</xdr:row>
      <xdr:rowOff>639374</xdr:rowOff>
    </xdr:to>
    <xdr:pic>
      <xdr:nvPicPr>
        <xdr:cNvPr id="7" name="Imagem 6">
          <a:extLst>
            <a:ext uri="{FF2B5EF4-FFF2-40B4-BE49-F238E27FC236}">
              <a16:creationId xmlns:a16="http://schemas.microsoft.com/office/drawing/2014/main" xmlns="" id="{F0039531-DEFA-486E-9D36-31AF8422E2B6}"/>
            </a:ext>
          </a:extLst>
        </xdr:cNvPr>
        <xdr:cNvPicPr>
          <a:picLocks noChangeAspect="1"/>
        </xdr:cNvPicPr>
      </xdr:nvPicPr>
      <xdr:blipFill>
        <a:blip xmlns:r="http://schemas.openxmlformats.org/officeDocument/2006/relationships" r:embed="rId6"/>
        <a:stretch>
          <a:fillRect/>
        </a:stretch>
      </xdr:blipFill>
      <xdr:spPr>
        <a:xfrm>
          <a:off x="11385176" y="425824"/>
          <a:ext cx="2138265" cy="1870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168087</xdr:colOff>
      <xdr:row>64</xdr:row>
      <xdr:rowOff>162566</xdr:rowOff>
    </xdr:from>
    <xdr:to>
      <xdr:col>11</xdr:col>
      <xdr:colOff>112038</xdr:colOff>
      <xdr:row>73</xdr:row>
      <xdr:rowOff>313765</xdr:rowOff>
    </xdr:to>
    <xdr:pic>
      <xdr:nvPicPr>
        <xdr:cNvPr id="2" name="Imagem 1">
          <a:extLst>
            <a:ext uri="{FF2B5EF4-FFF2-40B4-BE49-F238E27FC236}">
              <a16:creationId xmlns:a16="http://schemas.microsoft.com/office/drawing/2014/main" xmlns="" id="{01E5D744-4B66-4634-BDC9-D6625B8E69A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7702362" y="12868916"/>
          <a:ext cx="4325451" cy="2065724"/>
        </a:xfrm>
        <a:prstGeom prst="rect">
          <a:avLst/>
        </a:prstGeom>
      </xdr:spPr>
    </xdr:pic>
    <xdr:clientData/>
  </xdr:twoCellAnchor>
  <xdr:twoCellAnchor editAs="oneCell">
    <xdr:from>
      <xdr:col>1</xdr:col>
      <xdr:colOff>475307</xdr:colOff>
      <xdr:row>65</xdr:row>
      <xdr:rowOff>35057</xdr:rowOff>
    </xdr:from>
    <xdr:to>
      <xdr:col>4</xdr:col>
      <xdr:colOff>885265</xdr:colOff>
      <xdr:row>73</xdr:row>
      <xdr:rowOff>236871</xdr:rowOff>
    </xdr:to>
    <xdr:pic>
      <xdr:nvPicPr>
        <xdr:cNvPr id="3" name="Imagem 2">
          <a:extLst>
            <a:ext uri="{FF2B5EF4-FFF2-40B4-BE49-F238E27FC236}">
              <a16:creationId xmlns:a16="http://schemas.microsoft.com/office/drawing/2014/main" xmlns="" id="{3CC4AB2B-E7D7-482F-B690-3AA511C932B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084907" y="12922382"/>
          <a:ext cx="3867533" cy="1935364"/>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 Id="rId6" Type="http://schemas.openxmlformats.org/officeDocument/2006/relationships/image" Target="../media/image7.emf"/><Relationship Id="rId5" Type="http://schemas.openxmlformats.org/officeDocument/2006/relationships/oleObject" Target="../embeddings/oleObject1.bin"/><Relationship Id="rId4" Type="http://schemas.openxmlformats.org/officeDocument/2006/relationships/vmlDrawing" Target="../drawings/vmlDrawing9.v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7.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8.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29.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vmlDrawing" Target="../drawings/vmlDrawing30.v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4">
    <pageSetUpPr fitToPage="1"/>
  </sheetPr>
  <dimension ref="A1:O17"/>
  <sheetViews>
    <sheetView showGridLines="0" showZeros="0" view="pageBreakPreview" zoomScale="85" zoomScaleNormal="85" zoomScaleSheetLayoutView="85" workbookViewId="0">
      <selection activeCell="J11" sqref="J11:K16"/>
    </sheetView>
  </sheetViews>
  <sheetFormatPr defaultColWidth="11.44140625" defaultRowHeight="13.8" x14ac:dyDescent="0.3"/>
  <cols>
    <col min="1" max="1" width="15.109375" style="6" customWidth="1"/>
    <col min="2" max="2" width="16.5546875" style="6" customWidth="1"/>
    <col min="3" max="3" width="66.88671875" style="6" customWidth="1"/>
    <col min="4" max="7" width="12.6640625" style="51" customWidth="1"/>
    <col min="8" max="8" width="1.5546875" style="51" customWidth="1"/>
    <col min="9" max="9" width="16.6640625" style="51" customWidth="1"/>
    <col min="10" max="11" width="7.44140625" style="51" customWidth="1"/>
    <col min="12" max="12" width="19.5546875" style="51" customWidth="1"/>
    <col min="13" max="13" width="14.33203125" style="6" customWidth="1"/>
    <col min="14" max="42" width="11.44140625" style="6"/>
    <col min="43" max="43" width="0.6640625" style="6" customWidth="1"/>
    <col min="44" max="44" width="15.109375" style="6" customWidth="1"/>
    <col min="45" max="45" width="0.6640625" style="6" customWidth="1"/>
    <col min="46" max="46" width="56.109375" style="6" customWidth="1"/>
    <col min="47" max="47" width="0.6640625" style="6" customWidth="1"/>
    <col min="48" max="48" width="9.109375" style="6" customWidth="1"/>
    <col min="49" max="49" width="6" style="6" customWidth="1"/>
    <col min="50" max="50" width="0.6640625" style="6" customWidth="1"/>
    <col min="51" max="51" width="7.109375" style="6" customWidth="1"/>
    <col min="52" max="52" width="6.5546875" style="6" customWidth="1"/>
    <col min="53" max="53" width="0.6640625" style="6" customWidth="1"/>
    <col min="54" max="54" width="7.88671875" style="6" customWidth="1"/>
    <col min="55" max="55" width="10.5546875" style="6" customWidth="1"/>
    <col min="56" max="56" width="0.6640625" style="6" customWidth="1"/>
    <col min="57" max="298" width="11.44140625" style="6"/>
    <col min="299" max="299" width="0.6640625" style="6" customWidth="1"/>
    <col min="300" max="300" width="15.109375" style="6" customWidth="1"/>
    <col min="301" max="301" width="0.6640625" style="6" customWidth="1"/>
    <col min="302" max="302" width="56.109375" style="6" customWidth="1"/>
    <col min="303" max="303" width="0.6640625" style="6" customWidth="1"/>
    <col min="304" max="304" width="9.109375" style="6" customWidth="1"/>
    <col min="305" max="305" width="6" style="6" customWidth="1"/>
    <col min="306" max="306" width="0.6640625" style="6" customWidth="1"/>
    <col min="307" max="307" width="7.109375" style="6" customWidth="1"/>
    <col min="308" max="308" width="6.5546875" style="6" customWidth="1"/>
    <col min="309" max="309" width="0.6640625" style="6" customWidth="1"/>
    <col min="310" max="310" width="7.88671875" style="6" customWidth="1"/>
    <col min="311" max="311" width="10.5546875" style="6" customWidth="1"/>
    <col min="312" max="312" width="0.6640625" style="6" customWidth="1"/>
    <col min="313" max="554" width="11.44140625" style="6"/>
    <col min="555" max="555" width="0.6640625" style="6" customWidth="1"/>
    <col min="556" max="556" width="15.109375" style="6" customWidth="1"/>
    <col min="557" max="557" width="0.6640625" style="6" customWidth="1"/>
    <col min="558" max="558" width="56.109375" style="6" customWidth="1"/>
    <col min="559" max="559" width="0.6640625" style="6" customWidth="1"/>
    <col min="560" max="560" width="9.109375" style="6" customWidth="1"/>
    <col min="561" max="561" width="6" style="6" customWidth="1"/>
    <col min="562" max="562" width="0.6640625" style="6" customWidth="1"/>
    <col min="563" max="563" width="7.109375" style="6" customWidth="1"/>
    <col min="564" max="564" width="6.5546875" style="6" customWidth="1"/>
    <col min="565" max="565" width="0.6640625" style="6" customWidth="1"/>
    <col min="566" max="566" width="7.88671875" style="6" customWidth="1"/>
    <col min="567" max="567" width="10.5546875" style="6" customWidth="1"/>
    <col min="568" max="568" width="0.6640625" style="6" customWidth="1"/>
    <col min="569" max="810" width="11.44140625" style="6"/>
    <col min="811" max="811" width="0.6640625" style="6" customWidth="1"/>
    <col min="812" max="812" width="15.109375" style="6" customWidth="1"/>
    <col min="813" max="813" width="0.6640625" style="6" customWidth="1"/>
    <col min="814" max="814" width="56.109375" style="6" customWidth="1"/>
    <col min="815" max="815" width="0.6640625" style="6" customWidth="1"/>
    <col min="816" max="816" width="9.109375" style="6" customWidth="1"/>
    <col min="817" max="817" width="6" style="6" customWidth="1"/>
    <col min="818" max="818" width="0.6640625" style="6" customWidth="1"/>
    <col min="819" max="819" width="7.109375" style="6" customWidth="1"/>
    <col min="820" max="820" width="6.5546875" style="6" customWidth="1"/>
    <col min="821" max="821" width="0.6640625" style="6" customWidth="1"/>
    <col min="822" max="822" width="7.88671875" style="6" customWidth="1"/>
    <col min="823" max="823" width="10.5546875" style="6" customWidth="1"/>
    <col min="824" max="824" width="0.6640625" style="6" customWidth="1"/>
    <col min="825" max="1066" width="11.44140625" style="6"/>
    <col min="1067" max="1067" width="0.6640625" style="6" customWidth="1"/>
    <col min="1068" max="1068" width="15.109375" style="6" customWidth="1"/>
    <col min="1069" max="1069" width="0.6640625" style="6" customWidth="1"/>
    <col min="1070" max="1070" width="56.109375" style="6" customWidth="1"/>
    <col min="1071" max="1071" width="0.6640625" style="6" customWidth="1"/>
    <col min="1072" max="1072" width="9.109375" style="6" customWidth="1"/>
    <col min="1073" max="1073" width="6" style="6" customWidth="1"/>
    <col min="1074" max="1074" width="0.6640625" style="6" customWidth="1"/>
    <col min="1075" max="1075" width="7.109375" style="6" customWidth="1"/>
    <col min="1076" max="1076" width="6.5546875" style="6" customWidth="1"/>
    <col min="1077" max="1077" width="0.6640625" style="6" customWidth="1"/>
    <col min="1078" max="1078" width="7.88671875" style="6" customWidth="1"/>
    <col min="1079" max="1079" width="10.5546875" style="6" customWidth="1"/>
    <col min="1080" max="1080" width="0.6640625" style="6" customWidth="1"/>
    <col min="1081" max="1322" width="11.44140625" style="6"/>
    <col min="1323" max="1323" width="0.6640625" style="6" customWidth="1"/>
    <col min="1324" max="1324" width="15.109375" style="6" customWidth="1"/>
    <col min="1325" max="1325" width="0.6640625" style="6" customWidth="1"/>
    <col min="1326" max="1326" width="56.109375" style="6" customWidth="1"/>
    <col min="1327" max="1327" width="0.6640625" style="6" customWidth="1"/>
    <col min="1328" max="1328" width="9.109375" style="6" customWidth="1"/>
    <col min="1329" max="1329" width="6" style="6" customWidth="1"/>
    <col min="1330" max="1330" width="0.6640625" style="6" customWidth="1"/>
    <col min="1331" max="1331" width="7.109375" style="6" customWidth="1"/>
    <col min="1332" max="1332" width="6.5546875" style="6" customWidth="1"/>
    <col min="1333" max="1333" width="0.6640625" style="6" customWidth="1"/>
    <col min="1334" max="1334" width="7.88671875" style="6" customWidth="1"/>
    <col min="1335" max="1335" width="10.5546875" style="6" customWidth="1"/>
    <col min="1336" max="1336" width="0.6640625" style="6" customWidth="1"/>
    <col min="1337" max="1578" width="11.44140625" style="6"/>
    <col min="1579" max="1579" width="0.6640625" style="6" customWidth="1"/>
    <col min="1580" max="1580" width="15.109375" style="6" customWidth="1"/>
    <col min="1581" max="1581" width="0.6640625" style="6" customWidth="1"/>
    <col min="1582" max="1582" width="56.109375" style="6" customWidth="1"/>
    <col min="1583" max="1583" width="0.6640625" style="6" customWidth="1"/>
    <col min="1584" max="1584" width="9.109375" style="6" customWidth="1"/>
    <col min="1585" max="1585" width="6" style="6" customWidth="1"/>
    <col min="1586" max="1586" width="0.6640625" style="6" customWidth="1"/>
    <col min="1587" max="1587" width="7.109375" style="6" customWidth="1"/>
    <col min="1588" max="1588" width="6.5546875" style="6" customWidth="1"/>
    <col min="1589" max="1589" width="0.6640625" style="6" customWidth="1"/>
    <col min="1590" max="1590" width="7.88671875" style="6" customWidth="1"/>
    <col min="1591" max="1591" width="10.5546875" style="6" customWidth="1"/>
    <col min="1592" max="1592" width="0.6640625" style="6" customWidth="1"/>
    <col min="1593" max="1834" width="11.44140625" style="6"/>
    <col min="1835" max="1835" width="0.6640625" style="6" customWidth="1"/>
    <col min="1836" max="1836" width="15.109375" style="6" customWidth="1"/>
    <col min="1837" max="1837" width="0.6640625" style="6" customWidth="1"/>
    <col min="1838" max="1838" width="56.109375" style="6" customWidth="1"/>
    <col min="1839" max="1839" width="0.6640625" style="6" customWidth="1"/>
    <col min="1840" max="1840" width="9.109375" style="6" customWidth="1"/>
    <col min="1841" max="1841" width="6" style="6" customWidth="1"/>
    <col min="1842" max="1842" width="0.6640625" style="6" customWidth="1"/>
    <col min="1843" max="1843" width="7.109375" style="6" customWidth="1"/>
    <col min="1844" max="1844" width="6.5546875" style="6" customWidth="1"/>
    <col min="1845" max="1845" width="0.6640625" style="6" customWidth="1"/>
    <col min="1846" max="1846" width="7.88671875" style="6" customWidth="1"/>
    <col min="1847" max="1847" width="10.5546875" style="6" customWidth="1"/>
    <col min="1848" max="1848" width="0.6640625" style="6" customWidth="1"/>
    <col min="1849" max="2090" width="11.44140625" style="6"/>
    <col min="2091" max="2091" width="0.6640625" style="6" customWidth="1"/>
    <col min="2092" max="2092" width="15.109375" style="6" customWidth="1"/>
    <col min="2093" max="2093" width="0.6640625" style="6" customWidth="1"/>
    <col min="2094" max="2094" width="56.109375" style="6" customWidth="1"/>
    <col min="2095" max="2095" width="0.6640625" style="6" customWidth="1"/>
    <col min="2096" max="2096" width="9.109375" style="6" customWidth="1"/>
    <col min="2097" max="2097" width="6" style="6" customWidth="1"/>
    <col min="2098" max="2098" width="0.6640625" style="6" customWidth="1"/>
    <col min="2099" max="2099" width="7.109375" style="6" customWidth="1"/>
    <col min="2100" max="2100" width="6.5546875" style="6" customWidth="1"/>
    <col min="2101" max="2101" width="0.6640625" style="6" customWidth="1"/>
    <col min="2102" max="2102" width="7.88671875" style="6" customWidth="1"/>
    <col min="2103" max="2103" width="10.5546875" style="6" customWidth="1"/>
    <col min="2104" max="2104" width="0.6640625" style="6" customWidth="1"/>
    <col min="2105" max="2346" width="11.44140625" style="6"/>
    <col min="2347" max="2347" width="0.6640625" style="6" customWidth="1"/>
    <col min="2348" max="2348" width="15.109375" style="6" customWidth="1"/>
    <col min="2349" max="2349" width="0.6640625" style="6" customWidth="1"/>
    <col min="2350" max="2350" width="56.109375" style="6" customWidth="1"/>
    <col min="2351" max="2351" width="0.6640625" style="6" customWidth="1"/>
    <col min="2352" max="2352" width="9.109375" style="6" customWidth="1"/>
    <col min="2353" max="2353" width="6" style="6" customWidth="1"/>
    <col min="2354" max="2354" width="0.6640625" style="6" customWidth="1"/>
    <col min="2355" max="2355" width="7.109375" style="6" customWidth="1"/>
    <col min="2356" max="2356" width="6.5546875" style="6" customWidth="1"/>
    <col min="2357" max="2357" width="0.6640625" style="6" customWidth="1"/>
    <col min="2358" max="2358" width="7.88671875" style="6" customWidth="1"/>
    <col min="2359" max="2359" width="10.5546875" style="6" customWidth="1"/>
    <col min="2360" max="2360" width="0.6640625" style="6" customWidth="1"/>
    <col min="2361" max="2602" width="11.44140625" style="6"/>
    <col min="2603" max="2603" width="0.6640625" style="6" customWidth="1"/>
    <col min="2604" max="2604" width="15.109375" style="6" customWidth="1"/>
    <col min="2605" max="2605" width="0.6640625" style="6" customWidth="1"/>
    <col min="2606" max="2606" width="56.109375" style="6" customWidth="1"/>
    <col min="2607" max="2607" width="0.6640625" style="6" customWidth="1"/>
    <col min="2608" max="2608" width="9.109375" style="6" customWidth="1"/>
    <col min="2609" max="2609" width="6" style="6" customWidth="1"/>
    <col min="2610" max="2610" width="0.6640625" style="6" customWidth="1"/>
    <col min="2611" max="2611" width="7.109375" style="6" customWidth="1"/>
    <col min="2612" max="2612" width="6.5546875" style="6" customWidth="1"/>
    <col min="2613" max="2613" width="0.6640625" style="6" customWidth="1"/>
    <col min="2614" max="2614" width="7.88671875" style="6" customWidth="1"/>
    <col min="2615" max="2615" width="10.5546875" style="6" customWidth="1"/>
    <col min="2616" max="2616" width="0.6640625" style="6" customWidth="1"/>
    <col min="2617" max="2858" width="11.44140625" style="6"/>
    <col min="2859" max="2859" width="0.6640625" style="6" customWidth="1"/>
    <col min="2860" max="2860" width="15.109375" style="6" customWidth="1"/>
    <col min="2861" max="2861" width="0.6640625" style="6" customWidth="1"/>
    <col min="2862" max="2862" width="56.109375" style="6" customWidth="1"/>
    <col min="2863" max="2863" width="0.6640625" style="6" customWidth="1"/>
    <col min="2864" max="2864" width="9.109375" style="6" customWidth="1"/>
    <col min="2865" max="2865" width="6" style="6" customWidth="1"/>
    <col min="2866" max="2866" width="0.6640625" style="6" customWidth="1"/>
    <col min="2867" max="2867" width="7.109375" style="6" customWidth="1"/>
    <col min="2868" max="2868" width="6.5546875" style="6" customWidth="1"/>
    <col min="2869" max="2869" width="0.6640625" style="6" customWidth="1"/>
    <col min="2870" max="2870" width="7.88671875" style="6" customWidth="1"/>
    <col min="2871" max="2871" width="10.5546875" style="6" customWidth="1"/>
    <col min="2872" max="2872" width="0.6640625" style="6" customWidth="1"/>
    <col min="2873" max="3114" width="11.44140625" style="6"/>
    <col min="3115" max="3115" width="0.6640625" style="6" customWidth="1"/>
    <col min="3116" max="3116" width="15.109375" style="6" customWidth="1"/>
    <col min="3117" max="3117" width="0.6640625" style="6" customWidth="1"/>
    <col min="3118" max="3118" width="56.109375" style="6" customWidth="1"/>
    <col min="3119" max="3119" width="0.6640625" style="6" customWidth="1"/>
    <col min="3120" max="3120" width="9.109375" style="6" customWidth="1"/>
    <col min="3121" max="3121" width="6" style="6" customWidth="1"/>
    <col min="3122" max="3122" width="0.6640625" style="6" customWidth="1"/>
    <col min="3123" max="3123" width="7.109375" style="6" customWidth="1"/>
    <col min="3124" max="3124" width="6.5546875" style="6" customWidth="1"/>
    <col min="3125" max="3125" width="0.6640625" style="6" customWidth="1"/>
    <col min="3126" max="3126" width="7.88671875" style="6" customWidth="1"/>
    <col min="3127" max="3127" width="10.5546875" style="6" customWidth="1"/>
    <col min="3128" max="3128" width="0.6640625" style="6" customWidth="1"/>
    <col min="3129" max="3370" width="11.44140625" style="6"/>
    <col min="3371" max="3371" width="0.6640625" style="6" customWidth="1"/>
    <col min="3372" max="3372" width="15.109375" style="6" customWidth="1"/>
    <col min="3373" max="3373" width="0.6640625" style="6" customWidth="1"/>
    <col min="3374" max="3374" width="56.109375" style="6" customWidth="1"/>
    <col min="3375" max="3375" width="0.6640625" style="6" customWidth="1"/>
    <col min="3376" max="3376" width="9.109375" style="6" customWidth="1"/>
    <col min="3377" max="3377" width="6" style="6" customWidth="1"/>
    <col min="3378" max="3378" width="0.6640625" style="6" customWidth="1"/>
    <col min="3379" max="3379" width="7.109375" style="6" customWidth="1"/>
    <col min="3380" max="3380" width="6.5546875" style="6" customWidth="1"/>
    <col min="3381" max="3381" width="0.6640625" style="6" customWidth="1"/>
    <col min="3382" max="3382" width="7.88671875" style="6" customWidth="1"/>
    <col min="3383" max="3383" width="10.5546875" style="6" customWidth="1"/>
    <col min="3384" max="3384" width="0.6640625" style="6" customWidth="1"/>
    <col min="3385" max="3626" width="11.44140625" style="6"/>
    <col min="3627" max="3627" width="0.6640625" style="6" customWidth="1"/>
    <col min="3628" max="3628" width="15.109375" style="6" customWidth="1"/>
    <col min="3629" max="3629" width="0.6640625" style="6" customWidth="1"/>
    <col min="3630" max="3630" width="56.109375" style="6" customWidth="1"/>
    <col min="3631" max="3631" width="0.6640625" style="6" customWidth="1"/>
    <col min="3632" max="3632" width="9.109375" style="6" customWidth="1"/>
    <col min="3633" max="3633" width="6" style="6" customWidth="1"/>
    <col min="3634" max="3634" width="0.6640625" style="6" customWidth="1"/>
    <col min="3635" max="3635" width="7.109375" style="6" customWidth="1"/>
    <col min="3636" max="3636" width="6.5546875" style="6" customWidth="1"/>
    <col min="3637" max="3637" width="0.6640625" style="6" customWidth="1"/>
    <col min="3638" max="3638" width="7.88671875" style="6" customWidth="1"/>
    <col min="3639" max="3639" width="10.5546875" style="6" customWidth="1"/>
    <col min="3640" max="3640" width="0.6640625" style="6" customWidth="1"/>
    <col min="3641" max="3882" width="11.44140625" style="6"/>
    <col min="3883" max="3883" width="0.6640625" style="6" customWidth="1"/>
    <col min="3884" max="3884" width="15.109375" style="6" customWidth="1"/>
    <col min="3885" max="3885" width="0.6640625" style="6" customWidth="1"/>
    <col min="3886" max="3886" width="56.109375" style="6" customWidth="1"/>
    <col min="3887" max="3887" width="0.6640625" style="6" customWidth="1"/>
    <col min="3888" max="3888" width="9.109375" style="6" customWidth="1"/>
    <col min="3889" max="3889" width="6" style="6" customWidth="1"/>
    <col min="3890" max="3890" width="0.6640625" style="6" customWidth="1"/>
    <col min="3891" max="3891" width="7.109375" style="6" customWidth="1"/>
    <col min="3892" max="3892" width="6.5546875" style="6" customWidth="1"/>
    <col min="3893" max="3893" width="0.6640625" style="6" customWidth="1"/>
    <col min="3894" max="3894" width="7.88671875" style="6" customWidth="1"/>
    <col min="3895" max="3895" width="10.5546875" style="6" customWidth="1"/>
    <col min="3896" max="3896" width="0.6640625" style="6" customWidth="1"/>
    <col min="3897" max="4138" width="11.44140625" style="6"/>
    <col min="4139" max="4139" width="0.6640625" style="6" customWidth="1"/>
    <col min="4140" max="4140" width="15.109375" style="6" customWidth="1"/>
    <col min="4141" max="4141" width="0.6640625" style="6" customWidth="1"/>
    <col min="4142" max="4142" width="56.109375" style="6" customWidth="1"/>
    <col min="4143" max="4143" width="0.6640625" style="6" customWidth="1"/>
    <col min="4144" max="4144" width="9.109375" style="6" customWidth="1"/>
    <col min="4145" max="4145" width="6" style="6" customWidth="1"/>
    <col min="4146" max="4146" width="0.6640625" style="6" customWidth="1"/>
    <col min="4147" max="4147" width="7.109375" style="6" customWidth="1"/>
    <col min="4148" max="4148" width="6.5546875" style="6" customWidth="1"/>
    <col min="4149" max="4149" width="0.6640625" style="6" customWidth="1"/>
    <col min="4150" max="4150" width="7.88671875" style="6" customWidth="1"/>
    <col min="4151" max="4151" width="10.5546875" style="6" customWidth="1"/>
    <col min="4152" max="4152" width="0.6640625" style="6" customWidth="1"/>
    <col min="4153" max="4394" width="11.44140625" style="6"/>
    <col min="4395" max="4395" width="0.6640625" style="6" customWidth="1"/>
    <col min="4396" max="4396" width="15.109375" style="6" customWidth="1"/>
    <col min="4397" max="4397" width="0.6640625" style="6" customWidth="1"/>
    <col min="4398" max="4398" width="56.109375" style="6" customWidth="1"/>
    <col min="4399" max="4399" width="0.6640625" style="6" customWidth="1"/>
    <col min="4400" max="4400" width="9.109375" style="6" customWidth="1"/>
    <col min="4401" max="4401" width="6" style="6" customWidth="1"/>
    <col min="4402" max="4402" width="0.6640625" style="6" customWidth="1"/>
    <col min="4403" max="4403" width="7.109375" style="6" customWidth="1"/>
    <col min="4404" max="4404" width="6.5546875" style="6" customWidth="1"/>
    <col min="4405" max="4405" width="0.6640625" style="6" customWidth="1"/>
    <col min="4406" max="4406" width="7.88671875" style="6" customWidth="1"/>
    <col min="4407" max="4407" width="10.5546875" style="6" customWidth="1"/>
    <col min="4408" max="4408" width="0.6640625" style="6" customWidth="1"/>
    <col min="4409" max="4650" width="11.44140625" style="6"/>
    <col min="4651" max="4651" width="0.6640625" style="6" customWidth="1"/>
    <col min="4652" max="4652" width="15.109375" style="6" customWidth="1"/>
    <col min="4653" max="4653" width="0.6640625" style="6" customWidth="1"/>
    <col min="4654" max="4654" width="56.109375" style="6" customWidth="1"/>
    <col min="4655" max="4655" width="0.6640625" style="6" customWidth="1"/>
    <col min="4656" max="4656" width="9.109375" style="6" customWidth="1"/>
    <col min="4657" max="4657" width="6" style="6" customWidth="1"/>
    <col min="4658" max="4658" width="0.6640625" style="6" customWidth="1"/>
    <col min="4659" max="4659" width="7.109375" style="6" customWidth="1"/>
    <col min="4660" max="4660" width="6.5546875" style="6" customWidth="1"/>
    <col min="4661" max="4661" width="0.6640625" style="6" customWidth="1"/>
    <col min="4662" max="4662" width="7.88671875" style="6" customWidth="1"/>
    <col min="4663" max="4663" width="10.5546875" style="6" customWidth="1"/>
    <col min="4664" max="4664" width="0.6640625" style="6" customWidth="1"/>
    <col min="4665" max="4906" width="11.44140625" style="6"/>
    <col min="4907" max="4907" width="0.6640625" style="6" customWidth="1"/>
    <col min="4908" max="4908" width="15.109375" style="6" customWidth="1"/>
    <col min="4909" max="4909" width="0.6640625" style="6" customWidth="1"/>
    <col min="4910" max="4910" width="56.109375" style="6" customWidth="1"/>
    <col min="4911" max="4911" width="0.6640625" style="6" customWidth="1"/>
    <col min="4912" max="4912" width="9.109375" style="6" customWidth="1"/>
    <col min="4913" max="4913" width="6" style="6" customWidth="1"/>
    <col min="4914" max="4914" width="0.6640625" style="6" customWidth="1"/>
    <col min="4915" max="4915" width="7.109375" style="6" customWidth="1"/>
    <col min="4916" max="4916" width="6.5546875" style="6" customWidth="1"/>
    <col min="4917" max="4917" width="0.6640625" style="6" customWidth="1"/>
    <col min="4918" max="4918" width="7.88671875" style="6" customWidth="1"/>
    <col min="4919" max="4919" width="10.5546875" style="6" customWidth="1"/>
    <col min="4920" max="4920" width="0.6640625" style="6" customWidth="1"/>
    <col min="4921" max="5162" width="11.44140625" style="6"/>
    <col min="5163" max="5163" width="0.6640625" style="6" customWidth="1"/>
    <col min="5164" max="5164" width="15.109375" style="6" customWidth="1"/>
    <col min="5165" max="5165" width="0.6640625" style="6" customWidth="1"/>
    <col min="5166" max="5166" width="56.109375" style="6" customWidth="1"/>
    <col min="5167" max="5167" width="0.6640625" style="6" customWidth="1"/>
    <col min="5168" max="5168" width="9.109375" style="6" customWidth="1"/>
    <col min="5169" max="5169" width="6" style="6" customWidth="1"/>
    <col min="5170" max="5170" width="0.6640625" style="6" customWidth="1"/>
    <col min="5171" max="5171" width="7.109375" style="6" customWidth="1"/>
    <col min="5172" max="5172" width="6.5546875" style="6" customWidth="1"/>
    <col min="5173" max="5173" width="0.6640625" style="6" customWidth="1"/>
    <col min="5174" max="5174" width="7.88671875" style="6" customWidth="1"/>
    <col min="5175" max="5175" width="10.5546875" style="6" customWidth="1"/>
    <col min="5176" max="5176" width="0.6640625" style="6" customWidth="1"/>
    <col min="5177" max="5418" width="11.44140625" style="6"/>
    <col min="5419" max="5419" width="0.6640625" style="6" customWidth="1"/>
    <col min="5420" max="5420" width="15.109375" style="6" customWidth="1"/>
    <col min="5421" max="5421" width="0.6640625" style="6" customWidth="1"/>
    <col min="5422" max="5422" width="56.109375" style="6" customWidth="1"/>
    <col min="5423" max="5423" width="0.6640625" style="6" customWidth="1"/>
    <col min="5424" max="5424" width="9.109375" style="6" customWidth="1"/>
    <col min="5425" max="5425" width="6" style="6" customWidth="1"/>
    <col min="5426" max="5426" width="0.6640625" style="6" customWidth="1"/>
    <col min="5427" max="5427" width="7.109375" style="6" customWidth="1"/>
    <col min="5428" max="5428" width="6.5546875" style="6" customWidth="1"/>
    <col min="5429" max="5429" width="0.6640625" style="6" customWidth="1"/>
    <col min="5430" max="5430" width="7.88671875" style="6" customWidth="1"/>
    <col min="5431" max="5431" width="10.5546875" style="6" customWidth="1"/>
    <col min="5432" max="5432" width="0.6640625" style="6" customWidth="1"/>
    <col min="5433" max="5674" width="11.44140625" style="6"/>
    <col min="5675" max="5675" width="0.6640625" style="6" customWidth="1"/>
    <col min="5676" max="5676" width="15.109375" style="6" customWidth="1"/>
    <col min="5677" max="5677" width="0.6640625" style="6" customWidth="1"/>
    <col min="5678" max="5678" width="56.109375" style="6" customWidth="1"/>
    <col min="5679" max="5679" width="0.6640625" style="6" customWidth="1"/>
    <col min="5680" max="5680" width="9.109375" style="6" customWidth="1"/>
    <col min="5681" max="5681" width="6" style="6" customWidth="1"/>
    <col min="5682" max="5682" width="0.6640625" style="6" customWidth="1"/>
    <col min="5683" max="5683" width="7.109375" style="6" customWidth="1"/>
    <col min="5684" max="5684" width="6.5546875" style="6" customWidth="1"/>
    <col min="5685" max="5685" width="0.6640625" style="6" customWidth="1"/>
    <col min="5686" max="5686" width="7.88671875" style="6" customWidth="1"/>
    <col min="5687" max="5687" width="10.5546875" style="6" customWidth="1"/>
    <col min="5688" max="5688" width="0.6640625" style="6" customWidth="1"/>
    <col min="5689" max="5930" width="11.44140625" style="6"/>
    <col min="5931" max="5931" width="0.6640625" style="6" customWidth="1"/>
    <col min="5932" max="5932" width="15.109375" style="6" customWidth="1"/>
    <col min="5933" max="5933" width="0.6640625" style="6" customWidth="1"/>
    <col min="5934" max="5934" width="56.109375" style="6" customWidth="1"/>
    <col min="5935" max="5935" width="0.6640625" style="6" customWidth="1"/>
    <col min="5936" max="5936" width="9.109375" style="6" customWidth="1"/>
    <col min="5937" max="5937" width="6" style="6" customWidth="1"/>
    <col min="5938" max="5938" width="0.6640625" style="6" customWidth="1"/>
    <col min="5939" max="5939" width="7.109375" style="6" customWidth="1"/>
    <col min="5940" max="5940" width="6.5546875" style="6" customWidth="1"/>
    <col min="5941" max="5941" width="0.6640625" style="6" customWidth="1"/>
    <col min="5942" max="5942" width="7.88671875" style="6" customWidth="1"/>
    <col min="5943" max="5943" width="10.5546875" style="6" customWidth="1"/>
    <col min="5944" max="5944" width="0.6640625" style="6" customWidth="1"/>
    <col min="5945" max="6186" width="11.44140625" style="6"/>
    <col min="6187" max="6187" width="0.6640625" style="6" customWidth="1"/>
    <col min="6188" max="6188" width="15.109375" style="6" customWidth="1"/>
    <col min="6189" max="6189" width="0.6640625" style="6" customWidth="1"/>
    <col min="6190" max="6190" width="56.109375" style="6" customWidth="1"/>
    <col min="6191" max="6191" width="0.6640625" style="6" customWidth="1"/>
    <col min="6192" max="6192" width="9.109375" style="6" customWidth="1"/>
    <col min="6193" max="6193" width="6" style="6" customWidth="1"/>
    <col min="6194" max="6194" width="0.6640625" style="6" customWidth="1"/>
    <col min="6195" max="6195" width="7.109375" style="6" customWidth="1"/>
    <col min="6196" max="6196" width="6.5546875" style="6" customWidth="1"/>
    <col min="6197" max="6197" width="0.6640625" style="6" customWidth="1"/>
    <col min="6198" max="6198" width="7.88671875" style="6" customWidth="1"/>
    <col min="6199" max="6199" width="10.5546875" style="6" customWidth="1"/>
    <col min="6200" max="6200" width="0.6640625" style="6" customWidth="1"/>
    <col min="6201" max="6442" width="11.44140625" style="6"/>
    <col min="6443" max="6443" width="0.6640625" style="6" customWidth="1"/>
    <col min="6444" max="6444" width="15.109375" style="6" customWidth="1"/>
    <col min="6445" max="6445" width="0.6640625" style="6" customWidth="1"/>
    <col min="6446" max="6446" width="56.109375" style="6" customWidth="1"/>
    <col min="6447" max="6447" width="0.6640625" style="6" customWidth="1"/>
    <col min="6448" max="6448" width="9.109375" style="6" customWidth="1"/>
    <col min="6449" max="6449" width="6" style="6" customWidth="1"/>
    <col min="6450" max="6450" width="0.6640625" style="6" customWidth="1"/>
    <col min="6451" max="6451" width="7.109375" style="6" customWidth="1"/>
    <col min="6452" max="6452" width="6.5546875" style="6" customWidth="1"/>
    <col min="6453" max="6453" width="0.6640625" style="6" customWidth="1"/>
    <col min="6454" max="6454" width="7.88671875" style="6" customWidth="1"/>
    <col min="6455" max="6455" width="10.5546875" style="6" customWidth="1"/>
    <col min="6456" max="6456" width="0.6640625" style="6" customWidth="1"/>
    <col min="6457" max="6698" width="11.44140625" style="6"/>
    <col min="6699" max="6699" width="0.6640625" style="6" customWidth="1"/>
    <col min="6700" max="6700" width="15.109375" style="6" customWidth="1"/>
    <col min="6701" max="6701" width="0.6640625" style="6" customWidth="1"/>
    <col min="6702" max="6702" width="56.109375" style="6" customWidth="1"/>
    <col min="6703" max="6703" width="0.6640625" style="6" customWidth="1"/>
    <col min="6704" max="6704" width="9.109375" style="6" customWidth="1"/>
    <col min="6705" max="6705" width="6" style="6" customWidth="1"/>
    <col min="6706" max="6706" width="0.6640625" style="6" customWidth="1"/>
    <col min="6707" max="6707" width="7.109375" style="6" customWidth="1"/>
    <col min="6708" max="6708" width="6.5546875" style="6" customWidth="1"/>
    <col min="6709" max="6709" width="0.6640625" style="6" customWidth="1"/>
    <col min="6710" max="6710" width="7.88671875" style="6" customWidth="1"/>
    <col min="6711" max="6711" width="10.5546875" style="6" customWidth="1"/>
    <col min="6712" max="6712" width="0.6640625" style="6" customWidth="1"/>
    <col min="6713" max="6954" width="11.44140625" style="6"/>
    <col min="6955" max="6955" width="0.6640625" style="6" customWidth="1"/>
    <col min="6956" max="6956" width="15.109375" style="6" customWidth="1"/>
    <col min="6957" max="6957" width="0.6640625" style="6" customWidth="1"/>
    <col min="6958" max="6958" width="56.109375" style="6" customWidth="1"/>
    <col min="6959" max="6959" width="0.6640625" style="6" customWidth="1"/>
    <col min="6960" max="6960" width="9.109375" style="6" customWidth="1"/>
    <col min="6961" max="6961" width="6" style="6" customWidth="1"/>
    <col min="6962" max="6962" width="0.6640625" style="6" customWidth="1"/>
    <col min="6963" max="6963" width="7.109375" style="6" customWidth="1"/>
    <col min="6964" max="6964" width="6.5546875" style="6" customWidth="1"/>
    <col min="6965" max="6965" width="0.6640625" style="6" customWidth="1"/>
    <col min="6966" max="6966" width="7.88671875" style="6" customWidth="1"/>
    <col min="6967" max="6967" width="10.5546875" style="6" customWidth="1"/>
    <col min="6968" max="6968" width="0.6640625" style="6" customWidth="1"/>
    <col min="6969" max="7210" width="11.44140625" style="6"/>
    <col min="7211" max="7211" width="0.6640625" style="6" customWidth="1"/>
    <col min="7212" max="7212" width="15.109375" style="6" customWidth="1"/>
    <col min="7213" max="7213" width="0.6640625" style="6" customWidth="1"/>
    <col min="7214" max="7214" width="56.109375" style="6" customWidth="1"/>
    <col min="7215" max="7215" width="0.6640625" style="6" customWidth="1"/>
    <col min="7216" max="7216" width="9.109375" style="6" customWidth="1"/>
    <col min="7217" max="7217" width="6" style="6" customWidth="1"/>
    <col min="7218" max="7218" width="0.6640625" style="6" customWidth="1"/>
    <col min="7219" max="7219" width="7.109375" style="6" customWidth="1"/>
    <col min="7220" max="7220" width="6.5546875" style="6" customWidth="1"/>
    <col min="7221" max="7221" width="0.6640625" style="6" customWidth="1"/>
    <col min="7222" max="7222" width="7.88671875" style="6" customWidth="1"/>
    <col min="7223" max="7223" width="10.5546875" style="6" customWidth="1"/>
    <col min="7224" max="7224" width="0.6640625" style="6" customWidth="1"/>
    <col min="7225" max="7466" width="11.44140625" style="6"/>
    <col min="7467" max="7467" width="0.6640625" style="6" customWidth="1"/>
    <col min="7468" max="7468" width="15.109375" style="6" customWidth="1"/>
    <col min="7469" max="7469" width="0.6640625" style="6" customWidth="1"/>
    <col min="7470" max="7470" width="56.109375" style="6" customWidth="1"/>
    <col min="7471" max="7471" width="0.6640625" style="6" customWidth="1"/>
    <col min="7472" max="7472" width="9.109375" style="6" customWidth="1"/>
    <col min="7473" max="7473" width="6" style="6" customWidth="1"/>
    <col min="7474" max="7474" width="0.6640625" style="6" customWidth="1"/>
    <col min="7475" max="7475" width="7.109375" style="6" customWidth="1"/>
    <col min="7476" max="7476" width="6.5546875" style="6" customWidth="1"/>
    <col min="7477" max="7477" width="0.6640625" style="6" customWidth="1"/>
    <col min="7478" max="7478" width="7.88671875" style="6" customWidth="1"/>
    <col min="7479" max="7479" width="10.5546875" style="6" customWidth="1"/>
    <col min="7480" max="7480" width="0.6640625" style="6" customWidth="1"/>
    <col min="7481" max="7722" width="11.44140625" style="6"/>
    <col min="7723" max="7723" width="0.6640625" style="6" customWidth="1"/>
    <col min="7724" max="7724" width="15.109375" style="6" customWidth="1"/>
    <col min="7725" max="7725" width="0.6640625" style="6" customWidth="1"/>
    <col min="7726" max="7726" width="56.109375" style="6" customWidth="1"/>
    <col min="7727" max="7727" width="0.6640625" style="6" customWidth="1"/>
    <col min="7728" max="7728" width="9.109375" style="6" customWidth="1"/>
    <col min="7729" max="7729" width="6" style="6" customWidth="1"/>
    <col min="7730" max="7730" width="0.6640625" style="6" customWidth="1"/>
    <col min="7731" max="7731" width="7.109375" style="6" customWidth="1"/>
    <col min="7732" max="7732" width="6.5546875" style="6" customWidth="1"/>
    <col min="7733" max="7733" width="0.6640625" style="6" customWidth="1"/>
    <col min="7734" max="7734" width="7.88671875" style="6" customWidth="1"/>
    <col min="7735" max="7735" width="10.5546875" style="6" customWidth="1"/>
    <col min="7736" max="7736" width="0.6640625" style="6" customWidth="1"/>
    <col min="7737" max="7978" width="11.44140625" style="6"/>
    <col min="7979" max="7979" width="0.6640625" style="6" customWidth="1"/>
    <col min="7980" max="7980" width="15.109375" style="6" customWidth="1"/>
    <col min="7981" max="7981" width="0.6640625" style="6" customWidth="1"/>
    <col min="7982" max="7982" width="56.109375" style="6" customWidth="1"/>
    <col min="7983" max="7983" width="0.6640625" style="6" customWidth="1"/>
    <col min="7984" max="7984" width="9.109375" style="6" customWidth="1"/>
    <col min="7985" max="7985" width="6" style="6" customWidth="1"/>
    <col min="7986" max="7986" width="0.6640625" style="6" customWidth="1"/>
    <col min="7987" max="7987" width="7.109375" style="6" customWidth="1"/>
    <col min="7988" max="7988" width="6.5546875" style="6" customWidth="1"/>
    <col min="7989" max="7989" width="0.6640625" style="6" customWidth="1"/>
    <col min="7990" max="7990" width="7.88671875" style="6" customWidth="1"/>
    <col min="7991" max="7991" width="10.5546875" style="6" customWidth="1"/>
    <col min="7992" max="7992" width="0.6640625" style="6" customWidth="1"/>
    <col min="7993" max="8234" width="11.44140625" style="6"/>
    <col min="8235" max="8235" width="0.6640625" style="6" customWidth="1"/>
    <col min="8236" max="8236" width="15.109375" style="6" customWidth="1"/>
    <col min="8237" max="8237" width="0.6640625" style="6" customWidth="1"/>
    <col min="8238" max="8238" width="56.109375" style="6" customWidth="1"/>
    <col min="8239" max="8239" width="0.6640625" style="6" customWidth="1"/>
    <col min="8240" max="8240" width="9.109375" style="6" customWidth="1"/>
    <col min="8241" max="8241" width="6" style="6" customWidth="1"/>
    <col min="8242" max="8242" width="0.6640625" style="6" customWidth="1"/>
    <col min="8243" max="8243" width="7.109375" style="6" customWidth="1"/>
    <col min="8244" max="8244" width="6.5546875" style="6" customWidth="1"/>
    <col min="8245" max="8245" width="0.6640625" style="6" customWidth="1"/>
    <col min="8246" max="8246" width="7.88671875" style="6" customWidth="1"/>
    <col min="8247" max="8247" width="10.5546875" style="6" customWidth="1"/>
    <col min="8248" max="8248" width="0.6640625" style="6" customWidth="1"/>
    <col min="8249" max="8490" width="11.44140625" style="6"/>
    <col min="8491" max="8491" width="0.6640625" style="6" customWidth="1"/>
    <col min="8492" max="8492" width="15.109375" style="6" customWidth="1"/>
    <col min="8493" max="8493" width="0.6640625" style="6" customWidth="1"/>
    <col min="8494" max="8494" width="56.109375" style="6" customWidth="1"/>
    <col min="8495" max="8495" width="0.6640625" style="6" customWidth="1"/>
    <col min="8496" max="8496" width="9.109375" style="6" customWidth="1"/>
    <col min="8497" max="8497" width="6" style="6" customWidth="1"/>
    <col min="8498" max="8498" width="0.6640625" style="6" customWidth="1"/>
    <col min="8499" max="8499" width="7.109375" style="6" customWidth="1"/>
    <col min="8500" max="8500" width="6.5546875" style="6" customWidth="1"/>
    <col min="8501" max="8501" width="0.6640625" style="6" customWidth="1"/>
    <col min="8502" max="8502" width="7.88671875" style="6" customWidth="1"/>
    <col min="8503" max="8503" width="10.5546875" style="6" customWidth="1"/>
    <col min="8504" max="8504" width="0.6640625" style="6" customWidth="1"/>
    <col min="8505" max="8746" width="11.44140625" style="6"/>
    <col min="8747" max="8747" width="0.6640625" style="6" customWidth="1"/>
    <col min="8748" max="8748" width="15.109375" style="6" customWidth="1"/>
    <col min="8749" max="8749" width="0.6640625" style="6" customWidth="1"/>
    <col min="8750" max="8750" width="56.109375" style="6" customWidth="1"/>
    <col min="8751" max="8751" width="0.6640625" style="6" customWidth="1"/>
    <col min="8752" max="8752" width="9.109375" style="6" customWidth="1"/>
    <col min="8753" max="8753" width="6" style="6" customWidth="1"/>
    <col min="8754" max="8754" width="0.6640625" style="6" customWidth="1"/>
    <col min="8755" max="8755" width="7.109375" style="6" customWidth="1"/>
    <col min="8756" max="8756" width="6.5546875" style="6" customWidth="1"/>
    <col min="8757" max="8757" width="0.6640625" style="6" customWidth="1"/>
    <col min="8758" max="8758" width="7.88671875" style="6" customWidth="1"/>
    <col min="8759" max="8759" width="10.5546875" style="6" customWidth="1"/>
    <col min="8760" max="8760" width="0.6640625" style="6" customWidth="1"/>
    <col min="8761" max="9002" width="11.44140625" style="6"/>
    <col min="9003" max="9003" width="0.6640625" style="6" customWidth="1"/>
    <col min="9004" max="9004" width="15.109375" style="6" customWidth="1"/>
    <col min="9005" max="9005" width="0.6640625" style="6" customWidth="1"/>
    <col min="9006" max="9006" width="56.109375" style="6" customWidth="1"/>
    <col min="9007" max="9007" width="0.6640625" style="6" customWidth="1"/>
    <col min="9008" max="9008" width="9.109375" style="6" customWidth="1"/>
    <col min="9009" max="9009" width="6" style="6" customWidth="1"/>
    <col min="9010" max="9010" width="0.6640625" style="6" customWidth="1"/>
    <col min="9011" max="9011" width="7.109375" style="6" customWidth="1"/>
    <col min="9012" max="9012" width="6.5546875" style="6" customWidth="1"/>
    <col min="9013" max="9013" width="0.6640625" style="6" customWidth="1"/>
    <col min="9014" max="9014" width="7.88671875" style="6" customWidth="1"/>
    <col min="9015" max="9015" width="10.5546875" style="6" customWidth="1"/>
    <col min="9016" max="9016" width="0.6640625" style="6" customWidth="1"/>
    <col min="9017" max="9258" width="11.44140625" style="6"/>
    <col min="9259" max="9259" width="0.6640625" style="6" customWidth="1"/>
    <col min="9260" max="9260" width="15.109375" style="6" customWidth="1"/>
    <col min="9261" max="9261" width="0.6640625" style="6" customWidth="1"/>
    <col min="9262" max="9262" width="56.109375" style="6" customWidth="1"/>
    <col min="9263" max="9263" width="0.6640625" style="6" customWidth="1"/>
    <col min="9264" max="9264" width="9.109375" style="6" customWidth="1"/>
    <col min="9265" max="9265" width="6" style="6" customWidth="1"/>
    <col min="9266" max="9266" width="0.6640625" style="6" customWidth="1"/>
    <col min="9267" max="9267" width="7.109375" style="6" customWidth="1"/>
    <col min="9268" max="9268" width="6.5546875" style="6" customWidth="1"/>
    <col min="9269" max="9269" width="0.6640625" style="6" customWidth="1"/>
    <col min="9270" max="9270" width="7.88671875" style="6" customWidth="1"/>
    <col min="9271" max="9271" width="10.5546875" style="6" customWidth="1"/>
    <col min="9272" max="9272" width="0.6640625" style="6" customWidth="1"/>
    <col min="9273" max="9514" width="11.44140625" style="6"/>
    <col min="9515" max="9515" width="0.6640625" style="6" customWidth="1"/>
    <col min="9516" max="9516" width="15.109375" style="6" customWidth="1"/>
    <col min="9517" max="9517" width="0.6640625" style="6" customWidth="1"/>
    <col min="9518" max="9518" width="56.109375" style="6" customWidth="1"/>
    <col min="9519" max="9519" width="0.6640625" style="6" customWidth="1"/>
    <col min="9520" max="9520" width="9.109375" style="6" customWidth="1"/>
    <col min="9521" max="9521" width="6" style="6" customWidth="1"/>
    <col min="9522" max="9522" width="0.6640625" style="6" customWidth="1"/>
    <col min="9523" max="9523" width="7.109375" style="6" customWidth="1"/>
    <col min="9524" max="9524" width="6.5546875" style="6" customWidth="1"/>
    <col min="9525" max="9525" width="0.6640625" style="6" customWidth="1"/>
    <col min="9526" max="9526" width="7.88671875" style="6" customWidth="1"/>
    <col min="9527" max="9527" width="10.5546875" style="6" customWidth="1"/>
    <col min="9528" max="9528" width="0.6640625" style="6" customWidth="1"/>
    <col min="9529" max="9770" width="11.44140625" style="6"/>
    <col min="9771" max="9771" width="0.6640625" style="6" customWidth="1"/>
    <col min="9772" max="9772" width="15.109375" style="6" customWidth="1"/>
    <col min="9773" max="9773" width="0.6640625" style="6" customWidth="1"/>
    <col min="9774" max="9774" width="56.109375" style="6" customWidth="1"/>
    <col min="9775" max="9775" width="0.6640625" style="6" customWidth="1"/>
    <col min="9776" max="9776" width="9.109375" style="6" customWidth="1"/>
    <col min="9777" max="9777" width="6" style="6" customWidth="1"/>
    <col min="9778" max="9778" width="0.6640625" style="6" customWidth="1"/>
    <col min="9779" max="9779" width="7.109375" style="6" customWidth="1"/>
    <col min="9780" max="9780" width="6.5546875" style="6" customWidth="1"/>
    <col min="9781" max="9781" width="0.6640625" style="6" customWidth="1"/>
    <col min="9782" max="9782" width="7.88671875" style="6" customWidth="1"/>
    <col min="9783" max="9783" width="10.5546875" style="6" customWidth="1"/>
    <col min="9784" max="9784" width="0.6640625" style="6" customWidth="1"/>
    <col min="9785" max="10026" width="11.44140625" style="6"/>
    <col min="10027" max="10027" width="0.6640625" style="6" customWidth="1"/>
    <col min="10028" max="10028" width="15.109375" style="6" customWidth="1"/>
    <col min="10029" max="10029" width="0.6640625" style="6" customWidth="1"/>
    <col min="10030" max="10030" width="56.109375" style="6" customWidth="1"/>
    <col min="10031" max="10031" width="0.6640625" style="6" customWidth="1"/>
    <col min="10032" max="10032" width="9.109375" style="6" customWidth="1"/>
    <col min="10033" max="10033" width="6" style="6" customWidth="1"/>
    <col min="10034" max="10034" width="0.6640625" style="6" customWidth="1"/>
    <col min="10035" max="10035" width="7.109375" style="6" customWidth="1"/>
    <col min="10036" max="10036" width="6.5546875" style="6" customWidth="1"/>
    <col min="10037" max="10037" width="0.6640625" style="6" customWidth="1"/>
    <col min="10038" max="10038" width="7.88671875" style="6" customWidth="1"/>
    <col min="10039" max="10039" width="10.5546875" style="6" customWidth="1"/>
    <col min="10040" max="10040" width="0.6640625" style="6" customWidth="1"/>
    <col min="10041" max="10282" width="11.44140625" style="6"/>
    <col min="10283" max="10283" width="0.6640625" style="6" customWidth="1"/>
    <col min="10284" max="10284" width="15.109375" style="6" customWidth="1"/>
    <col min="10285" max="10285" width="0.6640625" style="6" customWidth="1"/>
    <col min="10286" max="10286" width="56.109375" style="6" customWidth="1"/>
    <col min="10287" max="10287" width="0.6640625" style="6" customWidth="1"/>
    <col min="10288" max="10288" width="9.109375" style="6" customWidth="1"/>
    <col min="10289" max="10289" width="6" style="6" customWidth="1"/>
    <col min="10290" max="10290" width="0.6640625" style="6" customWidth="1"/>
    <col min="10291" max="10291" width="7.109375" style="6" customWidth="1"/>
    <col min="10292" max="10292" width="6.5546875" style="6" customWidth="1"/>
    <col min="10293" max="10293" width="0.6640625" style="6" customWidth="1"/>
    <col min="10294" max="10294" width="7.88671875" style="6" customWidth="1"/>
    <col min="10295" max="10295" width="10.5546875" style="6" customWidth="1"/>
    <col min="10296" max="10296" width="0.6640625" style="6" customWidth="1"/>
    <col min="10297" max="10538" width="11.44140625" style="6"/>
    <col min="10539" max="10539" width="0.6640625" style="6" customWidth="1"/>
    <col min="10540" max="10540" width="15.109375" style="6" customWidth="1"/>
    <col min="10541" max="10541" width="0.6640625" style="6" customWidth="1"/>
    <col min="10542" max="10542" width="56.109375" style="6" customWidth="1"/>
    <col min="10543" max="10543" width="0.6640625" style="6" customWidth="1"/>
    <col min="10544" max="10544" width="9.109375" style="6" customWidth="1"/>
    <col min="10545" max="10545" width="6" style="6" customWidth="1"/>
    <col min="10546" max="10546" width="0.6640625" style="6" customWidth="1"/>
    <col min="10547" max="10547" width="7.109375" style="6" customWidth="1"/>
    <col min="10548" max="10548" width="6.5546875" style="6" customWidth="1"/>
    <col min="10549" max="10549" width="0.6640625" style="6" customWidth="1"/>
    <col min="10550" max="10550" width="7.88671875" style="6" customWidth="1"/>
    <col min="10551" max="10551" width="10.5546875" style="6" customWidth="1"/>
    <col min="10552" max="10552" width="0.6640625" style="6" customWidth="1"/>
    <col min="10553" max="10794" width="11.44140625" style="6"/>
    <col min="10795" max="10795" width="0.6640625" style="6" customWidth="1"/>
    <col min="10796" max="10796" width="15.109375" style="6" customWidth="1"/>
    <col min="10797" max="10797" width="0.6640625" style="6" customWidth="1"/>
    <col min="10798" max="10798" width="56.109375" style="6" customWidth="1"/>
    <col min="10799" max="10799" width="0.6640625" style="6" customWidth="1"/>
    <col min="10800" max="10800" width="9.109375" style="6" customWidth="1"/>
    <col min="10801" max="10801" width="6" style="6" customWidth="1"/>
    <col min="10802" max="10802" width="0.6640625" style="6" customWidth="1"/>
    <col min="10803" max="10803" width="7.109375" style="6" customWidth="1"/>
    <col min="10804" max="10804" width="6.5546875" style="6" customWidth="1"/>
    <col min="10805" max="10805" width="0.6640625" style="6" customWidth="1"/>
    <col min="10806" max="10806" width="7.88671875" style="6" customWidth="1"/>
    <col min="10807" max="10807" width="10.5546875" style="6" customWidth="1"/>
    <col min="10808" max="10808" width="0.6640625" style="6" customWidth="1"/>
    <col min="10809" max="11050" width="11.44140625" style="6"/>
    <col min="11051" max="11051" width="0.6640625" style="6" customWidth="1"/>
    <col min="11052" max="11052" width="15.109375" style="6" customWidth="1"/>
    <col min="11053" max="11053" width="0.6640625" style="6" customWidth="1"/>
    <col min="11054" max="11054" width="56.109375" style="6" customWidth="1"/>
    <col min="11055" max="11055" width="0.6640625" style="6" customWidth="1"/>
    <col min="11056" max="11056" width="9.109375" style="6" customWidth="1"/>
    <col min="11057" max="11057" width="6" style="6" customWidth="1"/>
    <col min="11058" max="11058" width="0.6640625" style="6" customWidth="1"/>
    <col min="11059" max="11059" width="7.109375" style="6" customWidth="1"/>
    <col min="11060" max="11060" width="6.5546875" style="6" customWidth="1"/>
    <col min="11061" max="11061" width="0.6640625" style="6" customWidth="1"/>
    <col min="11062" max="11062" width="7.88671875" style="6" customWidth="1"/>
    <col min="11063" max="11063" width="10.5546875" style="6" customWidth="1"/>
    <col min="11064" max="11064" width="0.6640625" style="6" customWidth="1"/>
    <col min="11065" max="11306" width="11.44140625" style="6"/>
    <col min="11307" max="11307" width="0.6640625" style="6" customWidth="1"/>
    <col min="11308" max="11308" width="15.109375" style="6" customWidth="1"/>
    <col min="11309" max="11309" width="0.6640625" style="6" customWidth="1"/>
    <col min="11310" max="11310" width="56.109375" style="6" customWidth="1"/>
    <col min="11311" max="11311" width="0.6640625" style="6" customWidth="1"/>
    <col min="11312" max="11312" width="9.109375" style="6" customWidth="1"/>
    <col min="11313" max="11313" width="6" style="6" customWidth="1"/>
    <col min="11314" max="11314" width="0.6640625" style="6" customWidth="1"/>
    <col min="11315" max="11315" width="7.109375" style="6" customWidth="1"/>
    <col min="11316" max="11316" width="6.5546875" style="6" customWidth="1"/>
    <col min="11317" max="11317" width="0.6640625" style="6" customWidth="1"/>
    <col min="11318" max="11318" width="7.88671875" style="6" customWidth="1"/>
    <col min="11319" max="11319" width="10.5546875" style="6" customWidth="1"/>
    <col min="11320" max="11320" width="0.6640625" style="6" customWidth="1"/>
    <col min="11321" max="11562" width="11.44140625" style="6"/>
    <col min="11563" max="11563" width="0.6640625" style="6" customWidth="1"/>
    <col min="11564" max="11564" width="15.109375" style="6" customWidth="1"/>
    <col min="11565" max="11565" width="0.6640625" style="6" customWidth="1"/>
    <col min="11566" max="11566" width="56.109375" style="6" customWidth="1"/>
    <col min="11567" max="11567" width="0.6640625" style="6" customWidth="1"/>
    <col min="11568" max="11568" width="9.109375" style="6" customWidth="1"/>
    <col min="11569" max="11569" width="6" style="6" customWidth="1"/>
    <col min="11570" max="11570" width="0.6640625" style="6" customWidth="1"/>
    <col min="11571" max="11571" width="7.109375" style="6" customWidth="1"/>
    <col min="11572" max="11572" width="6.5546875" style="6" customWidth="1"/>
    <col min="11573" max="11573" width="0.6640625" style="6" customWidth="1"/>
    <col min="11574" max="11574" width="7.88671875" style="6" customWidth="1"/>
    <col min="11575" max="11575" width="10.5546875" style="6" customWidth="1"/>
    <col min="11576" max="11576" width="0.6640625" style="6" customWidth="1"/>
    <col min="11577" max="11818" width="11.44140625" style="6"/>
    <col min="11819" max="11819" width="0.6640625" style="6" customWidth="1"/>
    <col min="11820" max="11820" width="15.109375" style="6" customWidth="1"/>
    <col min="11821" max="11821" width="0.6640625" style="6" customWidth="1"/>
    <col min="11822" max="11822" width="56.109375" style="6" customWidth="1"/>
    <col min="11823" max="11823" width="0.6640625" style="6" customWidth="1"/>
    <col min="11824" max="11824" width="9.109375" style="6" customWidth="1"/>
    <col min="11825" max="11825" width="6" style="6" customWidth="1"/>
    <col min="11826" max="11826" width="0.6640625" style="6" customWidth="1"/>
    <col min="11827" max="11827" width="7.109375" style="6" customWidth="1"/>
    <col min="11828" max="11828" width="6.5546875" style="6" customWidth="1"/>
    <col min="11829" max="11829" width="0.6640625" style="6" customWidth="1"/>
    <col min="11830" max="11830" width="7.88671875" style="6" customWidth="1"/>
    <col min="11831" max="11831" width="10.5546875" style="6" customWidth="1"/>
    <col min="11832" max="11832" width="0.6640625" style="6" customWidth="1"/>
    <col min="11833" max="12074" width="11.44140625" style="6"/>
    <col min="12075" max="12075" width="0.6640625" style="6" customWidth="1"/>
    <col min="12076" max="12076" width="15.109375" style="6" customWidth="1"/>
    <col min="12077" max="12077" width="0.6640625" style="6" customWidth="1"/>
    <col min="12078" max="12078" width="56.109375" style="6" customWidth="1"/>
    <col min="12079" max="12079" width="0.6640625" style="6" customWidth="1"/>
    <col min="12080" max="12080" width="9.109375" style="6" customWidth="1"/>
    <col min="12081" max="12081" width="6" style="6" customWidth="1"/>
    <col min="12082" max="12082" width="0.6640625" style="6" customWidth="1"/>
    <col min="12083" max="12083" width="7.109375" style="6" customWidth="1"/>
    <col min="12084" max="12084" width="6.5546875" style="6" customWidth="1"/>
    <col min="12085" max="12085" width="0.6640625" style="6" customWidth="1"/>
    <col min="12086" max="12086" width="7.88671875" style="6" customWidth="1"/>
    <col min="12087" max="12087" width="10.5546875" style="6" customWidth="1"/>
    <col min="12088" max="12088" width="0.6640625" style="6" customWidth="1"/>
    <col min="12089" max="12330" width="11.44140625" style="6"/>
    <col min="12331" max="12331" width="0.6640625" style="6" customWidth="1"/>
    <col min="12332" max="12332" width="15.109375" style="6" customWidth="1"/>
    <col min="12333" max="12333" width="0.6640625" style="6" customWidth="1"/>
    <col min="12334" max="12334" width="56.109375" style="6" customWidth="1"/>
    <col min="12335" max="12335" width="0.6640625" style="6" customWidth="1"/>
    <col min="12336" max="12336" width="9.109375" style="6" customWidth="1"/>
    <col min="12337" max="12337" width="6" style="6" customWidth="1"/>
    <col min="12338" max="12338" width="0.6640625" style="6" customWidth="1"/>
    <col min="12339" max="12339" width="7.109375" style="6" customWidth="1"/>
    <col min="12340" max="12340" width="6.5546875" style="6" customWidth="1"/>
    <col min="12341" max="12341" width="0.6640625" style="6" customWidth="1"/>
    <col min="12342" max="12342" width="7.88671875" style="6" customWidth="1"/>
    <col min="12343" max="12343" width="10.5546875" style="6" customWidth="1"/>
    <col min="12344" max="12344" width="0.6640625" style="6" customWidth="1"/>
    <col min="12345" max="12586" width="11.44140625" style="6"/>
    <col min="12587" max="12587" width="0.6640625" style="6" customWidth="1"/>
    <col min="12588" max="12588" width="15.109375" style="6" customWidth="1"/>
    <col min="12589" max="12589" width="0.6640625" style="6" customWidth="1"/>
    <col min="12590" max="12590" width="56.109375" style="6" customWidth="1"/>
    <col min="12591" max="12591" width="0.6640625" style="6" customWidth="1"/>
    <col min="12592" max="12592" width="9.109375" style="6" customWidth="1"/>
    <col min="12593" max="12593" width="6" style="6" customWidth="1"/>
    <col min="12594" max="12594" width="0.6640625" style="6" customWidth="1"/>
    <col min="12595" max="12595" width="7.109375" style="6" customWidth="1"/>
    <col min="12596" max="12596" width="6.5546875" style="6" customWidth="1"/>
    <col min="12597" max="12597" width="0.6640625" style="6" customWidth="1"/>
    <col min="12598" max="12598" width="7.88671875" style="6" customWidth="1"/>
    <col min="12599" max="12599" width="10.5546875" style="6" customWidth="1"/>
    <col min="12600" max="12600" width="0.6640625" style="6" customWidth="1"/>
    <col min="12601" max="12842" width="11.44140625" style="6"/>
    <col min="12843" max="12843" width="0.6640625" style="6" customWidth="1"/>
    <col min="12844" max="12844" width="15.109375" style="6" customWidth="1"/>
    <col min="12845" max="12845" width="0.6640625" style="6" customWidth="1"/>
    <col min="12846" max="12846" width="56.109375" style="6" customWidth="1"/>
    <col min="12847" max="12847" width="0.6640625" style="6" customWidth="1"/>
    <col min="12848" max="12848" width="9.109375" style="6" customWidth="1"/>
    <col min="12849" max="12849" width="6" style="6" customWidth="1"/>
    <col min="12850" max="12850" width="0.6640625" style="6" customWidth="1"/>
    <col min="12851" max="12851" width="7.109375" style="6" customWidth="1"/>
    <col min="12852" max="12852" width="6.5546875" style="6" customWidth="1"/>
    <col min="12853" max="12853" width="0.6640625" style="6" customWidth="1"/>
    <col min="12854" max="12854" width="7.88671875" style="6" customWidth="1"/>
    <col min="12855" max="12855" width="10.5546875" style="6" customWidth="1"/>
    <col min="12856" max="12856" width="0.6640625" style="6" customWidth="1"/>
    <col min="12857" max="13098" width="11.44140625" style="6"/>
    <col min="13099" max="13099" width="0.6640625" style="6" customWidth="1"/>
    <col min="13100" max="13100" width="15.109375" style="6" customWidth="1"/>
    <col min="13101" max="13101" width="0.6640625" style="6" customWidth="1"/>
    <col min="13102" max="13102" width="56.109375" style="6" customWidth="1"/>
    <col min="13103" max="13103" width="0.6640625" style="6" customWidth="1"/>
    <col min="13104" max="13104" width="9.109375" style="6" customWidth="1"/>
    <col min="13105" max="13105" width="6" style="6" customWidth="1"/>
    <col min="13106" max="13106" width="0.6640625" style="6" customWidth="1"/>
    <col min="13107" max="13107" width="7.109375" style="6" customWidth="1"/>
    <col min="13108" max="13108" width="6.5546875" style="6" customWidth="1"/>
    <col min="13109" max="13109" width="0.6640625" style="6" customWidth="1"/>
    <col min="13110" max="13110" width="7.88671875" style="6" customWidth="1"/>
    <col min="13111" max="13111" width="10.5546875" style="6" customWidth="1"/>
    <col min="13112" max="13112" width="0.6640625" style="6" customWidth="1"/>
    <col min="13113" max="13354" width="11.44140625" style="6"/>
    <col min="13355" max="13355" width="0.6640625" style="6" customWidth="1"/>
    <col min="13356" max="13356" width="15.109375" style="6" customWidth="1"/>
    <col min="13357" max="13357" width="0.6640625" style="6" customWidth="1"/>
    <col min="13358" max="13358" width="56.109375" style="6" customWidth="1"/>
    <col min="13359" max="13359" width="0.6640625" style="6" customWidth="1"/>
    <col min="13360" max="13360" width="9.109375" style="6" customWidth="1"/>
    <col min="13361" max="13361" width="6" style="6" customWidth="1"/>
    <col min="13362" max="13362" width="0.6640625" style="6" customWidth="1"/>
    <col min="13363" max="13363" width="7.109375" style="6" customWidth="1"/>
    <col min="13364" max="13364" width="6.5546875" style="6" customWidth="1"/>
    <col min="13365" max="13365" width="0.6640625" style="6" customWidth="1"/>
    <col min="13366" max="13366" width="7.88671875" style="6" customWidth="1"/>
    <col min="13367" max="13367" width="10.5546875" style="6" customWidth="1"/>
    <col min="13368" max="13368" width="0.6640625" style="6" customWidth="1"/>
    <col min="13369" max="13610" width="11.44140625" style="6"/>
    <col min="13611" max="13611" width="0.6640625" style="6" customWidth="1"/>
    <col min="13612" max="13612" width="15.109375" style="6" customWidth="1"/>
    <col min="13613" max="13613" width="0.6640625" style="6" customWidth="1"/>
    <col min="13614" max="13614" width="56.109375" style="6" customWidth="1"/>
    <col min="13615" max="13615" width="0.6640625" style="6" customWidth="1"/>
    <col min="13616" max="13616" width="9.109375" style="6" customWidth="1"/>
    <col min="13617" max="13617" width="6" style="6" customWidth="1"/>
    <col min="13618" max="13618" width="0.6640625" style="6" customWidth="1"/>
    <col min="13619" max="13619" width="7.109375" style="6" customWidth="1"/>
    <col min="13620" max="13620" width="6.5546875" style="6" customWidth="1"/>
    <col min="13621" max="13621" width="0.6640625" style="6" customWidth="1"/>
    <col min="13622" max="13622" width="7.88671875" style="6" customWidth="1"/>
    <col min="13623" max="13623" width="10.5546875" style="6" customWidth="1"/>
    <col min="13624" max="13624" width="0.6640625" style="6" customWidth="1"/>
    <col min="13625" max="16384" width="11.44140625" style="6"/>
  </cols>
  <sheetData>
    <row r="1" spans="1:15" ht="20.100000000000001" customHeight="1" x14ac:dyDescent="0.25">
      <c r="A1" s="1"/>
      <c r="B1" s="2"/>
      <c r="C1" s="3"/>
      <c r="D1" s="4"/>
      <c r="E1" s="4"/>
      <c r="F1" s="4"/>
      <c r="G1" s="4"/>
      <c r="H1" s="4"/>
      <c r="I1" s="4"/>
      <c r="J1" s="4"/>
      <c r="K1" s="4"/>
      <c r="L1" s="5"/>
      <c r="O1" s="7" t="s">
        <v>0</v>
      </c>
    </row>
    <row r="2" spans="1:15" ht="20.100000000000001" customHeight="1" x14ac:dyDescent="0.25">
      <c r="A2" s="8"/>
      <c r="B2" s="9"/>
      <c r="C2" s="10"/>
      <c r="D2" s="11"/>
      <c r="E2" s="11"/>
      <c r="F2" s="11"/>
      <c r="G2" s="11"/>
      <c r="H2" s="11"/>
      <c r="I2" s="11"/>
      <c r="J2" s="11"/>
      <c r="K2" s="11"/>
      <c r="L2" s="12"/>
      <c r="O2" s="13" t="s">
        <v>1</v>
      </c>
    </row>
    <row r="3" spans="1:15" ht="20.100000000000001" customHeight="1" x14ac:dyDescent="0.3">
      <c r="A3" s="8"/>
      <c r="B3" s="9"/>
      <c r="C3" s="10"/>
      <c r="D3" s="11"/>
      <c r="E3" s="11"/>
      <c r="F3" s="11"/>
      <c r="G3" s="11"/>
      <c r="H3" s="11"/>
      <c r="I3" s="11"/>
      <c r="J3" s="11"/>
      <c r="K3" s="11"/>
      <c r="L3" s="12"/>
      <c r="O3" s="7" t="s">
        <v>2</v>
      </c>
    </row>
    <row r="4" spans="1:15" ht="20.100000000000001" customHeight="1" x14ac:dyDescent="0.25">
      <c r="A4" s="14"/>
      <c r="B4" s="15"/>
      <c r="C4" s="16"/>
      <c r="D4" s="17"/>
      <c r="E4" s="17"/>
      <c r="F4" s="17"/>
      <c r="G4" s="17"/>
      <c r="H4" s="17"/>
      <c r="I4" s="17"/>
      <c r="J4" s="17"/>
      <c r="K4" s="17"/>
      <c r="L4" s="18"/>
      <c r="O4" s="7" t="s">
        <v>3</v>
      </c>
    </row>
    <row r="5" spans="1:15" ht="30" customHeight="1" x14ac:dyDescent="0.3">
      <c r="A5" s="990" t="str">
        <f>CONCATENATE("COMPOSIÇÃO DE CUSTO UNITÁRIO - ",ORÇAMENTO!P2)</f>
        <v>COMPOSIÇÃO DE CUSTO UNITÁRIO - NÃO DESONERADO</v>
      </c>
      <c r="B5" s="991"/>
      <c r="C5" s="991"/>
      <c r="D5" s="991"/>
      <c r="E5" s="991"/>
      <c r="F5" s="991"/>
      <c r="G5" s="991"/>
      <c r="H5" s="991"/>
      <c r="I5" s="991"/>
      <c r="J5" s="991"/>
      <c r="K5" s="991"/>
      <c r="L5" s="992"/>
      <c r="O5" s="7" t="s">
        <v>4</v>
      </c>
    </row>
    <row r="6" spans="1:15" ht="18" customHeight="1" x14ac:dyDescent="0.3">
      <c r="A6" s="19" t="s">
        <v>5</v>
      </c>
      <c r="B6" s="20" t="s">
        <v>6</v>
      </c>
      <c r="C6" s="21"/>
      <c r="D6" s="22"/>
      <c r="E6" s="22"/>
      <c r="F6" s="22"/>
      <c r="G6" s="22"/>
      <c r="H6" s="22"/>
      <c r="I6" s="22"/>
      <c r="J6" s="22"/>
      <c r="K6" s="20" t="s">
        <v>7</v>
      </c>
      <c r="L6" s="23"/>
      <c r="O6" s="7" t="s">
        <v>8</v>
      </c>
    </row>
    <row r="7" spans="1:15" ht="18" customHeight="1" x14ac:dyDescent="0.3">
      <c r="A7" s="24" t="s">
        <v>9</v>
      </c>
      <c r="B7" s="25" t="s">
        <v>10</v>
      </c>
      <c r="C7" s="26"/>
      <c r="D7" s="26"/>
      <c r="E7" s="26"/>
      <c r="F7" s="26"/>
      <c r="G7" s="26"/>
      <c r="H7" s="26"/>
      <c r="I7" s="26"/>
      <c r="J7" s="26"/>
      <c r="K7" s="27"/>
      <c r="L7" s="28" t="s">
        <v>11</v>
      </c>
      <c r="O7" s="7" t="s">
        <v>12</v>
      </c>
    </row>
    <row r="8" spans="1:15" ht="24.9" customHeight="1" x14ac:dyDescent="0.3">
      <c r="A8" s="29" t="s">
        <v>13</v>
      </c>
      <c r="B8" s="30"/>
      <c r="C8" s="30"/>
      <c r="D8" s="31"/>
      <c r="E8" s="31"/>
      <c r="F8" s="31"/>
      <c r="G8" s="31"/>
      <c r="H8" s="31"/>
      <c r="I8" s="32"/>
      <c r="J8" s="33"/>
      <c r="K8" s="33"/>
      <c r="L8" s="34"/>
      <c r="O8" s="35" t="s">
        <v>14</v>
      </c>
    </row>
    <row r="9" spans="1:15" ht="21" customHeight="1" x14ac:dyDescent="0.3">
      <c r="A9" s="993" t="s">
        <v>5</v>
      </c>
      <c r="B9" s="993" t="s">
        <v>15</v>
      </c>
      <c r="C9" s="995" t="s">
        <v>16</v>
      </c>
      <c r="D9" s="997" t="s">
        <v>17</v>
      </c>
      <c r="E9" s="997" t="s">
        <v>18</v>
      </c>
      <c r="F9" s="997" t="s">
        <v>19</v>
      </c>
      <c r="G9" s="997" t="s">
        <v>20</v>
      </c>
      <c r="H9" s="999" t="s">
        <v>21</v>
      </c>
      <c r="I9" s="1000"/>
      <c r="J9" s="36" t="s">
        <v>22</v>
      </c>
      <c r="K9" s="37"/>
      <c r="L9" s="38" t="s">
        <v>22</v>
      </c>
    </row>
    <row r="10" spans="1:15" ht="21" customHeight="1" x14ac:dyDescent="0.3">
      <c r="A10" s="994"/>
      <c r="B10" s="994"/>
      <c r="C10" s="996"/>
      <c r="D10" s="998"/>
      <c r="E10" s="998"/>
      <c r="F10" s="998"/>
      <c r="G10" s="998"/>
      <c r="H10" s="1001"/>
      <c r="I10" s="1002"/>
      <c r="J10" s="39" t="s">
        <v>23</v>
      </c>
      <c r="K10" s="40"/>
      <c r="L10" s="41" t="s">
        <v>24</v>
      </c>
    </row>
    <row r="11" spans="1:15" ht="30" customHeight="1" x14ac:dyDescent="0.25">
      <c r="A11" s="42">
        <v>90777</v>
      </c>
      <c r="B11" s="43" t="s">
        <v>0</v>
      </c>
      <c r="C11" s="44" t="s">
        <v>1095</v>
      </c>
      <c r="D11" s="45">
        <v>8</v>
      </c>
      <c r="E11" s="45">
        <v>22</v>
      </c>
      <c r="F11" s="46">
        <v>8</v>
      </c>
      <c r="G11" s="46">
        <f t="shared" ref="G11:G16" si="0">D11*E11*F11</f>
        <v>1408</v>
      </c>
      <c r="H11" s="986" t="s">
        <v>1101</v>
      </c>
      <c r="I11" s="987" t="s">
        <v>1095</v>
      </c>
      <c r="J11" s="988"/>
      <c r="K11" s="989"/>
      <c r="L11" s="47">
        <f t="shared" ref="L11:L16" si="1">TRUNC(G11*J11,2)</f>
        <v>0</v>
      </c>
    </row>
    <row r="12" spans="1:15" ht="30" customHeight="1" x14ac:dyDescent="0.25">
      <c r="A12" s="42">
        <v>90776</v>
      </c>
      <c r="B12" s="43" t="s">
        <v>0</v>
      </c>
      <c r="C12" s="44" t="s">
        <v>1096</v>
      </c>
      <c r="D12" s="45">
        <v>8</v>
      </c>
      <c r="E12" s="45">
        <v>22</v>
      </c>
      <c r="F12" s="46">
        <v>8</v>
      </c>
      <c r="G12" s="46">
        <f t="shared" si="0"/>
        <v>1408</v>
      </c>
      <c r="H12" s="986" t="s">
        <v>1101</v>
      </c>
      <c r="I12" s="987" t="s">
        <v>1096</v>
      </c>
      <c r="J12" s="988"/>
      <c r="K12" s="989"/>
      <c r="L12" s="47">
        <f t="shared" si="1"/>
        <v>0</v>
      </c>
    </row>
    <row r="13" spans="1:15" ht="30" customHeight="1" x14ac:dyDescent="0.25">
      <c r="A13" s="42">
        <v>90781</v>
      </c>
      <c r="B13" s="43" t="s">
        <v>0</v>
      </c>
      <c r="C13" s="44" t="s">
        <v>1097</v>
      </c>
      <c r="D13" s="45">
        <v>8</v>
      </c>
      <c r="E13" s="45">
        <v>22</v>
      </c>
      <c r="F13" s="46">
        <v>8</v>
      </c>
      <c r="G13" s="46">
        <f t="shared" si="0"/>
        <v>1408</v>
      </c>
      <c r="H13" s="986" t="s">
        <v>1101</v>
      </c>
      <c r="I13" s="987" t="s">
        <v>1097</v>
      </c>
      <c r="J13" s="988"/>
      <c r="K13" s="989"/>
      <c r="L13" s="47">
        <f t="shared" si="1"/>
        <v>0</v>
      </c>
    </row>
    <row r="14" spans="1:15" ht="30" customHeight="1" x14ac:dyDescent="0.3">
      <c r="A14" s="48">
        <v>88253</v>
      </c>
      <c r="B14" s="43" t="s">
        <v>0</v>
      </c>
      <c r="C14" s="44" t="s">
        <v>1098</v>
      </c>
      <c r="D14" s="45">
        <v>6</v>
      </c>
      <c r="E14" s="45">
        <v>22</v>
      </c>
      <c r="F14" s="45">
        <v>8</v>
      </c>
      <c r="G14" s="45">
        <f t="shared" si="0"/>
        <v>1056</v>
      </c>
      <c r="H14" s="986" t="s">
        <v>1101</v>
      </c>
      <c r="I14" s="987" t="s">
        <v>1098</v>
      </c>
      <c r="J14" s="988"/>
      <c r="K14" s="989"/>
      <c r="L14" s="47">
        <f t="shared" si="1"/>
        <v>0</v>
      </c>
    </row>
    <row r="15" spans="1:15" ht="30" customHeight="1" x14ac:dyDescent="0.3">
      <c r="A15" s="49">
        <v>88321</v>
      </c>
      <c r="B15" s="43" t="s">
        <v>0</v>
      </c>
      <c r="C15" s="44" t="s">
        <v>1099</v>
      </c>
      <c r="D15" s="45">
        <v>6</v>
      </c>
      <c r="E15" s="45">
        <v>22</v>
      </c>
      <c r="F15" s="45">
        <v>8</v>
      </c>
      <c r="G15" s="45">
        <f t="shared" si="0"/>
        <v>1056</v>
      </c>
      <c r="H15" s="986" t="s">
        <v>1101</v>
      </c>
      <c r="I15" s="987" t="s">
        <v>1099</v>
      </c>
      <c r="J15" s="988"/>
      <c r="K15" s="989"/>
      <c r="L15" s="47">
        <f t="shared" si="1"/>
        <v>0</v>
      </c>
    </row>
    <row r="16" spans="1:15" ht="30" customHeight="1" x14ac:dyDescent="0.3">
      <c r="A16" s="49">
        <v>88249</v>
      </c>
      <c r="B16" s="43" t="s">
        <v>0</v>
      </c>
      <c r="C16" s="44" t="s">
        <v>1100</v>
      </c>
      <c r="D16" s="45">
        <v>6</v>
      </c>
      <c r="E16" s="45">
        <v>22</v>
      </c>
      <c r="F16" s="45">
        <v>8</v>
      </c>
      <c r="G16" s="45">
        <f t="shared" si="0"/>
        <v>1056</v>
      </c>
      <c r="H16" s="986" t="s">
        <v>1101</v>
      </c>
      <c r="I16" s="987" t="s">
        <v>1100</v>
      </c>
      <c r="J16" s="988"/>
      <c r="K16" s="989"/>
      <c r="L16" s="47">
        <f t="shared" si="1"/>
        <v>0</v>
      </c>
    </row>
    <row r="17" spans="1:12" ht="30" customHeight="1" x14ac:dyDescent="0.3">
      <c r="A17" s="983" t="s">
        <v>25</v>
      </c>
      <c r="B17" s="984"/>
      <c r="C17" s="984"/>
      <c r="D17" s="984"/>
      <c r="E17" s="984"/>
      <c r="F17" s="984"/>
      <c r="G17" s="984"/>
      <c r="H17" s="984"/>
      <c r="I17" s="984"/>
      <c r="J17" s="984"/>
      <c r="K17" s="985"/>
      <c r="L17" s="50">
        <f>SUM(L11:L16)</f>
        <v>0</v>
      </c>
    </row>
  </sheetData>
  <mergeCells count="22">
    <mergeCell ref="A5:L5"/>
    <mergeCell ref="A9:A10"/>
    <mergeCell ref="B9:B10"/>
    <mergeCell ref="C9:C10"/>
    <mergeCell ref="D9:D10"/>
    <mergeCell ref="E9:E10"/>
    <mergeCell ref="F9:F10"/>
    <mergeCell ref="G9:G10"/>
    <mergeCell ref="H9:I10"/>
    <mergeCell ref="H11:I11"/>
    <mergeCell ref="J11:K11"/>
    <mergeCell ref="H12:I12"/>
    <mergeCell ref="J12:K12"/>
    <mergeCell ref="H13:I13"/>
    <mergeCell ref="J13:K13"/>
    <mergeCell ref="A17:K17"/>
    <mergeCell ref="H14:I14"/>
    <mergeCell ref="J14:K14"/>
    <mergeCell ref="H15:I15"/>
    <mergeCell ref="J15:K15"/>
    <mergeCell ref="H16:I16"/>
    <mergeCell ref="J16:K16"/>
  </mergeCells>
  <dataValidations count="1">
    <dataValidation type="list" allowBlank="1" showInputMessage="1" showErrorMessage="1" sqref="B11:B16">
      <formula1>$O$1:$O$8</formula1>
    </dataValidation>
  </dataValidations>
  <printOptions horizontalCentered="1"/>
  <pageMargins left="0.59055118110236227" right="0.59055118110236227" top="1.7716535433070868" bottom="0.78740157480314965" header="0" footer="0"/>
  <pageSetup paperSize="9" scale="66" fitToHeight="100" orientation="landscape" r:id="rId1"/>
  <headerFooter scaleWithDoc="0">
    <oddHeader>&amp;L&amp;G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82">
    <tabColor rgb="FF0070C0"/>
    <pageSetUpPr fitToPage="1"/>
  </sheetPr>
  <dimension ref="A1:J53"/>
  <sheetViews>
    <sheetView showGridLines="0" showZeros="0" view="pageBreakPreview" topLeftCell="A2" zoomScale="85" zoomScaleNormal="85" zoomScaleSheetLayoutView="85" workbookViewId="0">
      <selection activeCell="K22" sqref="K22:L22"/>
    </sheetView>
  </sheetViews>
  <sheetFormatPr defaultColWidth="11.44140625" defaultRowHeight="13.8" x14ac:dyDescent="0.3"/>
  <cols>
    <col min="1" max="1" width="15.109375" style="53" customWidth="1"/>
    <col min="2" max="2" width="13.88671875" style="53" customWidth="1"/>
    <col min="3" max="3" width="70.5546875" style="53" customWidth="1"/>
    <col min="4" max="4" width="11" style="86" customWidth="1"/>
    <col min="5" max="5" width="17" style="86" bestFit="1" customWidth="1"/>
    <col min="6" max="7" width="15.6640625" style="86" customWidth="1"/>
    <col min="8" max="8" width="14.33203125" style="53" customWidth="1"/>
    <col min="9" max="9" width="11.44140625" style="53"/>
    <col min="10" max="10" width="25.5546875" style="53" bestFit="1" customWidth="1"/>
    <col min="11" max="234" width="11.44140625" style="53"/>
    <col min="235" max="235" width="0.6640625" style="53" customWidth="1"/>
    <col min="236" max="236" width="15.109375" style="53" customWidth="1"/>
    <col min="237" max="237" width="0.6640625" style="53" customWidth="1"/>
    <col min="238" max="238" width="56.109375" style="53" customWidth="1"/>
    <col min="239" max="239" width="0.6640625" style="53" customWidth="1"/>
    <col min="240" max="240" width="9.109375" style="53" customWidth="1"/>
    <col min="241" max="241" width="6" style="53" customWidth="1"/>
    <col min="242" max="242" width="0.6640625" style="53" customWidth="1"/>
    <col min="243" max="243" width="7.109375" style="53" customWidth="1"/>
    <col min="244" max="244" width="6.5546875" style="53" customWidth="1"/>
    <col min="245" max="245" width="0.6640625" style="53" customWidth="1"/>
    <col min="246" max="246" width="7.88671875" style="53" customWidth="1"/>
    <col min="247" max="247" width="10.5546875" style="53" customWidth="1"/>
    <col min="248" max="248" width="0.6640625" style="53" customWidth="1"/>
    <col min="249" max="490" width="11.44140625" style="53"/>
    <col min="491" max="491" width="0.6640625" style="53" customWidth="1"/>
    <col min="492" max="492" width="15.109375" style="53" customWidth="1"/>
    <col min="493" max="493" width="0.6640625" style="53" customWidth="1"/>
    <col min="494" max="494" width="56.109375" style="53" customWidth="1"/>
    <col min="495" max="495" width="0.6640625" style="53" customWidth="1"/>
    <col min="496" max="496" width="9.109375" style="53" customWidth="1"/>
    <col min="497" max="497" width="6" style="53" customWidth="1"/>
    <col min="498" max="498" width="0.6640625" style="53" customWidth="1"/>
    <col min="499" max="499" width="7.109375" style="53" customWidth="1"/>
    <col min="500" max="500" width="6.5546875" style="53" customWidth="1"/>
    <col min="501" max="501" width="0.6640625" style="53" customWidth="1"/>
    <col min="502" max="502" width="7.88671875" style="53" customWidth="1"/>
    <col min="503" max="503" width="10.5546875" style="53" customWidth="1"/>
    <col min="504" max="504" width="0.6640625" style="53" customWidth="1"/>
    <col min="505" max="746" width="11.44140625" style="53"/>
    <col min="747" max="747" width="0.6640625" style="53" customWidth="1"/>
    <col min="748" max="748" width="15.109375" style="53" customWidth="1"/>
    <col min="749" max="749" width="0.6640625" style="53" customWidth="1"/>
    <col min="750" max="750" width="56.109375" style="53" customWidth="1"/>
    <col min="751" max="751" width="0.6640625" style="53" customWidth="1"/>
    <col min="752" max="752" width="9.109375" style="53" customWidth="1"/>
    <col min="753" max="753" width="6" style="53" customWidth="1"/>
    <col min="754" max="754" width="0.6640625" style="53" customWidth="1"/>
    <col min="755" max="755" width="7.109375" style="53" customWidth="1"/>
    <col min="756" max="756" width="6.5546875" style="53" customWidth="1"/>
    <col min="757" max="757" width="0.6640625" style="53" customWidth="1"/>
    <col min="758" max="758" width="7.88671875" style="53" customWidth="1"/>
    <col min="759" max="759" width="10.5546875" style="53" customWidth="1"/>
    <col min="760" max="760" width="0.6640625" style="53" customWidth="1"/>
    <col min="761" max="1002" width="11.44140625" style="53"/>
    <col min="1003" max="1003" width="0.6640625" style="53" customWidth="1"/>
    <col min="1004" max="1004" width="15.109375" style="53" customWidth="1"/>
    <col min="1005" max="1005" width="0.6640625" style="53" customWidth="1"/>
    <col min="1006" max="1006" width="56.109375" style="53" customWidth="1"/>
    <col min="1007" max="1007" width="0.6640625" style="53" customWidth="1"/>
    <col min="1008" max="1008" width="9.109375" style="53" customWidth="1"/>
    <col min="1009" max="1009" width="6" style="53" customWidth="1"/>
    <col min="1010" max="1010" width="0.6640625" style="53" customWidth="1"/>
    <col min="1011" max="1011" width="7.109375" style="53" customWidth="1"/>
    <col min="1012" max="1012" width="6.5546875" style="53" customWidth="1"/>
    <col min="1013" max="1013" width="0.6640625" style="53" customWidth="1"/>
    <col min="1014" max="1014" width="7.88671875" style="53" customWidth="1"/>
    <col min="1015" max="1015" width="10.5546875" style="53" customWidth="1"/>
    <col min="1016" max="1016" width="0.6640625" style="53" customWidth="1"/>
    <col min="1017" max="1258" width="11.44140625" style="53"/>
    <col min="1259" max="1259" width="0.6640625" style="53" customWidth="1"/>
    <col min="1260" max="1260" width="15.109375" style="53" customWidth="1"/>
    <col min="1261" max="1261" width="0.6640625" style="53" customWidth="1"/>
    <col min="1262" max="1262" width="56.109375" style="53" customWidth="1"/>
    <col min="1263" max="1263" width="0.6640625" style="53" customWidth="1"/>
    <col min="1264" max="1264" width="9.109375" style="53" customWidth="1"/>
    <col min="1265" max="1265" width="6" style="53" customWidth="1"/>
    <col min="1266" max="1266" width="0.6640625" style="53" customWidth="1"/>
    <col min="1267" max="1267" width="7.109375" style="53" customWidth="1"/>
    <col min="1268" max="1268" width="6.5546875" style="53" customWidth="1"/>
    <col min="1269" max="1269" width="0.6640625" style="53" customWidth="1"/>
    <col min="1270" max="1270" width="7.88671875" style="53" customWidth="1"/>
    <col min="1271" max="1271" width="10.5546875" style="53" customWidth="1"/>
    <col min="1272" max="1272" width="0.6640625" style="53" customWidth="1"/>
    <col min="1273" max="1514" width="11.44140625" style="53"/>
    <col min="1515" max="1515" width="0.6640625" style="53" customWidth="1"/>
    <col min="1516" max="1516" width="15.109375" style="53" customWidth="1"/>
    <col min="1517" max="1517" width="0.6640625" style="53" customWidth="1"/>
    <col min="1518" max="1518" width="56.109375" style="53" customWidth="1"/>
    <col min="1519" max="1519" width="0.6640625" style="53" customWidth="1"/>
    <col min="1520" max="1520" width="9.109375" style="53" customWidth="1"/>
    <col min="1521" max="1521" width="6" style="53" customWidth="1"/>
    <col min="1522" max="1522" width="0.6640625" style="53" customWidth="1"/>
    <col min="1523" max="1523" width="7.109375" style="53" customWidth="1"/>
    <col min="1524" max="1524" width="6.5546875" style="53" customWidth="1"/>
    <col min="1525" max="1525" width="0.6640625" style="53" customWidth="1"/>
    <col min="1526" max="1526" width="7.88671875" style="53" customWidth="1"/>
    <col min="1527" max="1527" width="10.5546875" style="53" customWidth="1"/>
    <col min="1528" max="1528" width="0.6640625" style="53" customWidth="1"/>
    <col min="1529" max="1770" width="11.44140625" style="53"/>
    <col min="1771" max="1771" width="0.6640625" style="53" customWidth="1"/>
    <col min="1772" max="1772" width="15.109375" style="53" customWidth="1"/>
    <col min="1773" max="1773" width="0.6640625" style="53" customWidth="1"/>
    <col min="1774" max="1774" width="56.109375" style="53" customWidth="1"/>
    <col min="1775" max="1775" width="0.6640625" style="53" customWidth="1"/>
    <col min="1776" max="1776" width="9.109375" style="53" customWidth="1"/>
    <col min="1777" max="1777" width="6" style="53" customWidth="1"/>
    <col min="1778" max="1778" width="0.6640625" style="53" customWidth="1"/>
    <col min="1779" max="1779" width="7.109375" style="53" customWidth="1"/>
    <col min="1780" max="1780" width="6.5546875" style="53" customWidth="1"/>
    <col min="1781" max="1781" width="0.6640625" style="53" customWidth="1"/>
    <col min="1782" max="1782" width="7.88671875" style="53" customWidth="1"/>
    <col min="1783" max="1783" width="10.5546875" style="53" customWidth="1"/>
    <col min="1784" max="1784" width="0.6640625" style="53" customWidth="1"/>
    <col min="1785" max="2026" width="11.44140625" style="53"/>
    <col min="2027" max="2027" width="0.6640625" style="53" customWidth="1"/>
    <col min="2028" max="2028" width="15.109375" style="53" customWidth="1"/>
    <col min="2029" max="2029" width="0.6640625" style="53" customWidth="1"/>
    <col min="2030" max="2030" width="56.109375" style="53" customWidth="1"/>
    <col min="2031" max="2031" width="0.6640625" style="53" customWidth="1"/>
    <col min="2032" max="2032" width="9.109375" style="53" customWidth="1"/>
    <col min="2033" max="2033" width="6" style="53" customWidth="1"/>
    <col min="2034" max="2034" width="0.6640625" style="53" customWidth="1"/>
    <col min="2035" max="2035" width="7.109375" style="53" customWidth="1"/>
    <col min="2036" max="2036" width="6.5546875" style="53" customWidth="1"/>
    <col min="2037" max="2037" width="0.6640625" style="53" customWidth="1"/>
    <col min="2038" max="2038" width="7.88671875" style="53" customWidth="1"/>
    <col min="2039" max="2039" width="10.5546875" style="53" customWidth="1"/>
    <col min="2040" max="2040" width="0.6640625" style="53" customWidth="1"/>
    <col min="2041" max="2282" width="11.44140625" style="53"/>
    <col min="2283" max="2283" width="0.6640625" style="53" customWidth="1"/>
    <col min="2284" max="2284" width="15.109375" style="53" customWidth="1"/>
    <col min="2285" max="2285" width="0.6640625" style="53" customWidth="1"/>
    <col min="2286" max="2286" width="56.109375" style="53" customWidth="1"/>
    <col min="2287" max="2287" width="0.6640625" style="53" customWidth="1"/>
    <col min="2288" max="2288" width="9.109375" style="53" customWidth="1"/>
    <col min="2289" max="2289" width="6" style="53" customWidth="1"/>
    <col min="2290" max="2290" width="0.6640625" style="53" customWidth="1"/>
    <col min="2291" max="2291" width="7.109375" style="53" customWidth="1"/>
    <col min="2292" max="2292" width="6.5546875" style="53" customWidth="1"/>
    <col min="2293" max="2293" width="0.6640625" style="53" customWidth="1"/>
    <col min="2294" max="2294" width="7.88671875" style="53" customWidth="1"/>
    <col min="2295" max="2295" width="10.5546875" style="53" customWidth="1"/>
    <col min="2296" max="2296" width="0.6640625" style="53" customWidth="1"/>
    <col min="2297" max="2538" width="11.44140625" style="53"/>
    <col min="2539" max="2539" width="0.6640625" style="53" customWidth="1"/>
    <col min="2540" max="2540" width="15.109375" style="53" customWidth="1"/>
    <col min="2541" max="2541" width="0.6640625" style="53" customWidth="1"/>
    <col min="2542" max="2542" width="56.109375" style="53" customWidth="1"/>
    <col min="2543" max="2543" width="0.6640625" style="53" customWidth="1"/>
    <col min="2544" max="2544" width="9.109375" style="53" customWidth="1"/>
    <col min="2545" max="2545" width="6" style="53" customWidth="1"/>
    <col min="2546" max="2546" width="0.6640625" style="53" customWidth="1"/>
    <col min="2547" max="2547" width="7.109375" style="53" customWidth="1"/>
    <col min="2548" max="2548" width="6.5546875" style="53" customWidth="1"/>
    <col min="2549" max="2549" width="0.6640625" style="53" customWidth="1"/>
    <col min="2550" max="2550" width="7.88671875" style="53" customWidth="1"/>
    <col min="2551" max="2551" width="10.5546875" style="53" customWidth="1"/>
    <col min="2552" max="2552" width="0.6640625" style="53" customWidth="1"/>
    <col min="2553" max="2794" width="11.44140625" style="53"/>
    <col min="2795" max="2795" width="0.6640625" style="53" customWidth="1"/>
    <col min="2796" max="2796" width="15.109375" style="53" customWidth="1"/>
    <col min="2797" max="2797" width="0.6640625" style="53" customWidth="1"/>
    <col min="2798" max="2798" width="56.109375" style="53" customWidth="1"/>
    <col min="2799" max="2799" width="0.6640625" style="53" customWidth="1"/>
    <col min="2800" max="2800" width="9.109375" style="53" customWidth="1"/>
    <col min="2801" max="2801" width="6" style="53" customWidth="1"/>
    <col min="2802" max="2802" width="0.6640625" style="53" customWidth="1"/>
    <col min="2803" max="2803" width="7.109375" style="53" customWidth="1"/>
    <col min="2804" max="2804" width="6.5546875" style="53" customWidth="1"/>
    <col min="2805" max="2805" width="0.6640625" style="53" customWidth="1"/>
    <col min="2806" max="2806" width="7.88671875" style="53" customWidth="1"/>
    <col min="2807" max="2807" width="10.5546875" style="53" customWidth="1"/>
    <col min="2808" max="2808" width="0.6640625" style="53" customWidth="1"/>
    <col min="2809" max="3050" width="11.44140625" style="53"/>
    <col min="3051" max="3051" width="0.6640625" style="53" customWidth="1"/>
    <col min="3052" max="3052" width="15.109375" style="53" customWidth="1"/>
    <col min="3053" max="3053" width="0.6640625" style="53" customWidth="1"/>
    <col min="3054" max="3054" width="56.109375" style="53" customWidth="1"/>
    <col min="3055" max="3055" width="0.6640625" style="53" customWidth="1"/>
    <col min="3056" max="3056" width="9.109375" style="53" customWidth="1"/>
    <col min="3057" max="3057" width="6" style="53" customWidth="1"/>
    <col min="3058" max="3058" width="0.6640625" style="53" customWidth="1"/>
    <col min="3059" max="3059" width="7.109375" style="53" customWidth="1"/>
    <col min="3060" max="3060" width="6.5546875" style="53" customWidth="1"/>
    <col min="3061" max="3061" width="0.6640625" style="53" customWidth="1"/>
    <col min="3062" max="3062" width="7.88671875" style="53" customWidth="1"/>
    <col min="3063" max="3063" width="10.5546875" style="53" customWidth="1"/>
    <col min="3064" max="3064" width="0.6640625" style="53" customWidth="1"/>
    <col min="3065" max="3306" width="11.44140625" style="53"/>
    <col min="3307" max="3307" width="0.6640625" style="53" customWidth="1"/>
    <col min="3308" max="3308" width="15.109375" style="53" customWidth="1"/>
    <col min="3309" max="3309" width="0.6640625" style="53" customWidth="1"/>
    <col min="3310" max="3310" width="56.109375" style="53" customWidth="1"/>
    <col min="3311" max="3311" width="0.6640625" style="53" customWidth="1"/>
    <col min="3312" max="3312" width="9.109375" style="53" customWidth="1"/>
    <col min="3313" max="3313" width="6" style="53" customWidth="1"/>
    <col min="3314" max="3314" width="0.6640625" style="53" customWidth="1"/>
    <col min="3315" max="3315" width="7.109375" style="53" customWidth="1"/>
    <col min="3316" max="3316" width="6.5546875" style="53" customWidth="1"/>
    <col min="3317" max="3317" width="0.6640625" style="53" customWidth="1"/>
    <col min="3318" max="3318" width="7.88671875" style="53" customWidth="1"/>
    <col min="3319" max="3319" width="10.5546875" style="53" customWidth="1"/>
    <col min="3320" max="3320" width="0.6640625" style="53" customWidth="1"/>
    <col min="3321" max="3562" width="11.44140625" style="53"/>
    <col min="3563" max="3563" width="0.6640625" style="53" customWidth="1"/>
    <col min="3564" max="3564" width="15.109375" style="53" customWidth="1"/>
    <col min="3565" max="3565" width="0.6640625" style="53" customWidth="1"/>
    <col min="3566" max="3566" width="56.109375" style="53" customWidth="1"/>
    <col min="3567" max="3567" width="0.6640625" style="53" customWidth="1"/>
    <col min="3568" max="3568" width="9.109375" style="53" customWidth="1"/>
    <col min="3569" max="3569" width="6" style="53" customWidth="1"/>
    <col min="3570" max="3570" width="0.6640625" style="53" customWidth="1"/>
    <col min="3571" max="3571" width="7.109375" style="53" customWidth="1"/>
    <col min="3572" max="3572" width="6.5546875" style="53" customWidth="1"/>
    <col min="3573" max="3573" width="0.6640625" style="53" customWidth="1"/>
    <col min="3574" max="3574" width="7.88671875" style="53" customWidth="1"/>
    <col min="3575" max="3575" width="10.5546875" style="53" customWidth="1"/>
    <col min="3576" max="3576" width="0.6640625" style="53" customWidth="1"/>
    <col min="3577" max="3818" width="11.44140625" style="53"/>
    <col min="3819" max="3819" width="0.6640625" style="53" customWidth="1"/>
    <col min="3820" max="3820" width="15.109375" style="53" customWidth="1"/>
    <col min="3821" max="3821" width="0.6640625" style="53" customWidth="1"/>
    <col min="3822" max="3822" width="56.109375" style="53" customWidth="1"/>
    <col min="3823" max="3823" width="0.6640625" style="53" customWidth="1"/>
    <col min="3824" max="3824" width="9.109375" style="53" customWidth="1"/>
    <col min="3825" max="3825" width="6" style="53" customWidth="1"/>
    <col min="3826" max="3826" width="0.6640625" style="53" customWidth="1"/>
    <col min="3827" max="3827" width="7.109375" style="53" customWidth="1"/>
    <col min="3828" max="3828" width="6.5546875" style="53" customWidth="1"/>
    <col min="3829" max="3829" width="0.6640625" style="53" customWidth="1"/>
    <col min="3830" max="3830" width="7.88671875" style="53" customWidth="1"/>
    <col min="3831" max="3831" width="10.5546875" style="53" customWidth="1"/>
    <col min="3832" max="3832" width="0.6640625" style="53" customWidth="1"/>
    <col min="3833" max="4074" width="11.44140625" style="53"/>
    <col min="4075" max="4075" width="0.6640625" style="53" customWidth="1"/>
    <col min="4076" max="4076" width="15.109375" style="53" customWidth="1"/>
    <col min="4077" max="4077" width="0.6640625" style="53" customWidth="1"/>
    <col min="4078" max="4078" width="56.109375" style="53" customWidth="1"/>
    <col min="4079" max="4079" width="0.6640625" style="53" customWidth="1"/>
    <col min="4080" max="4080" width="9.109375" style="53" customWidth="1"/>
    <col min="4081" max="4081" width="6" style="53" customWidth="1"/>
    <col min="4082" max="4082" width="0.6640625" style="53" customWidth="1"/>
    <col min="4083" max="4083" width="7.109375" style="53" customWidth="1"/>
    <col min="4084" max="4084" width="6.5546875" style="53" customWidth="1"/>
    <col min="4085" max="4085" width="0.6640625" style="53" customWidth="1"/>
    <col min="4086" max="4086" width="7.88671875" style="53" customWidth="1"/>
    <col min="4087" max="4087" width="10.5546875" style="53" customWidth="1"/>
    <col min="4088" max="4088" width="0.6640625" style="53" customWidth="1"/>
    <col min="4089" max="4330" width="11.44140625" style="53"/>
    <col min="4331" max="4331" width="0.6640625" style="53" customWidth="1"/>
    <col min="4332" max="4332" width="15.109375" style="53" customWidth="1"/>
    <col min="4333" max="4333" width="0.6640625" style="53" customWidth="1"/>
    <col min="4334" max="4334" width="56.109375" style="53" customWidth="1"/>
    <col min="4335" max="4335" width="0.6640625" style="53" customWidth="1"/>
    <col min="4336" max="4336" width="9.109375" style="53" customWidth="1"/>
    <col min="4337" max="4337" width="6" style="53" customWidth="1"/>
    <col min="4338" max="4338" width="0.6640625" style="53" customWidth="1"/>
    <col min="4339" max="4339" width="7.109375" style="53" customWidth="1"/>
    <col min="4340" max="4340" width="6.5546875" style="53" customWidth="1"/>
    <col min="4341" max="4341" width="0.6640625" style="53" customWidth="1"/>
    <col min="4342" max="4342" width="7.88671875" style="53" customWidth="1"/>
    <col min="4343" max="4343" width="10.5546875" style="53" customWidth="1"/>
    <col min="4344" max="4344" width="0.6640625" style="53" customWidth="1"/>
    <col min="4345" max="4586" width="11.44140625" style="53"/>
    <col min="4587" max="4587" width="0.6640625" style="53" customWidth="1"/>
    <col min="4588" max="4588" width="15.109375" style="53" customWidth="1"/>
    <col min="4589" max="4589" width="0.6640625" style="53" customWidth="1"/>
    <col min="4590" max="4590" width="56.109375" style="53" customWidth="1"/>
    <col min="4591" max="4591" width="0.6640625" style="53" customWidth="1"/>
    <col min="4592" max="4592" width="9.109375" style="53" customWidth="1"/>
    <col min="4593" max="4593" width="6" style="53" customWidth="1"/>
    <col min="4594" max="4594" width="0.6640625" style="53" customWidth="1"/>
    <col min="4595" max="4595" width="7.109375" style="53" customWidth="1"/>
    <col min="4596" max="4596" width="6.5546875" style="53" customWidth="1"/>
    <col min="4597" max="4597" width="0.6640625" style="53" customWidth="1"/>
    <col min="4598" max="4598" width="7.88671875" style="53" customWidth="1"/>
    <col min="4599" max="4599" width="10.5546875" style="53" customWidth="1"/>
    <col min="4600" max="4600" width="0.6640625" style="53" customWidth="1"/>
    <col min="4601" max="4842" width="11.44140625" style="53"/>
    <col min="4843" max="4843" width="0.6640625" style="53" customWidth="1"/>
    <col min="4844" max="4844" width="15.109375" style="53" customWidth="1"/>
    <col min="4845" max="4845" width="0.6640625" style="53" customWidth="1"/>
    <col min="4846" max="4846" width="56.109375" style="53" customWidth="1"/>
    <col min="4847" max="4847" width="0.6640625" style="53" customWidth="1"/>
    <col min="4848" max="4848" width="9.109375" style="53" customWidth="1"/>
    <col min="4849" max="4849" width="6" style="53" customWidth="1"/>
    <col min="4850" max="4850" width="0.6640625" style="53" customWidth="1"/>
    <col min="4851" max="4851" width="7.109375" style="53" customWidth="1"/>
    <col min="4852" max="4852" width="6.5546875" style="53" customWidth="1"/>
    <col min="4853" max="4853" width="0.6640625" style="53" customWidth="1"/>
    <col min="4854" max="4854" width="7.88671875" style="53" customWidth="1"/>
    <col min="4855" max="4855" width="10.5546875" style="53" customWidth="1"/>
    <col min="4856" max="4856" width="0.6640625" style="53" customWidth="1"/>
    <col min="4857" max="5098" width="11.44140625" style="53"/>
    <col min="5099" max="5099" width="0.6640625" style="53" customWidth="1"/>
    <col min="5100" max="5100" width="15.109375" style="53" customWidth="1"/>
    <col min="5101" max="5101" width="0.6640625" style="53" customWidth="1"/>
    <col min="5102" max="5102" width="56.109375" style="53" customWidth="1"/>
    <col min="5103" max="5103" width="0.6640625" style="53" customWidth="1"/>
    <col min="5104" max="5104" width="9.109375" style="53" customWidth="1"/>
    <col min="5105" max="5105" width="6" style="53" customWidth="1"/>
    <col min="5106" max="5106" width="0.6640625" style="53" customWidth="1"/>
    <col min="5107" max="5107" width="7.109375" style="53" customWidth="1"/>
    <col min="5108" max="5108" width="6.5546875" style="53" customWidth="1"/>
    <col min="5109" max="5109" width="0.6640625" style="53" customWidth="1"/>
    <col min="5110" max="5110" width="7.88671875" style="53" customWidth="1"/>
    <col min="5111" max="5111" width="10.5546875" style="53" customWidth="1"/>
    <col min="5112" max="5112" width="0.6640625" style="53" customWidth="1"/>
    <col min="5113" max="5354" width="11.44140625" style="53"/>
    <col min="5355" max="5355" width="0.6640625" style="53" customWidth="1"/>
    <col min="5356" max="5356" width="15.109375" style="53" customWidth="1"/>
    <col min="5357" max="5357" width="0.6640625" style="53" customWidth="1"/>
    <col min="5358" max="5358" width="56.109375" style="53" customWidth="1"/>
    <col min="5359" max="5359" width="0.6640625" style="53" customWidth="1"/>
    <col min="5360" max="5360" width="9.109375" style="53" customWidth="1"/>
    <col min="5361" max="5361" width="6" style="53" customWidth="1"/>
    <col min="5362" max="5362" width="0.6640625" style="53" customWidth="1"/>
    <col min="5363" max="5363" width="7.109375" style="53" customWidth="1"/>
    <col min="5364" max="5364" width="6.5546875" style="53" customWidth="1"/>
    <col min="5365" max="5365" width="0.6640625" style="53" customWidth="1"/>
    <col min="5366" max="5366" width="7.88671875" style="53" customWidth="1"/>
    <col min="5367" max="5367" width="10.5546875" style="53" customWidth="1"/>
    <col min="5368" max="5368" width="0.6640625" style="53" customWidth="1"/>
    <col min="5369" max="5610" width="11.44140625" style="53"/>
    <col min="5611" max="5611" width="0.6640625" style="53" customWidth="1"/>
    <col min="5612" max="5612" width="15.109375" style="53" customWidth="1"/>
    <col min="5613" max="5613" width="0.6640625" style="53" customWidth="1"/>
    <col min="5614" max="5614" width="56.109375" style="53" customWidth="1"/>
    <col min="5615" max="5615" width="0.6640625" style="53" customWidth="1"/>
    <col min="5616" max="5616" width="9.109375" style="53" customWidth="1"/>
    <col min="5617" max="5617" width="6" style="53" customWidth="1"/>
    <col min="5618" max="5618" width="0.6640625" style="53" customWidth="1"/>
    <col min="5619" max="5619" width="7.109375" style="53" customWidth="1"/>
    <col min="5620" max="5620" width="6.5546875" style="53" customWidth="1"/>
    <col min="5621" max="5621" width="0.6640625" style="53" customWidth="1"/>
    <col min="5622" max="5622" width="7.88671875" style="53" customWidth="1"/>
    <col min="5623" max="5623" width="10.5546875" style="53" customWidth="1"/>
    <col min="5624" max="5624" width="0.6640625" style="53" customWidth="1"/>
    <col min="5625" max="5866" width="11.44140625" style="53"/>
    <col min="5867" max="5867" width="0.6640625" style="53" customWidth="1"/>
    <col min="5868" max="5868" width="15.109375" style="53" customWidth="1"/>
    <col min="5869" max="5869" width="0.6640625" style="53" customWidth="1"/>
    <col min="5870" max="5870" width="56.109375" style="53" customWidth="1"/>
    <col min="5871" max="5871" width="0.6640625" style="53" customWidth="1"/>
    <col min="5872" max="5872" width="9.109375" style="53" customWidth="1"/>
    <col min="5873" max="5873" width="6" style="53" customWidth="1"/>
    <col min="5874" max="5874" width="0.6640625" style="53" customWidth="1"/>
    <col min="5875" max="5875" width="7.109375" style="53" customWidth="1"/>
    <col min="5876" max="5876" width="6.5546875" style="53" customWidth="1"/>
    <col min="5877" max="5877" width="0.6640625" style="53" customWidth="1"/>
    <col min="5878" max="5878" width="7.88671875" style="53" customWidth="1"/>
    <col min="5879" max="5879" width="10.5546875" style="53" customWidth="1"/>
    <col min="5880" max="5880" width="0.6640625" style="53" customWidth="1"/>
    <col min="5881" max="6122" width="11.44140625" style="53"/>
    <col min="6123" max="6123" width="0.6640625" style="53" customWidth="1"/>
    <col min="6124" max="6124" width="15.109375" style="53" customWidth="1"/>
    <col min="6125" max="6125" width="0.6640625" style="53" customWidth="1"/>
    <col min="6126" max="6126" width="56.109375" style="53" customWidth="1"/>
    <col min="6127" max="6127" width="0.6640625" style="53" customWidth="1"/>
    <col min="6128" max="6128" width="9.109375" style="53" customWidth="1"/>
    <col min="6129" max="6129" width="6" style="53" customWidth="1"/>
    <col min="6130" max="6130" width="0.6640625" style="53" customWidth="1"/>
    <col min="6131" max="6131" width="7.109375" style="53" customWidth="1"/>
    <col min="6132" max="6132" width="6.5546875" style="53" customWidth="1"/>
    <col min="6133" max="6133" width="0.6640625" style="53" customWidth="1"/>
    <col min="6134" max="6134" width="7.88671875" style="53" customWidth="1"/>
    <col min="6135" max="6135" width="10.5546875" style="53" customWidth="1"/>
    <col min="6136" max="6136" width="0.6640625" style="53" customWidth="1"/>
    <col min="6137" max="6378" width="11.44140625" style="53"/>
    <col min="6379" max="6379" width="0.6640625" style="53" customWidth="1"/>
    <col min="6380" max="6380" width="15.109375" style="53" customWidth="1"/>
    <col min="6381" max="6381" width="0.6640625" style="53" customWidth="1"/>
    <col min="6382" max="6382" width="56.109375" style="53" customWidth="1"/>
    <col min="6383" max="6383" width="0.6640625" style="53" customWidth="1"/>
    <col min="6384" max="6384" width="9.109375" style="53" customWidth="1"/>
    <col min="6385" max="6385" width="6" style="53" customWidth="1"/>
    <col min="6386" max="6386" width="0.6640625" style="53" customWidth="1"/>
    <col min="6387" max="6387" width="7.109375" style="53" customWidth="1"/>
    <col min="6388" max="6388" width="6.5546875" style="53" customWidth="1"/>
    <col min="6389" max="6389" width="0.6640625" style="53" customWidth="1"/>
    <col min="6390" max="6390" width="7.88671875" style="53" customWidth="1"/>
    <col min="6391" max="6391" width="10.5546875" style="53" customWidth="1"/>
    <col min="6392" max="6392" width="0.6640625" style="53" customWidth="1"/>
    <col min="6393" max="6634" width="11.44140625" style="53"/>
    <col min="6635" max="6635" width="0.6640625" style="53" customWidth="1"/>
    <col min="6636" max="6636" width="15.109375" style="53" customWidth="1"/>
    <col min="6637" max="6637" width="0.6640625" style="53" customWidth="1"/>
    <col min="6638" max="6638" width="56.109375" style="53" customWidth="1"/>
    <col min="6639" max="6639" width="0.6640625" style="53" customWidth="1"/>
    <col min="6640" max="6640" width="9.109375" style="53" customWidth="1"/>
    <col min="6641" max="6641" width="6" style="53" customWidth="1"/>
    <col min="6642" max="6642" width="0.6640625" style="53" customWidth="1"/>
    <col min="6643" max="6643" width="7.109375" style="53" customWidth="1"/>
    <col min="6644" max="6644" width="6.5546875" style="53" customWidth="1"/>
    <col min="6645" max="6645" width="0.6640625" style="53" customWidth="1"/>
    <col min="6646" max="6646" width="7.88671875" style="53" customWidth="1"/>
    <col min="6647" max="6647" width="10.5546875" style="53" customWidth="1"/>
    <col min="6648" max="6648" width="0.6640625" style="53" customWidth="1"/>
    <col min="6649" max="6890" width="11.44140625" style="53"/>
    <col min="6891" max="6891" width="0.6640625" style="53" customWidth="1"/>
    <col min="6892" max="6892" width="15.109375" style="53" customWidth="1"/>
    <col min="6893" max="6893" width="0.6640625" style="53" customWidth="1"/>
    <col min="6894" max="6894" width="56.109375" style="53" customWidth="1"/>
    <col min="6895" max="6895" width="0.6640625" style="53" customWidth="1"/>
    <col min="6896" max="6896" width="9.109375" style="53" customWidth="1"/>
    <col min="6897" max="6897" width="6" style="53" customWidth="1"/>
    <col min="6898" max="6898" width="0.6640625" style="53" customWidth="1"/>
    <col min="6899" max="6899" width="7.109375" style="53" customWidth="1"/>
    <col min="6900" max="6900" width="6.5546875" style="53" customWidth="1"/>
    <col min="6901" max="6901" width="0.6640625" style="53" customWidth="1"/>
    <col min="6902" max="6902" width="7.88671875" style="53" customWidth="1"/>
    <col min="6903" max="6903" width="10.5546875" style="53" customWidth="1"/>
    <col min="6904" max="6904" width="0.6640625" style="53" customWidth="1"/>
    <col min="6905" max="7146" width="11.44140625" style="53"/>
    <col min="7147" max="7147" width="0.6640625" style="53" customWidth="1"/>
    <col min="7148" max="7148" width="15.109375" style="53" customWidth="1"/>
    <col min="7149" max="7149" width="0.6640625" style="53" customWidth="1"/>
    <col min="7150" max="7150" width="56.109375" style="53" customWidth="1"/>
    <col min="7151" max="7151" width="0.6640625" style="53" customWidth="1"/>
    <col min="7152" max="7152" width="9.109375" style="53" customWidth="1"/>
    <col min="7153" max="7153" width="6" style="53" customWidth="1"/>
    <col min="7154" max="7154" width="0.6640625" style="53" customWidth="1"/>
    <col min="7155" max="7155" width="7.109375" style="53" customWidth="1"/>
    <col min="7156" max="7156" width="6.5546875" style="53" customWidth="1"/>
    <col min="7157" max="7157" width="0.6640625" style="53" customWidth="1"/>
    <col min="7158" max="7158" width="7.88671875" style="53" customWidth="1"/>
    <col min="7159" max="7159" width="10.5546875" style="53" customWidth="1"/>
    <col min="7160" max="7160" width="0.6640625" style="53" customWidth="1"/>
    <col min="7161" max="7402" width="11.44140625" style="53"/>
    <col min="7403" max="7403" width="0.6640625" style="53" customWidth="1"/>
    <col min="7404" max="7404" width="15.109375" style="53" customWidth="1"/>
    <col min="7405" max="7405" width="0.6640625" style="53" customWidth="1"/>
    <col min="7406" max="7406" width="56.109375" style="53" customWidth="1"/>
    <col min="7407" max="7407" width="0.6640625" style="53" customWidth="1"/>
    <col min="7408" max="7408" width="9.109375" style="53" customWidth="1"/>
    <col min="7409" max="7409" width="6" style="53" customWidth="1"/>
    <col min="7410" max="7410" width="0.6640625" style="53" customWidth="1"/>
    <col min="7411" max="7411" width="7.109375" style="53" customWidth="1"/>
    <col min="7412" max="7412" width="6.5546875" style="53" customWidth="1"/>
    <col min="7413" max="7413" width="0.6640625" style="53" customWidth="1"/>
    <col min="7414" max="7414" width="7.88671875" style="53" customWidth="1"/>
    <col min="7415" max="7415" width="10.5546875" style="53" customWidth="1"/>
    <col min="7416" max="7416" width="0.6640625" style="53" customWidth="1"/>
    <col min="7417" max="7658" width="11.44140625" style="53"/>
    <col min="7659" max="7659" width="0.6640625" style="53" customWidth="1"/>
    <col min="7660" max="7660" width="15.109375" style="53" customWidth="1"/>
    <col min="7661" max="7661" width="0.6640625" style="53" customWidth="1"/>
    <col min="7662" max="7662" width="56.109375" style="53" customWidth="1"/>
    <col min="7663" max="7663" width="0.6640625" style="53" customWidth="1"/>
    <col min="7664" max="7664" width="9.109375" style="53" customWidth="1"/>
    <col min="7665" max="7665" width="6" style="53" customWidth="1"/>
    <col min="7666" max="7666" width="0.6640625" style="53" customWidth="1"/>
    <col min="7667" max="7667" width="7.109375" style="53" customWidth="1"/>
    <col min="7668" max="7668" width="6.5546875" style="53" customWidth="1"/>
    <col min="7669" max="7669" width="0.6640625" style="53" customWidth="1"/>
    <col min="7670" max="7670" width="7.88671875" style="53" customWidth="1"/>
    <col min="7671" max="7671" width="10.5546875" style="53" customWidth="1"/>
    <col min="7672" max="7672" width="0.6640625" style="53" customWidth="1"/>
    <col min="7673" max="7914" width="11.44140625" style="53"/>
    <col min="7915" max="7915" width="0.6640625" style="53" customWidth="1"/>
    <col min="7916" max="7916" width="15.109375" style="53" customWidth="1"/>
    <col min="7917" max="7917" width="0.6640625" style="53" customWidth="1"/>
    <col min="7918" max="7918" width="56.109375" style="53" customWidth="1"/>
    <col min="7919" max="7919" width="0.6640625" style="53" customWidth="1"/>
    <col min="7920" max="7920" width="9.109375" style="53" customWidth="1"/>
    <col min="7921" max="7921" width="6" style="53" customWidth="1"/>
    <col min="7922" max="7922" width="0.6640625" style="53" customWidth="1"/>
    <col min="7923" max="7923" width="7.109375" style="53" customWidth="1"/>
    <col min="7924" max="7924" width="6.5546875" style="53" customWidth="1"/>
    <col min="7925" max="7925" width="0.6640625" style="53" customWidth="1"/>
    <col min="7926" max="7926" width="7.88671875" style="53" customWidth="1"/>
    <col min="7927" max="7927" width="10.5546875" style="53" customWidth="1"/>
    <col min="7928" max="7928" width="0.6640625" style="53" customWidth="1"/>
    <col min="7929" max="8170" width="11.44140625" style="53"/>
    <col min="8171" max="8171" width="0.6640625" style="53" customWidth="1"/>
    <col min="8172" max="8172" width="15.109375" style="53" customWidth="1"/>
    <col min="8173" max="8173" width="0.6640625" style="53" customWidth="1"/>
    <col min="8174" max="8174" width="56.109375" style="53" customWidth="1"/>
    <col min="8175" max="8175" width="0.6640625" style="53" customWidth="1"/>
    <col min="8176" max="8176" width="9.109375" style="53" customWidth="1"/>
    <col min="8177" max="8177" width="6" style="53" customWidth="1"/>
    <col min="8178" max="8178" width="0.6640625" style="53" customWidth="1"/>
    <col min="8179" max="8179" width="7.109375" style="53" customWidth="1"/>
    <col min="8180" max="8180" width="6.5546875" style="53" customWidth="1"/>
    <col min="8181" max="8181" width="0.6640625" style="53" customWidth="1"/>
    <col min="8182" max="8182" width="7.88671875" style="53" customWidth="1"/>
    <col min="8183" max="8183" width="10.5546875" style="53" customWidth="1"/>
    <col min="8184" max="8184" width="0.6640625" style="53" customWidth="1"/>
    <col min="8185" max="8426" width="11.44140625" style="53"/>
    <col min="8427" max="8427" width="0.6640625" style="53" customWidth="1"/>
    <col min="8428" max="8428" width="15.109375" style="53" customWidth="1"/>
    <col min="8429" max="8429" width="0.6640625" style="53" customWidth="1"/>
    <col min="8430" max="8430" width="56.109375" style="53" customWidth="1"/>
    <col min="8431" max="8431" width="0.6640625" style="53" customWidth="1"/>
    <col min="8432" max="8432" width="9.109375" style="53" customWidth="1"/>
    <col min="8433" max="8433" width="6" style="53" customWidth="1"/>
    <col min="8434" max="8434" width="0.6640625" style="53" customWidth="1"/>
    <col min="8435" max="8435" width="7.109375" style="53" customWidth="1"/>
    <col min="8436" max="8436" width="6.5546875" style="53" customWidth="1"/>
    <col min="8437" max="8437" width="0.6640625" style="53" customWidth="1"/>
    <col min="8438" max="8438" width="7.88671875" style="53" customWidth="1"/>
    <col min="8439" max="8439" width="10.5546875" style="53" customWidth="1"/>
    <col min="8440" max="8440" width="0.6640625" style="53" customWidth="1"/>
    <col min="8441" max="8682" width="11.44140625" style="53"/>
    <col min="8683" max="8683" width="0.6640625" style="53" customWidth="1"/>
    <col min="8684" max="8684" width="15.109375" style="53" customWidth="1"/>
    <col min="8685" max="8685" width="0.6640625" style="53" customWidth="1"/>
    <col min="8686" max="8686" width="56.109375" style="53" customWidth="1"/>
    <col min="8687" max="8687" width="0.6640625" style="53" customWidth="1"/>
    <col min="8688" max="8688" width="9.109375" style="53" customWidth="1"/>
    <col min="8689" max="8689" width="6" style="53" customWidth="1"/>
    <col min="8690" max="8690" width="0.6640625" style="53" customWidth="1"/>
    <col min="8691" max="8691" width="7.109375" style="53" customWidth="1"/>
    <col min="8692" max="8692" width="6.5546875" style="53" customWidth="1"/>
    <col min="8693" max="8693" width="0.6640625" style="53" customWidth="1"/>
    <col min="8694" max="8694" width="7.88671875" style="53" customWidth="1"/>
    <col min="8695" max="8695" width="10.5546875" style="53" customWidth="1"/>
    <col min="8696" max="8696" width="0.6640625" style="53" customWidth="1"/>
    <col min="8697" max="8938" width="11.44140625" style="53"/>
    <col min="8939" max="8939" width="0.6640625" style="53" customWidth="1"/>
    <col min="8940" max="8940" width="15.109375" style="53" customWidth="1"/>
    <col min="8941" max="8941" width="0.6640625" style="53" customWidth="1"/>
    <col min="8942" max="8942" width="56.109375" style="53" customWidth="1"/>
    <col min="8943" max="8943" width="0.6640625" style="53" customWidth="1"/>
    <col min="8944" max="8944" width="9.109375" style="53" customWidth="1"/>
    <col min="8945" max="8945" width="6" style="53" customWidth="1"/>
    <col min="8946" max="8946" width="0.6640625" style="53" customWidth="1"/>
    <col min="8947" max="8947" width="7.109375" style="53" customWidth="1"/>
    <col min="8948" max="8948" width="6.5546875" style="53" customWidth="1"/>
    <col min="8949" max="8949" width="0.6640625" style="53" customWidth="1"/>
    <col min="8950" max="8950" width="7.88671875" style="53" customWidth="1"/>
    <col min="8951" max="8951" width="10.5546875" style="53" customWidth="1"/>
    <col min="8952" max="8952" width="0.6640625" style="53" customWidth="1"/>
    <col min="8953" max="9194" width="11.44140625" style="53"/>
    <col min="9195" max="9195" width="0.6640625" style="53" customWidth="1"/>
    <col min="9196" max="9196" width="15.109375" style="53" customWidth="1"/>
    <col min="9197" max="9197" width="0.6640625" style="53" customWidth="1"/>
    <col min="9198" max="9198" width="56.109375" style="53" customWidth="1"/>
    <col min="9199" max="9199" width="0.6640625" style="53" customWidth="1"/>
    <col min="9200" max="9200" width="9.109375" style="53" customWidth="1"/>
    <col min="9201" max="9201" width="6" style="53" customWidth="1"/>
    <col min="9202" max="9202" width="0.6640625" style="53" customWidth="1"/>
    <col min="9203" max="9203" width="7.109375" style="53" customWidth="1"/>
    <col min="9204" max="9204" width="6.5546875" style="53" customWidth="1"/>
    <col min="9205" max="9205" width="0.6640625" style="53" customWidth="1"/>
    <col min="9206" max="9206" width="7.88671875" style="53" customWidth="1"/>
    <col min="9207" max="9207" width="10.5546875" style="53" customWidth="1"/>
    <col min="9208" max="9208" width="0.6640625" style="53" customWidth="1"/>
    <col min="9209" max="9450" width="11.44140625" style="53"/>
    <col min="9451" max="9451" width="0.6640625" style="53" customWidth="1"/>
    <col min="9452" max="9452" width="15.109375" style="53" customWidth="1"/>
    <col min="9453" max="9453" width="0.6640625" style="53" customWidth="1"/>
    <col min="9454" max="9454" width="56.109375" style="53" customWidth="1"/>
    <col min="9455" max="9455" width="0.6640625" style="53" customWidth="1"/>
    <col min="9456" max="9456" width="9.109375" style="53" customWidth="1"/>
    <col min="9457" max="9457" width="6" style="53" customWidth="1"/>
    <col min="9458" max="9458" width="0.6640625" style="53" customWidth="1"/>
    <col min="9459" max="9459" width="7.109375" style="53" customWidth="1"/>
    <col min="9460" max="9460" width="6.5546875" style="53" customWidth="1"/>
    <col min="9461" max="9461" width="0.6640625" style="53" customWidth="1"/>
    <col min="9462" max="9462" width="7.88671875" style="53" customWidth="1"/>
    <col min="9463" max="9463" width="10.5546875" style="53" customWidth="1"/>
    <col min="9464" max="9464" width="0.6640625" style="53" customWidth="1"/>
    <col min="9465" max="9706" width="11.44140625" style="53"/>
    <col min="9707" max="9707" width="0.6640625" style="53" customWidth="1"/>
    <col min="9708" max="9708" width="15.109375" style="53" customWidth="1"/>
    <col min="9709" max="9709" width="0.6640625" style="53" customWidth="1"/>
    <col min="9710" max="9710" width="56.109375" style="53" customWidth="1"/>
    <col min="9711" max="9711" width="0.6640625" style="53" customWidth="1"/>
    <col min="9712" max="9712" width="9.109375" style="53" customWidth="1"/>
    <col min="9713" max="9713" width="6" style="53" customWidth="1"/>
    <col min="9714" max="9714" width="0.6640625" style="53" customWidth="1"/>
    <col min="9715" max="9715" width="7.109375" style="53" customWidth="1"/>
    <col min="9716" max="9716" width="6.5546875" style="53" customWidth="1"/>
    <col min="9717" max="9717" width="0.6640625" style="53" customWidth="1"/>
    <col min="9718" max="9718" width="7.88671875" style="53" customWidth="1"/>
    <col min="9719" max="9719" width="10.5546875" style="53" customWidth="1"/>
    <col min="9720" max="9720" width="0.6640625" style="53" customWidth="1"/>
    <col min="9721" max="9962" width="11.44140625" style="53"/>
    <col min="9963" max="9963" width="0.6640625" style="53" customWidth="1"/>
    <col min="9964" max="9964" width="15.109375" style="53" customWidth="1"/>
    <col min="9965" max="9965" width="0.6640625" style="53" customWidth="1"/>
    <col min="9966" max="9966" width="56.109375" style="53" customWidth="1"/>
    <col min="9967" max="9967" width="0.6640625" style="53" customWidth="1"/>
    <col min="9968" max="9968" width="9.109375" style="53" customWidth="1"/>
    <col min="9969" max="9969" width="6" style="53" customWidth="1"/>
    <col min="9970" max="9970" width="0.6640625" style="53" customWidth="1"/>
    <col min="9971" max="9971" width="7.109375" style="53" customWidth="1"/>
    <col min="9972" max="9972" width="6.5546875" style="53" customWidth="1"/>
    <col min="9973" max="9973" width="0.6640625" style="53" customWidth="1"/>
    <col min="9974" max="9974" width="7.88671875" style="53" customWidth="1"/>
    <col min="9975" max="9975" width="10.5546875" style="53" customWidth="1"/>
    <col min="9976" max="9976" width="0.6640625" style="53" customWidth="1"/>
    <col min="9977" max="10218" width="11.44140625" style="53"/>
    <col min="10219" max="10219" width="0.6640625" style="53" customWidth="1"/>
    <col min="10220" max="10220" width="15.109375" style="53" customWidth="1"/>
    <col min="10221" max="10221" width="0.6640625" style="53" customWidth="1"/>
    <col min="10222" max="10222" width="56.109375" style="53" customWidth="1"/>
    <col min="10223" max="10223" width="0.6640625" style="53" customWidth="1"/>
    <col min="10224" max="10224" width="9.109375" style="53" customWidth="1"/>
    <col min="10225" max="10225" width="6" style="53" customWidth="1"/>
    <col min="10226" max="10226" width="0.6640625" style="53" customWidth="1"/>
    <col min="10227" max="10227" width="7.109375" style="53" customWidth="1"/>
    <col min="10228" max="10228" width="6.5546875" style="53" customWidth="1"/>
    <col min="10229" max="10229" width="0.6640625" style="53" customWidth="1"/>
    <col min="10230" max="10230" width="7.88671875" style="53" customWidth="1"/>
    <col min="10231" max="10231" width="10.5546875" style="53" customWidth="1"/>
    <col min="10232" max="10232" width="0.6640625" style="53" customWidth="1"/>
    <col min="10233" max="10474" width="11.44140625" style="53"/>
    <col min="10475" max="10475" width="0.6640625" style="53" customWidth="1"/>
    <col min="10476" max="10476" width="15.109375" style="53" customWidth="1"/>
    <col min="10477" max="10477" width="0.6640625" style="53" customWidth="1"/>
    <col min="10478" max="10478" width="56.109375" style="53" customWidth="1"/>
    <col min="10479" max="10479" width="0.6640625" style="53" customWidth="1"/>
    <col min="10480" max="10480" width="9.109375" style="53" customWidth="1"/>
    <col min="10481" max="10481" width="6" style="53" customWidth="1"/>
    <col min="10482" max="10482" width="0.6640625" style="53" customWidth="1"/>
    <col min="10483" max="10483" width="7.109375" style="53" customWidth="1"/>
    <col min="10484" max="10484" width="6.5546875" style="53" customWidth="1"/>
    <col min="10485" max="10485" width="0.6640625" style="53" customWidth="1"/>
    <col min="10486" max="10486" width="7.88671875" style="53" customWidth="1"/>
    <col min="10487" max="10487" width="10.5546875" style="53" customWidth="1"/>
    <col min="10488" max="10488" width="0.6640625" style="53" customWidth="1"/>
    <col min="10489" max="10730" width="11.44140625" style="53"/>
    <col min="10731" max="10731" width="0.6640625" style="53" customWidth="1"/>
    <col min="10732" max="10732" width="15.109375" style="53" customWidth="1"/>
    <col min="10733" max="10733" width="0.6640625" style="53" customWidth="1"/>
    <col min="10734" max="10734" width="56.109375" style="53" customWidth="1"/>
    <col min="10735" max="10735" width="0.6640625" style="53" customWidth="1"/>
    <col min="10736" max="10736" width="9.109375" style="53" customWidth="1"/>
    <col min="10737" max="10737" width="6" style="53" customWidth="1"/>
    <col min="10738" max="10738" width="0.6640625" style="53" customWidth="1"/>
    <col min="10739" max="10739" width="7.109375" style="53" customWidth="1"/>
    <col min="10740" max="10740" width="6.5546875" style="53" customWidth="1"/>
    <col min="10741" max="10741" width="0.6640625" style="53" customWidth="1"/>
    <col min="10742" max="10742" width="7.88671875" style="53" customWidth="1"/>
    <col min="10743" max="10743" width="10.5546875" style="53" customWidth="1"/>
    <col min="10744" max="10744" width="0.6640625" style="53" customWidth="1"/>
    <col min="10745" max="10986" width="11.44140625" style="53"/>
    <col min="10987" max="10987" width="0.6640625" style="53" customWidth="1"/>
    <col min="10988" max="10988" width="15.109375" style="53" customWidth="1"/>
    <col min="10989" max="10989" width="0.6640625" style="53" customWidth="1"/>
    <col min="10990" max="10990" width="56.109375" style="53" customWidth="1"/>
    <col min="10991" max="10991" width="0.6640625" style="53" customWidth="1"/>
    <col min="10992" max="10992" width="9.109375" style="53" customWidth="1"/>
    <col min="10993" max="10993" width="6" style="53" customWidth="1"/>
    <col min="10994" max="10994" width="0.6640625" style="53" customWidth="1"/>
    <col min="10995" max="10995" width="7.109375" style="53" customWidth="1"/>
    <col min="10996" max="10996" width="6.5546875" style="53" customWidth="1"/>
    <col min="10997" max="10997" width="0.6640625" style="53" customWidth="1"/>
    <col min="10998" max="10998" width="7.88671875" style="53" customWidth="1"/>
    <col min="10999" max="10999" width="10.5546875" style="53" customWidth="1"/>
    <col min="11000" max="11000" width="0.6640625" style="53" customWidth="1"/>
    <col min="11001" max="11242" width="11.44140625" style="53"/>
    <col min="11243" max="11243" width="0.6640625" style="53" customWidth="1"/>
    <col min="11244" max="11244" width="15.109375" style="53" customWidth="1"/>
    <col min="11245" max="11245" width="0.6640625" style="53" customWidth="1"/>
    <col min="11246" max="11246" width="56.109375" style="53" customWidth="1"/>
    <col min="11247" max="11247" width="0.6640625" style="53" customWidth="1"/>
    <col min="11248" max="11248" width="9.109375" style="53" customWidth="1"/>
    <col min="11249" max="11249" width="6" style="53" customWidth="1"/>
    <col min="11250" max="11250" width="0.6640625" style="53" customWidth="1"/>
    <col min="11251" max="11251" width="7.109375" style="53" customWidth="1"/>
    <col min="11252" max="11252" width="6.5546875" style="53" customWidth="1"/>
    <col min="11253" max="11253" width="0.6640625" style="53" customWidth="1"/>
    <col min="11254" max="11254" width="7.88671875" style="53" customWidth="1"/>
    <col min="11255" max="11255" width="10.5546875" style="53" customWidth="1"/>
    <col min="11256" max="11256" width="0.6640625" style="53" customWidth="1"/>
    <col min="11257" max="11498" width="11.44140625" style="53"/>
    <col min="11499" max="11499" width="0.6640625" style="53" customWidth="1"/>
    <col min="11500" max="11500" width="15.109375" style="53" customWidth="1"/>
    <col min="11501" max="11501" width="0.6640625" style="53" customWidth="1"/>
    <col min="11502" max="11502" width="56.109375" style="53" customWidth="1"/>
    <col min="11503" max="11503" width="0.6640625" style="53" customWidth="1"/>
    <col min="11504" max="11504" width="9.109375" style="53" customWidth="1"/>
    <col min="11505" max="11505" width="6" style="53" customWidth="1"/>
    <col min="11506" max="11506" width="0.6640625" style="53" customWidth="1"/>
    <col min="11507" max="11507" width="7.109375" style="53" customWidth="1"/>
    <col min="11508" max="11508" width="6.5546875" style="53" customWidth="1"/>
    <col min="11509" max="11509" width="0.6640625" style="53" customWidth="1"/>
    <col min="11510" max="11510" width="7.88671875" style="53" customWidth="1"/>
    <col min="11511" max="11511" width="10.5546875" style="53" customWidth="1"/>
    <col min="11512" max="11512" width="0.6640625" style="53" customWidth="1"/>
    <col min="11513" max="11754" width="11.44140625" style="53"/>
    <col min="11755" max="11755" width="0.6640625" style="53" customWidth="1"/>
    <col min="11756" max="11756" width="15.109375" style="53" customWidth="1"/>
    <col min="11757" max="11757" width="0.6640625" style="53" customWidth="1"/>
    <col min="11758" max="11758" width="56.109375" style="53" customWidth="1"/>
    <col min="11759" max="11759" width="0.6640625" style="53" customWidth="1"/>
    <col min="11760" max="11760" width="9.109375" style="53" customWidth="1"/>
    <col min="11761" max="11761" width="6" style="53" customWidth="1"/>
    <col min="11762" max="11762" width="0.6640625" style="53" customWidth="1"/>
    <col min="11763" max="11763" width="7.109375" style="53" customWidth="1"/>
    <col min="11764" max="11764" width="6.5546875" style="53" customWidth="1"/>
    <col min="11765" max="11765" width="0.6640625" style="53" customWidth="1"/>
    <col min="11766" max="11766" width="7.88671875" style="53" customWidth="1"/>
    <col min="11767" max="11767" width="10.5546875" style="53" customWidth="1"/>
    <col min="11768" max="11768" width="0.6640625" style="53" customWidth="1"/>
    <col min="11769" max="12010" width="11.44140625" style="53"/>
    <col min="12011" max="12011" width="0.6640625" style="53" customWidth="1"/>
    <col min="12012" max="12012" width="15.109375" style="53" customWidth="1"/>
    <col min="12013" max="12013" width="0.6640625" style="53" customWidth="1"/>
    <col min="12014" max="12014" width="56.109375" style="53" customWidth="1"/>
    <col min="12015" max="12015" width="0.6640625" style="53" customWidth="1"/>
    <col min="12016" max="12016" width="9.109375" style="53" customWidth="1"/>
    <col min="12017" max="12017" width="6" style="53" customWidth="1"/>
    <col min="12018" max="12018" width="0.6640625" style="53" customWidth="1"/>
    <col min="12019" max="12019" width="7.109375" style="53" customWidth="1"/>
    <col min="12020" max="12020" width="6.5546875" style="53" customWidth="1"/>
    <col min="12021" max="12021" width="0.6640625" style="53" customWidth="1"/>
    <col min="12022" max="12022" width="7.88671875" style="53" customWidth="1"/>
    <col min="12023" max="12023" width="10.5546875" style="53" customWidth="1"/>
    <col min="12024" max="12024" width="0.6640625" style="53" customWidth="1"/>
    <col min="12025" max="12266" width="11.44140625" style="53"/>
    <col min="12267" max="12267" width="0.6640625" style="53" customWidth="1"/>
    <col min="12268" max="12268" width="15.109375" style="53" customWidth="1"/>
    <col min="12269" max="12269" width="0.6640625" style="53" customWidth="1"/>
    <col min="12270" max="12270" width="56.109375" style="53" customWidth="1"/>
    <col min="12271" max="12271" width="0.6640625" style="53" customWidth="1"/>
    <col min="12272" max="12272" width="9.109375" style="53" customWidth="1"/>
    <col min="12273" max="12273" width="6" style="53" customWidth="1"/>
    <col min="12274" max="12274" width="0.6640625" style="53" customWidth="1"/>
    <col min="12275" max="12275" width="7.109375" style="53" customWidth="1"/>
    <col min="12276" max="12276" width="6.5546875" style="53" customWidth="1"/>
    <col min="12277" max="12277" width="0.6640625" style="53" customWidth="1"/>
    <col min="12278" max="12278" width="7.88671875" style="53" customWidth="1"/>
    <col min="12279" max="12279" width="10.5546875" style="53" customWidth="1"/>
    <col min="12280" max="12280" width="0.6640625" style="53" customWidth="1"/>
    <col min="12281" max="12522" width="11.44140625" style="53"/>
    <col min="12523" max="12523" width="0.6640625" style="53" customWidth="1"/>
    <col min="12524" max="12524" width="15.109375" style="53" customWidth="1"/>
    <col min="12525" max="12525" width="0.6640625" style="53" customWidth="1"/>
    <col min="12526" max="12526" width="56.109375" style="53" customWidth="1"/>
    <col min="12527" max="12527" width="0.6640625" style="53" customWidth="1"/>
    <col min="12528" max="12528" width="9.109375" style="53" customWidth="1"/>
    <col min="12529" max="12529" width="6" style="53" customWidth="1"/>
    <col min="12530" max="12530" width="0.6640625" style="53" customWidth="1"/>
    <col min="12531" max="12531" width="7.109375" style="53" customWidth="1"/>
    <col min="12532" max="12532" width="6.5546875" style="53" customWidth="1"/>
    <col min="12533" max="12533" width="0.6640625" style="53" customWidth="1"/>
    <col min="12534" max="12534" width="7.88671875" style="53" customWidth="1"/>
    <col min="12535" max="12535" width="10.5546875" style="53" customWidth="1"/>
    <col min="12536" max="12536" width="0.6640625" style="53" customWidth="1"/>
    <col min="12537" max="12778" width="11.44140625" style="53"/>
    <col min="12779" max="12779" width="0.6640625" style="53" customWidth="1"/>
    <col min="12780" max="12780" width="15.109375" style="53" customWidth="1"/>
    <col min="12781" max="12781" width="0.6640625" style="53" customWidth="1"/>
    <col min="12782" max="12782" width="56.109375" style="53" customWidth="1"/>
    <col min="12783" max="12783" width="0.6640625" style="53" customWidth="1"/>
    <col min="12784" max="12784" width="9.109375" style="53" customWidth="1"/>
    <col min="12785" max="12785" width="6" style="53" customWidth="1"/>
    <col min="12786" max="12786" width="0.6640625" style="53" customWidth="1"/>
    <col min="12787" max="12787" width="7.109375" style="53" customWidth="1"/>
    <col min="12788" max="12788" width="6.5546875" style="53" customWidth="1"/>
    <col min="12789" max="12789" width="0.6640625" style="53" customWidth="1"/>
    <col min="12790" max="12790" width="7.88671875" style="53" customWidth="1"/>
    <col min="12791" max="12791" width="10.5546875" style="53" customWidth="1"/>
    <col min="12792" max="12792" width="0.6640625" style="53" customWidth="1"/>
    <col min="12793" max="13034" width="11.44140625" style="53"/>
    <col min="13035" max="13035" width="0.6640625" style="53" customWidth="1"/>
    <col min="13036" max="13036" width="15.109375" style="53" customWidth="1"/>
    <col min="13037" max="13037" width="0.6640625" style="53" customWidth="1"/>
    <col min="13038" max="13038" width="56.109375" style="53" customWidth="1"/>
    <col min="13039" max="13039" width="0.6640625" style="53" customWidth="1"/>
    <col min="13040" max="13040" width="9.109375" style="53" customWidth="1"/>
    <col min="13041" max="13041" width="6" style="53" customWidth="1"/>
    <col min="13042" max="13042" width="0.6640625" style="53" customWidth="1"/>
    <col min="13043" max="13043" width="7.109375" style="53" customWidth="1"/>
    <col min="13044" max="13044" width="6.5546875" style="53" customWidth="1"/>
    <col min="13045" max="13045" width="0.6640625" style="53" customWidth="1"/>
    <col min="13046" max="13046" width="7.88671875" style="53" customWidth="1"/>
    <col min="13047" max="13047" width="10.5546875" style="53" customWidth="1"/>
    <col min="13048" max="13048" width="0.6640625" style="53" customWidth="1"/>
    <col min="13049" max="13290" width="11.44140625" style="53"/>
    <col min="13291" max="13291" width="0.6640625" style="53" customWidth="1"/>
    <col min="13292" max="13292" width="15.109375" style="53" customWidth="1"/>
    <col min="13293" max="13293" width="0.6640625" style="53" customWidth="1"/>
    <col min="13294" max="13294" width="56.109375" style="53" customWidth="1"/>
    <col min="13295" max="13295" width="0.6640625" style="53" customWidth="1"/>
    <col min="13296" max="13296" width="9.109375" style="53" customWidth="1"/>
    <col min="13297" max="13297" width="6" style="53" customWidth="1"/>
    <col min="13298" max="13298" width="0.6640625" style="53" customWidth="1"/>
    <col min="13299" max="13299" width="7.109375" style="53" customWidth="1"/>
    <col min="13300" max="13300" width="6.5546875" style="53" customWidth="1"/>
    <col min="13301" max="13301" width="0.6640625" style="53" customWidth="1"/>
    <col min="13302" max="13302" width="7.88671875" style="53" customWidth="1"/>
    <col min="13303" max="13303" width="10.5546875" style="53" customWidth="1"/>
    <col min="13304" max="13304" width="0.6640625" style="53" customWidth="1"/>
    <col min="13305" max="13546" width="11.44140625" style="53"/>
    <col min="13547" max="13547" width="0.6640625" style="53" customWidth="1"/>
    <col min="13548" max="13548" width="15.109375" style="53" customWidth="1"/>
    <col min="13549" max="13549" width="0.6640625" style="53" customWidth="1"/>
    <col min="13550" max="13550" width="56.109375" style="53" customWidth="1"/>
    <col min="13551" max="13551" width="0.6640625" style="53" customWidth="1"/>
    <col min="13552" max="13552" width="9.109375" style="53" customWidth="1"/>
    <col min="13553" max="13553" width="6" style="53" customWidth="1"/>
    <col min="13554" max="13554" width="0.6640625" style="53" customWidth="1"/>
    <col min="13555" max="13555" width="7.109375" style="53" customWidth="1"/>
    <col min="13556" max="13556" width="6.5546875" style="53" customWidth="1"/>
    <col min="13557" max="13557" width="0.6640625" style="53" customWidth="1"/>
    <col min="13558" max="13558" width="7.88671875" style="53" customWidth="1"/>
    <col min="13559" max="13559" width="10.5546875" style="53" customWidth="1"/>
    <col min="13560" max="13560" width="0.6640625" style="53" customWidth="1"/>
    <col min="13561" max="16384" width="11.44140625" style="53"/>
  </cols>
  <sheetData>
    <row r="1" spans="1:10" ht="15" customHeight="1" x14ac:dyDescent="0.25">
      <c r="A1" s="1" t="s">
        <v>26</v>
      </c>
      <c r="B1" s="2" t="str">
        <f>ORÇAMENTO!H1</f>
        <v>PAVIMENTAÇÃO ASFÁLTICA E DRENAGEM</v>
      </c>
      <c r="C1" s="52"/>
      <c r="D1" s="4"/>
      <c r="E1" s="4"/>
      <c r="F1" s="4"/>
      <c r="G1" s="5"/>
      <c r="J1" s="7" t="s">
        <v>0</v>
      </c>
    </row>
    <row r="2" spans="1:10" ht="15" customHeight="1" x14ac:dyDescent="0.25">
      <c r="A2" s="8" t="s">
        <v>27</v>
      </c>
      <c r="B2" s="9" t="str">
        <f>ORÇAMENTO!H3</f>
        <v>BAIRRO JARDIM FORTALEZA - PARTE 1</v>
      </c>
      <c r="C2" s="54"/>
      <c r="D2" s="11"/>
      <c r="E2" s="11"/>
      <c r="F2" s="11"/>
      <c r="G2" s="12"/>
      <c r="J2" s="13" t="s">
        <v>1</v>
      </c>
    </row>
    <row r="3" spans="1:10" ht="15" customHeight="1" x14ac:dyDescent="0.3">
      <c r="A3" s="8" t="s">
        <v>28</v>
      </c>
      <c r="B3" s="9" t="str">
        <f>ORÇAMENTO!H2</f>
        <v>PREFEITURA MUNICIPAL DE CANARANA</v>
      </c>
      <c r="C3" s="54"/>
      <c r="D3" s="11"/>
      <c r="E3" s="11"/>
      <c r="F3" s="11"/>
      <c r="G3" s="12"/>
      <c r="J3" s="7" t="s">
        <v>2</v>
      </c>
    </row>
    <row r="4" spans="1:10" ht="15" customHeight="1" x14ac:dyDescent="0.25">
      <c r="A4" s="14" t="s">
        <v>29</v>
      </c>
      <c r="B4" s="55" t="str">
        <f ca="1">ORÇAMENTO!P5</f>
        <v>JUNHO/2026</v>
      </c>
      <c r="C4" s="56"/>
      <c r="D4" s="17"/>
      <c r="E4" s="17"/>
      <c r="F4" s="17"/>
      <c r="G4" s="57"/>
      <c r="J4" s="7" t="s">
        <v>3</v>
      </c>
    </row>
    <row r="5" spans="1:10" ht="30" customHeight="1" x14ac:dyDescent="0.3">
      <c r="A5" s="1007" t="s">
        <v>30</v>
      </c>
      <c r="B5" s="1008"/>
      <c r="C5" s="1008"/>
      <c r="D5" s="1008"/>
      <c r="E5" s="1008"/>
      <c r="F5" s="1008"/>
      <c r="G5" s="1009"/>
      <c r="J5" s="7" t="s">
        <v>4</v>
      </c>
    </row>
    <row r="6" spans="1:10" ht="37.5" customHeight="1" x14ac:dyDescent="0.3">
      <c r="A6" s="58" t="s">
        <v>5</v>
      </c>
      <c r="B6" s="59" t="s">
        <v>6</v>
      </c>
      <c r="C6" s="1010" t="s">
        <v>31</v>
      </c>
      <c r="D6" s="60"/>
      <c r="E6" s="61"/>
      <c r="F6" s="59" t="s">
        <v>7</v>
      </c>
      <c r="G6" s="62"/>
      <c r="J6" s="7" t="s">
        <v>8</v>
      </c>
    </row>
    <row r="7" spans="1:10" ht="24.9" customHeight="1" x14ac:dyDescent="0.3">
      <c r="A7" s="63">
        <v>103689</v>
      </c>
      <c r="B7" s="64"/>
      <c r="C7" s="1011"/>
      <c r="D7" s="65"/>
      <c r="E7" s="66"/>
      <c r="F7" s="67"/>
      <c r="G7" s="68" t="s">
        <v>32</v>
      </c>
      <c r="J7" s="7" t="s">
        <v>12</v>
      </c>
    </row>
    <row r="8" spans="1:10" ht="21" customHeight="1" x14ac:dyDescent="0.3">
      <c r="A8" s="64"/>
      <c r="B8" s="69"/>
      <c r="C8" s="69"/>
      <c r="D8" s="70"/>
      <c r="E8" s="70"/>
      <c r="F8" s="69"/>
      <c r="G8" s="71"/>
      <c r="J8" s="35" t="s">
        <v>14</v>
      </c>
    </row>
    <row r="9" spans="1:10" ht="21" customHeight="1" x14ac:dyDescent="0.3">
      <c r="A9" s="1012" t="s">
        <v>33</v>
      </c>
      <c r="B9" s="1012" t="s">
        <v>15</v>
      </c>
      <c r="C9" s="1012" t="s">
        <v>16</v>
      </c>
      <c r="D9" s="1013" t="s">
        <v>34</v>
      </c>
      <c r="E9" s="1013" t="s">
        <v>35</v>
      </c>
      <c r="F9" s="72" t="s">
        <v>22</v>
      </c>
      <c r="G9" s="73" t="s">
        <v>22</v>
      </c>
    </row>
    <row r="10" spans="1:10" ht="30" customHeight="1" x14ac:dyDescent="0.3">
      <c r="A10" s="1012"/>
      <c r="B10" s="1012"/>
      <c r="C10" s="1012"/>
      <c r="D10" s="1013"/>
      <c r="E10" s="1013"/>
      <c r="F10" s="74" t="s">
        <v>23</v>
      </c>
      <c r="G10" s="75" t="s">
        <v>24</v>
      </c>
    </row>
    <row r="11" spans="1:10" ht="24.9" customHeight="1" x14ac:dyDescent="0.3">
      <c r="A11" s="63">
        <v>102234</v>
      </c>
      <c r="B11" s="76" t="s">
        <v>0</v>
      </c>
      <c r="C11" s="77" t="s">
        <v>1102</v>
      </c>
      <c r="D11" s="78" t="s">
        <v>32</v>
      </c>
      <c r="E11" s="79">
        <v>0.5</v>
      </c>
      <c r="F11" s="46">
        <v>22.68</v>
      </c>
      <c r="G11" s="80">
        <f t="shared" ref="G11:G17" si="0">TRUNC(E11*F11,2)</f>
        <v>11.34</v>
      </c>
    </row>
    <row r="12" spans="1:10" ht="24.9" customHeight="1" x14ac:dyDescent="0.25">
      <c r="A12" s="63">
        <v>88316</v>
      </c>
      <c r="B12" s="76" t="s">
        <v>0</v>
      </c>
      <c r="C12" s="77" t="s">
        <v>1103</v>
      </c>
      <c r="D12" s="78" t="s">
        <v>1101</v>
      </c>
      <c r="E12" s="79">
        <v>1.1186</v>
      </c>
      <c r="F12" s="78">
        <v>23.2</v>
      </c>
      <c r="G12" s="80">
        <f t="shared" si="0"/>
        <v>25.95</v>
      </c>
    </row>
    <row r="13" spans="1:10" ht="24.9" customHeight="1" x14ac:dyDescent="0.25">
      <c r="A13" s="63">
        <v>88262</v>
      </c>
      <c r="B13" s="76" t="s">
        <v>0</v>
      </c>
      <c r="C13" s="77" t="s">
        <v>1104</v>
      </c>
      <c r="D13" s="78" t="s">
        <v>1101</v>
      </c>
      <c r="E13" s="79">
        <v>0.37290000000000001</v>
      </c>
      <c r="F13" s="78">
        <v>28.69</v>
      </c>
      <c r="G13" s="80">
        <f t="shared" si="0"/>
        <v>10.69</v>
      </c>
    </row>
    <row r="14" spans="1:10" ht="24.9" customHeight="1" x14ac:dyDescent="0.25">
      <c r="A14" s="63">
        <v>5069</v>
      </c>
      <c r="B14" s="76" t="s">
        <v>1</v>
      </c>
      <c r="C14" s="77" t="s">
        <v>1105</v>
      </c>
      <c r="D14" s="78" t="s">
        <v>155</v>
      </c>
      <c r="E14" s="79">
        <v>1.32E-2</v>
      </c>
      <c r="F14" s="78">
        <v>20.71</v>
      </c>
      <c r="G14" s="80">
        <f t="shared" si="0"/>
        <v>0.27</v>
      </c>
    </row>
    <row r="15" spans="1:10" ht="24.9" customHeight="1" x14ac:dyDescent="0.25">
      <c r="A15" s="63">
        <v>5065</v>
      </c>
      <c r="B15" s="76" t="s">
        <v>1</v>
      </c>
      <c r="C15" s="77" t="s">
        <v>1106</v>
      </c>
      <c r="D15" s="78" t="s">
        <v>155</v>
      </c>
      <c r="E15" s="79">
        <v>1.1299999999999999E-2</v>
      </c>
      <c r="F15" s="46">
        <v>38.659999999999997</v>
      </c>
      <c r="G15" s="80">
        <f t="shared" si="0"/>
        <v>0.43</v>
      </c>
    </row>
    <row r="16" spans="1:10" ht="30" x14ac:dyDescent="0.25">
      <c r="A16" s="63">
        <v>4813</v>
      </c>
      <c r="B16" s="76" t="s">
        <v>1</v>
      </c>
      <c r="C16" s="77" t="s">
        <v>1107</v>
      </c>
      <c r="D16" s="78" t="s">
        <v>32</v>
      </c>
      <c r="E16" s="79">
        <v>1</v>
      </c>
      <c r="F16" s="46">
        <v>400</v>
      </c>
      <c r="G16" s="80">
        <f t="shared" si="0"/>
        <v>400</v>
      </c>
    </row>
    <row r="17" spans="1:10" ht="30" x14ac:dyDescent="0.25">
      <c r="A17" s="63">
        <v>4509</v>
      </c>
      <c r="B17" s="76" t="s">
        <v>1</v>
      </c>
      <c r="C17" s="77" t="s">
        <v>1108</v>
      </c>
      <c r="D17" s="78" t="s">
        <v>611</v>
      </c>
      <c r="E17" s="79">
        <v>3.2082999999999999</v>
      </c>
      <c r="F17" s="46">
        <v>5.61</v>
      </c>
      <c r="G17" s="80">
        <f t="shared" si="0"/>
        <v>17.989999999999998</v>
      </c>
    </row>
    <row r="18" spans="1:10" ht="21.75" customHeight="1" x14ac:dyDescent="0.3">
      <c r="A18" s="1003" t="s">
        <v>25</v>
      </c>
      <c r="B18" s="1003"/>
      <c r="C18" s="1003"/>
      <c r="D18" s="1003"/>
      <c r="E18" s="1003"/>
      <c r="F18" s="1003"/>
      <c r="G18" s="81">
        <f>SUM(G11:G17)</f>
        <v>466.67</v>
      </c>
    </row>
    <row r="19" spans="1:10" ht="21.75" customHeight="1" x14ac:dyDescent="0.25">
      <c r="A19" s="1004" t="s">
        <v>36</v>
      </c>
      <c r="B19" s="1005"/>
      <c r="C19" s="1005"/>
      <c r="D19" s="1005"/>
      <c r="E19" s="1005"/>
      <c r="F19" s="1005"/>
      <c r="G19" s="1006"/>
    </row>
    <row r="20" spans="1:10" ht="15" x14ac:dyDescent="0.25">
      <c r="A20" s="82"/>
      <c r="B20" s="83"/>
      <c r="C20" s="83"/>
      <c r="D20" s="83"/>
      <c r="E20" s="83"/>
      <c r="F20" s="83"/>
      <c r="G20" s="84"/>
    </row>
    <row r="21" spans="1:10" ht="15" x14ac:dyDescent="0.25">
      <c r="A21" s="85"/>
      <c r="B21"/>
      <c r="C21"/>
      <c r="D21"/>
      <c r="F21"/>
      <c r="G21" s="87"/>
    </row>
    <row r="22" spans="1:10" s="86" customFormat="1" ht="15" x14ac:dyDescent="0.25">
      <c r="A22" s="85"/>
      <c r="B22"/>
      <c r="C22"/>
      <c r="D22"/>
      <c r="F22"/>
      <c r="G22" s="87"/>
      <c r="J22" s="53"/>
    </row>
    <row r="23" spans="1:10" s="86" customFormat="1" ht="15" x14ac:dyDescent="0.25">
      <c r="A23" s="85"/>
      <c r="B23"/>
      <c r="C23"/>
      <c r="D23"/>
      <c r="F23"/>
      <c r="G23" s="87"/>
    </row>
    <row r="24" spans="1:10" s="86" customFormat="1" ht="15" x14ac:dyDescent="0.25">
      <c r="A24" s="85"/>
      <c r="B24"/>
      <c r="C24"/>
      <c r="D24"/>
      <c r="F24"/>
      <c r="G24" s="87"/>
    </row>
    <row r="25" spans="1:10" ht="15" x14ac:dyDescent="0.25">
      <c r="A25" s="85"/>
      <c r="B25"/>
      <c r="C25"/>
      <c r="D25"/>
      <c r="E25"/>
      <c r="F25"/>
      <c r="G25" s="87"/>
      <c r="J25" s="86"/>
    </row>
    <row r="26" spans="1:10" s="86" customFormat="1" ht="15" x14ac:dyDescent="0.25">
      <c r="A26" s="85"/>
      <c r="B26"/>
      <c r="C26"/>
      <c r="D26"/>
      <c r="E26"/>
      <c r="F26"/>
      <c r="G26" s="87"/>
      <c r="J26" s="53"/>
    </row>
    <row r="27" spans="1:10" s="86" customFormat="1" ht="14.4" x14ac:dyDescent="0.3">
      <c r="A27" s="85"/>
      <c r="B27"/>
      <c r="C27"/>
      <c r="D27"/>
      <c r="E27"/>
      <c r="F27"/>
      <c r="G27" s="87"/>
    </row>
    <row r="28" spans="1:10" ht="14.4" x14ac:dyDescent="0.3">
      <c r="A28" s="85"/>
      <c r="B28"/>
      <c r="C28"/>
      <c r="D28"/>
      <c r="E28"/>
      <c r="F28"/>
      <c r="G28" s="87"/>
      <c r="J28" s="86"/>
    </row>
    <row r="29" spans="1:10" ht="14.4" x14ac:dyDescent="0.3">
      <c r="A29" s="85"/>
      <c r="B29"/>
      <c r="C29"/>
      <c r="D29"/>
      <c r="E29"/>
      <c r="F29"/>
      <c r="G29" s="87"/>
    </row>
    <row r="30" spans="1:10" ht="14.4" x14ac:dyDescent="0.3">
      <c r="A30" s="85"/>
      <c r="B30"/>
      <c r="C30"/>
      <c r="D30"/>
      <c r="E30"/>
      <c r="F30"/>
      <c r="G30" s="87"/>
    </row>
    <row r="31" spans="1:10" ht="14.4" x14ac:dyDescent="0.3">
      <c r="A31" s="85"/>
      <c r="B31"/>
      <c r="C31"/>
      <c r="E31"/>
      <c r="F31"/>
      <c r="G31" s="87"/>
    </row>
    <row r="32" spans="1:10" ht="14.4" x14ac:dyDescent="0.3">
      <c r="A32" s="85"/>
      <c r="B32"/>
      <c r="C32"/>
      <c r="D32"/>
      <c r="E32"/>
      <c r="F32"/>
      <c r="G32" s="87"/>
    </row>
    <row r="33" spans="1:10" ht="14.4" x14ac:dyDescent="0.3">
      <c r="A33" s="85"/>
      <c r="B33"/>
      <c r="C33"/>
      <c r="D33"/>
      <c r="E33"/>
      <c r="F33"/>
      <c r="G33" s="87"/>
    </row>
    <row r="34" spans="1:10" ht="14.4" x14ac:dyDescent="0.3">
      <c r="A34" s="85"/>
      <c r="B34"/>
      <c r="C34"/>
      <c r="D34"/>
      <c r="E34"/>
      <c r="F34"/>
      <c r="G34" s="87"/>
      <c r="J34" s="88"/>
    </row>
    <row r="35" spans="1:10" ht="14.4" x14ac:dyDescent="0.3">
      <c r="A35" s="85" t="s">
        <v>37</v>
      </c>
      <c r="B35"/>
      <c r="C35"/>
      <c r="D35" s="89" t="s">
        <v>38</v>
      </c>
      <c r="E35"/>
      <c r="F35"/>
      <c r="G35" s="87"/>
      <c r="J35" s="88"/>
    </row>
    <row r="36" spans="1:10" ht="14.4" x14ac:dyDescent="0.3">
      <c r="A36" s="85"/>
      <c r="B36"/>
      <c r="C36"/>
      <c r="D36"/>
      <c r="E36"/>
      <c r="F36"/>
      <c r="G36" s="87"/>
      <c r="J36" s="88"/>
    </row>
    <row r="37" spans="1:10" ht="14.4" x14ac:dyDescent="0.3">
      <c r="A37" s="85"/>
      <c r="C37"/>
      <c r="D37"/>
      <c r="E37"/>
      <c r="F37"/>
      <c r="G37" s="87"/>
      <c r="J37" s="88"/>
    </row>
    <row r="38" spans="1:10" s="91" customFormat="1" ht="14.4" x14ac:dyDescent="0.3">
      <c r="A38" s="90" t="s">
        <v>39</v>
      </c>
      <c r="C38"/>
      <c r="D38"/>
      <c r="E38"/>
      <c r="F38"/>
      <c r="G38" s="87"/>
      <c r="J38" s="53"/>
    </row>
    <row r="39" spans="1:10" s="91" customFormat="1" ht="14.4" x14ac:dyDescent="0.3">
      <c r="A39" s="90"/>
      <c r="B39" s="88"/>
      <c r="D39" s="88"/>
      <c r="E39" s="88"/>
      <c r="F39" s="88"/>
      <c r="G39" s="92"/>
    </row>
    <row r="40" spans="1:10" s="91" customFormat="1" ht="14.4" x14ac:dyDescent="0.3">
      <c r="A40" s="90"/>
      <c r="B40" s="88" t="s">
        <v>40</v>
      </c>
      <c r="F40" s="88"/>
      <c r="G40" s="92"/>
    </row>
    <row r="41" spans="1:10" s="91" customFormat="1" ht="14.4" x14ac:dyDescent="0.3">
      <c r="A41" s="90"/>
      <c r="B41" s="88"/>
      <c r="F41" s="88"/>
      <c r="G41" s="92"/>
    </row>
    <row r="42" spans="1:10" s="91" customFormat="1" ht="14.4" x14ac:dyDescent="0.3">
      <c r="A42" s="85" t="s">
        <v>41</v>
      </c>
      <c r="F42" s="88"/>
      <c r="G42" s="92"/>
    </row>
    <row r="43" spans="1:10" s="91" customFormat="1" ht="14.4" x14ac:dyDescent="0.3">
      <c r="A43" s="93"/>
      <c r="B43" s="94"/>
      <c r="C43" s="95"/>
      <c r="D43" s="95"/>
      <c r="E43" s="95"/>
      <c r="F43" s="94"/>
      <c r="G43" s="96"/>
    </row>
    <row r="44" spans="1:10" s="91" customFormat="1" ht="14.4" x14ac:dyDescent="0.3">
      <c r="A44" s="90"/>
      <c r="B44" s="88"/>
      <c r="F44" s="88"/>
      <c r="G44" s="92"/>
    </row>
    <row r="45" spans="1:10" s="91" customFormat="1" ht="14.4" x14ac:dyDescent="0.3">
      <c r="A45" s="90"/>
      <c r="B45" s="88"/>
      <c r="F45" s="88"/>
      <c r="G45" s="92"/>
    </row>
    <row r="46" spans="1:10" s="91" customFormat="1" ht="14.4" x14ac:dyDescent="0.3">
      <c r="A46" s="90"/>
      <c r="B46" s="88"/>
      <c r="C46" s="88"/>
      <c r="F46" s="88"/>
      <c r="G46" s="92"/>
    </row>
    <row r="47" spans="1:10" s="91" customFormat="1" ht="14.4" x14ac:dyDescent="0.3">
      <c r="A47" s="90"/>
      <c r="B47" s="88"/>
      <c r="C47" s="88"/>
      <c r="D47" s="88"/>
      <c r="E47" s="88"/>
      <c r="F47" s="88"/>
      <c r="G47" s="92"/>
    </row>
    <row r="48" spans="1:10" s="91" customFormat="1" ht="14.4" x14ac:dyDescent="0.3">
      <c r="A48" s="90"/>
      <c r="B48" s="88"/>
      <c r="C48" s="88"/>
      <c r="D48" s="88"/>
      <c r="E48" s="88"/>
      <c r="F48" s="88"/>
      <c r="G48" s="92"/>
    </row>
    <row r="49" spans="1:7" s="91" customFormat="1" ht="14.4" x14ac:dyDescent="0.3">
      <c r="A49" s="90"/>
      <c r="B49" s="88"/>
      <c r="C49" s="88"/>
      <c r="D49" s="88"/>
      <c r="E49" s="88"/>
      <c r="F49" s="88"/>
      <c r="G49" s="92"/>
    </row>
    <row r="50" spans="1:7" s="91" customFormat="1" ht="14.4" x14ac:dyDescent="0.3">
      <c r="A50" s="90"/>
      <c r="B50" s="88"/>
      <c r="C50" s="88"/>
      <c r="D50" s="88"/>
      <c r="E50" s="88"/>
      <c r="F50" s="88"/>
      <c r="G50" s="92"/>
    </row>
    <row r="51" spans="1:7" s="91" customFormat="1" ht="14.4" x14ac:dyDescent="0.3">
      <c r="A51" s="90"/>
      <c r="B51" s="88"/>
      <c r="C51" s="88"/>
      <c r="D51" s="88"/>
      <c r="E51" s="88"/>
      <c r="F51" s="88"/>
      <c r="G51" s="92"/>
    </row>
    <row r="52" spans="1:7" s="91" customFormat="1" ht="14.4" x14ac:dyDescent="0.3">
      <c r="A52" s="90"/>
      <c r="B52" s="88"/>
      <c r="C52" s="88"/>
      <c r="D52" s="88"/>
      <c r="E52" s="88"/>
      <c r="F52" s="88"/>
      <c r="G52" s="92"/>
    </row>
    <row r="53" spans="1:7" s="91" customFormat="1" ht="14.4" x14ac:dyDescent="0.3">
      <c r="A53" s="93"/>
      <c r="B53" s="94"/>
      <c r="C53" s="94"/>
      <c r="D53" s="94"/>
      <c r="E53" s="94"/>
      <c r="F53" s="94"/>
      <c r="G53" s="96"/>
    </row>
  </sheetData>
  <mergeCells count="9">
    <mergeCell ref="A18:F18"/>
    <mergeCell ref="A19:G19"/>
    <mergeCell ref="A5:G5"/>
    <mergeCell ref="C6:C7"/>
    <mergeCell ref="A9:A10"/>
    <mergeCell ref="B9:B10"/>
    <mergeCell ref="C9:C10"/>
    <mergeCell ref="D9:D10"/>
    <mergeCell ref="E9:E10"/>
  </mergeCells>
  <dataValidations count="1">
    <dataValidation type="list" allowBlank="1" showInputMessage="1" showErrorMessage="1" sqref="B11:B17">
      <formula1>$J$1:$J$8</formula1>
    </dataValidation>
  </dataValidations>
  <printOptions horizontalCentered="1"/>
  <pageMargins left="0.59055118110236227" right="0.59055118110236227" top="1.7716535433070868" bottom="0.78740157480314965" header="0" footer="0"/>
  <pageSetup paperSize="9" scale="50" orientation="landscape" r:id="rId1"/>
  <headerFooter scaleWithDoc="0">
    <oddHeader>&amp;L&amp;G</oddHeader>
  </headerFooter>
  <rowBreaks count="1" manualBreakCount="1">
    <brk id="18" max="6" man="1"/>
  </rowBreaks>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6"/>
  <sheetViews>
    <sheetView showGridLines="0" view="pageBreakPreview" topLeftCell="A20" zoomScaleNormal="85" zoomScaleSheetLayoutView="100" workbookViewId="0">
      <selection activeCell="F27" sqref="F11:F27"/>
    </sheetView>
  </sheetViews>
  <sheetFormatPr defaultColWidth="11.44140625" defaultRowHeight="13.8" x14ac:dyDescent="0.3"/>
  <cols>
    <col min="1" max="1" width="17.5546875" style="6" customWidth="1"/>
    <col min="2" max="2" width="16.5546875" style="6" customWidth="1"/>
    <col min="3" max="3" width="73" style="6" customWidth="1"/>
    <col min="4" max="4" width="14.109375" style="51" customWidth="1"/>
    <col min="5" max="5" width="17" style="51" bestFit="1" customWidth="1"/>
    <col min="6" max="6" width="15.6640625" style="51" customWidth="1"/>
    <col min="7" max="7" width="17.5546875" style="51" customWidth="1"/>
    <col min="8" max="8" width="14.33203125" style="6" customWidth="1"/>
    <col min="9" max="9" width="11.44140625" style="6"/>
    <col min="10" max="10" width="25.5546875" style="6" bestFit="1" customWidth="1"/>
    <col min="11" max="234" width="11.44140625" style="6"/>
    <col min="235" max="235" width="0.6640625" style="6" customWidth="1"/>
    <col min="236" max="236" width="15.109375" style="6" customWidth="1"/>
    <col min="237" max="237" width="0.6640625" style="6" customWidth="1"/>
    <col min="238" max="238" width="56.109375" style="6" customWidth="1"/>
    <col min="239" max="239" width="0.6640625" style="6" customWidth="1"/>
    <col min="240" max="240" width="9.109375" style="6" customWidth="1"/>
    <col min="241" max="241" width="6" style="6" customWidth="1"/>
    <col min="242" max="242" width="0.6640625" style="6" customWidth="1"/>
    <col min="243" max="243" width="7.109375" style="6" customWidth="1"/>
    <col min="244" max="244" width="6.5546875" style="6" customWidth="1"/>
    <col min="245" max="245" width="0.6640625" style="6" customWidth="1"/>
    <col min="246" max="246" width="7.88671875" style="6" customWidth="1"/>
    <col min="247" max="247" width="10.5546875" style="6" customWidth="1"/>
    <col min="248" max="248" width="0.6640625" style="6" customWidth="1"/>
    <col min="249" max="490" width="11.44140625" style="6"/>
    <col min="491" max="491" width="0.6640625" style="6" customWidth="1"/>
    <col min="492" max="492" width="15.109375" style="6" customWidth="1"/>
    <col min="493" max="493" width="0.6640625" style="6" customWidth="1"/>
    <col min="494" max="494" width="56.109375" style="6" customWidth="1"/>
    <col min="495" max="495" width="0.6640625" style="6" customWidth="1"/>
    <col min="496" max="496" width="9.109375" style="6" customWidth="1"/>
    <col min="497" max="497" width="6" style="6" customWidth="1"/>
    <col min="498" max="498" width="0.6640625" style="6" customWidth="1"/>
    <col min="499" max="499" width="7.109375" style="6" customWidth="1"/>
    <col min="500" max="500" width="6.5546875" style="6" customWidth="1"/>
    <col min="501" max="501" width="0.6640625" style="6" customWidth="1"/>
    <col min="502" max="502" width="7.88671875" style="6" customWidth="1"/>
    <col min="503" max="503" width="10.5546875" style="6" customWidth="1"/>
    <col min="504" max="504" width="0.6640625" style="6" customWidth="1"/>
    <col min="505" max="746" width="11.44140625" style="6"/>
    <col min="747" max="747" width="0.6640625" style="6" customWidth="1"/>
    <col min="748" max="748" width="15.109375" style="6" customWidth="1"/>
    <col min="749" max="749" width="0.6640625" style="6" customWidth="1"/>
    <col min="750" max="750" width="56.109375" style="6" customWidth="1"/>
    <col min="751" max="751" width="0.6640625" style="6" customWidth="1"/>
    <col min="752" max="752" width="9.109375" style="6" customWidth="1"/>
    <col min="753" max="753" width="6" style="6" customWidth="1"/>
    <col min="754" max="754" width="0.6640625" style="6" customWidth="1"/>
    <col min="755" max="755" width="7.109375" style="6" customWidth="1"/>
    <col min="756" max="756" width="6.5546875" style="6" customWidth="1"/>
    <col min="757" max="757" width="0.6640625" style="6" customWidth="1"/>
    <col min="758" max="758" width="7.88671875" style="6" customWidth="1"/>
    <col min="759" max="759" width="10.5546875" style="6" customWidth="1"/>
    <col min="760" max="760" width="0.6640625" style="6" customWidth="1"/>
    <col min="761" max="1002" width="11.44140625" style="6"/>
    <col min="1003" max="1003" width="0.6640625" style="6" customWidth="1"/>
    <col min="1004" max="1004" width="15.109375" style="6" customWidth="1"/>
    <col min="1005" max="1005" width="0.6640625" style="6" customWidth="1"/>
    <col min="1006" max="1006" width="56.109375" style="6" customWidth="1"/>
    <col min="1007" max="1007" width="0.6640625" style="6" customWidth="1"/>
    <col min="1008" max="1008" width="9.109375" style="6" customWidth="1"/>
    <col min="1009" max="1009" width="6" style="6" customWidth="1"/>
    <col min="1010" max="1010" width="0.6640625" style="6" customWidth="1"/>
    <col min="1011" max="1011" width="7.109375" style="6" customWidth="1"/>
    <col min="1012" max="1012" width="6.5546875" style="6" customWidth="1"/>
    <col min="1013" max="1013" width="0.6640625" style="6" customWidth="1"/>
    <col min="1014" max="1014" width="7.88671875" style="6" customWidth="1"/>
    <col min="1015" max="1015" width="10.5546875" style="6" customWidth="1"/>
    <col min="1016" max="1016" width="0.6640625" style="6" customWidth="1"/>
    <col min="1017" max="1258" width="11.44140625" style="6"/>
    <col min="1259" max="1259" width="0.6640625" style="6" customWidth="1"/>
    <col min="1260" max="1260" width="15.109375" style="6" customWidth="1"/>
    <col min="1261" max="1261" width="0.6640625" style="6" customWidth="1"/>
    <col min="1262" max="1262" width="56.109375" style="6" customWidth="1"/>
    <col min="1263" max="1263" width="0.6640625" style="6" customWidth="1"/>
    <col min="1264" max="1264" width="9.109375" style="6" customWidth="1"/>
    <col min="1265" max="1265" width="6" style="6" customWidth="1"/>
    <col min="1266" max="1266" width="0.6640625" style="6" customWidth="1"/>
    <col min="1267" max="1267" width="7.109375" style="6" customWidth="1"/>
    <col min="1268" max="1268" width="6.5546875" style="6" customWidth="1"/>
    <col min="1269" max="1269" width="0.6640625" style="6" customWidth="1"/>
    <col min="1270" max="1270" width="7.88671875" style="6" customWidth="1"/>
    <col min="1271" max="1271" width="10.5546875" style="6" customWidth="1"/>
    <col min="1272" max="1272" width="0.6640625" style="6" customWidth="1"/>
    <col min="1273" max="1514" width="11.44140625" style="6"/>
    <col min="1515" max="1515" width="0.6640625" style="6" customWidth="1"/>
    <col min="1516" max="1516" width="15.109375" style="6" customWidth="1"/>
    <col min="1517" max="1517" width="0.6640625" style="6" customWidth="1"/>
    <col min="1518" max="1518" width="56.109375" style="6" customWidth="1"/>
    <col min="1519" max="1519" width="0.6640625" style="6" customWidth="1"/>
    <col min="1520" max="1520" width="9.109375" style="6" customWidth="1"/>
    <col min="1521" max="1521" width="6" style="6" customWidth="1"/>
    <col min="1522" max="1522" width="0.6640625" style="6" customWidth="1"/>
    <col min="1523" max="1523" width="7.109375" style="6" customWidth="1"/>
    <col min="1524" max="1524" width="6.5546875" style="6" customWidth="1"/>
    <col min="1525" max="1525" width="0.6640625" style="6" customWidth="1"/>
    <col min="1526" max="1526" width="7.88671875" style="6" customWidth="1"/>
    <col min="1527" max="1527" width="10.5546875" style="6" customWidth="1"/>
    <col min="1528" max="1528" width="0.6640625" style="6" customWidth="1"/>
    <col min="1529" max="1770" width="11.44140625" style="6"/>
    <col min="1771" max="1771" width="0.6640625" style="6" customWidth="1"/>
    <col min="1772" max="1772" width="15.109375" style="6" customWidth="1"/>
    <col min="1773" max="1773" width="0.6640625" style="6" customWidth="1"/>
    <col min="1774" max="1774" width="56.109375" style="6" customWidth="1"/>
    <col min="1775" max="1775" width="0.6640625" style="6" customWidth="1"/>
    <col min="1776" max="1776" width="9.109375" style="6" customWidth="1"/>
    <col min="1777" max="1777" width="6" style="6" customWidth="1"/>
    <col min="1778" max="1778" width="0.6640625" style="6" customWidth="1"/>
    <col min="1779" max="1779" width="7.109375" style="6" customWidth="1"/>
    <col min="1780" max="1780" width="6.5546875" style="6" customWidth="1"/>
    <col min="1781" max="1781" width="0.6640625" style="6" customWidth="1"/>
    <col min="1782" max="1782" width="7.88671875" style="6" customWidth="1"/>
    <col min="1783" max="1783" width="10.5546875" style="6" customWidth="1"/>
    <col min="1784" max="1784" width="0.6640625" style="6" customWidth="1"/>
    <col min="1785" max="2026" width="11.44140625" style="6"/>
    <col min="2027" max="2027" width="0.6640625" style="6" customWidth="1"/>
    <col min="2028" max="2028" width="15.109375" style="6" customWidth="1"/>
    <col min="2029" max="2029" width="0.6640625" style="6" customWidth="1"/>
    <col min="2030" max="2030" width="56.109375" style="6" customWidth="1"/>
    <col min="2031" max="2031" width="0.6640625" style="6" customWidth="1"/>
    <col min="2032" max="2032" width="9.109375" style="6" customWidth="1"/>
    <col min="2033" max="2033" width="6" style="6" customWidth="1"/>
    <col min="2034" max="2034" width="0.6640625" style="6" customWidth="1"/>
    <col min="2035" max="2035" width="7.109375" style="6" customWidth="1"/>
    <col min="2036" max="2036" width="6.5546875" style="6" customWidth="1"/>
    <col min="2037" max="2037" width="0.6640625" style="6" customWidth="1"/>
    <col min="2038" max="2038" width="7.88671875" style="6" customWidth="1"/>
    <col min="2039" max="2039" width="10.5546875" style="6" customWidth="1"/>
    <col min="2040" max="2040" width="0.6640625" style="6" customWidth="1"/>
    <col min="2041" max="2282" width="11.44140625" style="6"/>
    <col min="2283" max="2283" width="0.6640625" style="6" customWidth="1"/>
    <col min="2284" max="2284" width="15.109375" style="6" customWidth="1"/>
    <col min="2285" max="2285" width="0.6640625" style="6" customWidth="1"/>
    <col min="2286" max="2286" width="56.109375" style="6" customWidth="1"/>
    <col min="2287" max="2287" width="0.6640625" style="6" customWidth="1"/>
    <col min="2288" max="2288" width="9.109375" style="6" customWidth="1"/>
    <col min="2289" max="2289" width="6" style="6" customWidth="1"/>
    <col min="2290" max="2290" width="0.6640625" style="6" customWidth="1"/>
    <col min="2291" max="2291" width="7.109375" style="6" customWidth="1"/>
    <col min="2292" max="2292" width="6.5546875" style="6" customWidth="1"/>
    <col min="2293" max="2293" width="0.6640625" style="6" customWidth="1"/>
    <col min="2294" max="2294" width="7.88671875" style="6" customWidth="1"/>
    <col min="2295" max="2295" width="10.5546875" style="6" customWidth="1"/>
    <col min="2296" max="2296" width="0.6640625" style="6" customWidth="1"/>
    <col min="2297" max="2538" width="11.44140625" style="6"/>
    <col min="2539" max="2539" width="0.6640625" style="6" customWidth="1"/>
    <col min="2540" max="2540" width="15.109375" style="6" customWidth="1"/>
    <col min="2541" max="2541" width="0.6640625" style="6" customWidth="1"/>
    <col min="2542" max="2542" width="56.109375" style="6" customWidth="1"/>
    <col min="2543" max="2543" width="0.6640625" style="6" customWidth="1"/>
    <col min="2544" max="2544" width="9.109375" style="6" customWidth="1"/>
    <col min="2545" max="2545" width="6" style="6" customWidth="1"/>
    <col min="2546" max="2546" width="0.6640625" style="6" customWidth="1"/>
    <col min="2547" max="2547" width="7.109375" style="6" customWidth="1"/>
    <col min="2548" max="2548" width="6.5546875" style="6" customWidth="1"/>
    <col min="2549" max="2549" width="0.6640625" style="6" customWidth="1"/>
    <col min="2550" max="2550" width="7.88671875" style="6" customWidth="1"/>
    <col min="2551" max="2551" width="10.5546875" style="6" customWidth="1"/>
    <col min="2552" max="2552" width="0.6640625" style="6" customWidth="1"/>
    <col min="2553" max="2794" width="11.44140625" style="6"/>
    <col min="2795" max="2795" width="0.6640625" style="6" customWidth="1"/>
    <col min="2796" max="2796" width="15.109375" style="6" customWidth="1"/>
    <col min="2797" max="2797" width="0.6640625" style="6" customWidth="1"/>
    <col min="2798" max="2798" width="56.109375" style="6" customWidth="1"/>
    <col min="2799" max="2799" width="0.6640625" style="6" customWidth="1"/>
    <col min="2800" max="2800" width="9.109375" style="6" customWidth="1"/>
    <col min="2801" max="2801" width="6" style="6" customWidth="1"/>
    <col min="2802" max="2802" width="0.6640625" style="6" customWidth="1"/>
    <col min="2803" max="2803" width="7.109375" style="6" customWidth="1"/>
    <col min="2804" max="2804" width="6.5546875" style="6" customWidth="1"/>
    <col min="2805" max="2805" width="0.6640625" style="6" customWidth="1"/>
    <col min="2806" max="2806" width="7.88671875" style="6" customWidth="1"/>
    <col min="2807" max="2807" width="10.5546875" style="6" customWidth="1"/>
    <col min="2808" max="2808" width="0.6640625" style="6" customWidth="1"/>
    <col min="2809" max="3050" width="11.44140625" style="6"/>
    <col min="3051" max="3051" width="0.6640625" style="6" customWidth="1"/>
    <col min="3052" max="3052" width="15.109375" style="6" customWidth="1"/>
    <col min="3053" max="3053" width="0.6640625" style="6" customWidth="1"/>
    <col min="3054" max="3054" width="56.109375" style="6" customWidth="1"/>
    <col min="3055" max="3055" width="0.6640625" style="6" customWidth="1"/>
    <col min="3056" max="3056" width="9.109375" style="6" customWidth="1"/>
    <col min="3057" max="3057" width="6" style="6" customWidth="1"/>
    <col min="3058" max="3058" width="0.6640625" style="6" customWidth="1"/>
    <col min="3059" max="3059" width="7.109375" style="6" customWidth="1"/>
    <col min="3060" max="3060" width="6.5546875" style="6" customWidth="1"/>
    <col min="3061" max="3061" width="0.6640625" style="6" customWidth="1"/>
    <col min="3062" max="3062" width="7.88671875" style="6" customWidth="1"/>
    <col min="3063" max="3063" width="10.5546875" style="6" customWidth="1"/>
    <col min="3064" max="3064" width="0.6640625" style="6" customWidth="1"/>
    <col min="3065" max="3306" width="11.44140625" style="6"/>
    <col min="3307" max="3307" width="0.6640625" style="6" customWidth="1"/>
    <col min="3308" max="3308" width="15.109375" style="6" customWidth="1"/>
    <col min="3309" max="3309" width="0.6640625" style="6" customWidth="1"/>
    <col min="3310" max="3310" width="56.109375" style="6" customWidth="1"/>
    <col min="3311" max="3311" width="0.6640625" style="6" customWidth="1"/>
    <col min="3312" max="3312" width="9.109375" style="6" customWidth="1"/>
    <col min="3313" max="3313" width="6" style="6" customWidth="1"/>
    <col min="3314" max="3314" width="0.6640625" style="6" customWidth="1"/>
    <col min="3315" max="3315" width="7.109375" style="6" customWidth="1"/>
    <col min="3316" max="3316" width="6.5546875" style="6" customWidth="1"/>
    <col min="3317" max="3317" width="0.6640625" style="6" customWidth="1"/>
    <col min="3318" max="3318" width="7.88671875" style="6" customWidth="1"/>
    <col min="3319" max="3319" width="10.5546875" style="6" customWidth="1"/>
    <col min="3320" max="3320" width="0.6640625" style="6" customWidth="1"/>
    <col min="3321" max="3562" width="11.44140625" style="6"/>
    <col min="3563" max="3563" width="0.6640625" style="6" customWidth="1"/>
    <col min="3564" max="3564" width="15.109375" style="6" customWidth="1"/>
    <col min="3565" max="3565" width="0.6640625" style="6" customWidth="1"/>
    <col min="3566" max="3566" width="56.109375" style="6" customWidth="1"/>
    <col min="3567" max="3567" width="0.6640625" style="6" customWidth="1"/>
    <col min="3568" max="3568" width="9.109375" style="6" customWidth="1"/>
    <col min="3569" max="3569" width="6" style="6" customWidth="1"/>
    <col min="3570" max="3570" width="0.6640625" style="6" customWidth="1"/>
    <col min="3571" max="3571" width="7.109375" style="6" customWidth="1"/>
    <col min="3572" max="3572" width="6.5546875" style="6" customWidth="1"/>
    <col min="3573" max="3573" width="0.6640625" style="6" customWidth="1"/>
    <col min="3574" max="3574" width="7.88671875" style="6" customWidth="1"/>
    <col min="3575" max="3575" width="10.5546875" style="6" customWidth="1"/>
    <col min="3576" max="3576" width="0.6640625" style="6" customWidth="1"/>
    <col min="3577" max="3818" width="11.44140625" style="6"/>
    <col min="3819" max="3819" width="0.6640625" style="6" customWidth="1"/>
    <col min="3820" max="3820" width="15.109375" style="6" customWidth="1"/>
    <col min="3821" max="3821" width="0.6640625" style="6" customWidth="1"/>
    <col min="3822" max="3822" width="56.109375" style="6" customWidth="1"/>
    <col min="3823" max="3823" width="0.6640625" style="6" customWidth="1"/>
    <col min="3824" max="3824" width="9.109375" style="6" customWidth="1"/>
    <col min="3825" max="3825" width="6" style="6" customWidth="1"/>
    <col min="3826" max="3826" width="0.6640625" style="6" customWidth="1"/>
    <col min="3827" max="3827" width="7.109375" style="6" customWidth="1"/>
    <col min="3828" max="3828" width="6.5546875" style="6" customWidth="1"/>
    <col min="3829" max="3829" width="0.6640625" style="6" customWidth="1"/>
    <col min="3830" max="3830" width="7.88671875" style="6" customWidth="1"/>
    <col min="3831" max="3831" width="10.5546875" style="6" customWidth="1"/>
    <col min="3832" max="3832" width="0.6640625" style="6" customWidth="1"/>
    <col min="3833" max="4074" width="11.44140625" style="6"/>
    <col min="4075" max="4075" width="0.6640625" style="6" customWidth="1"/>
    <col min="4076" max="4076" width="15.109375" style="6" customWidth="1"/>
    <col min="4077" max="4077" width="0.6640625" style="6" customWidth="1"/>
    <col min="4078" max="4078" width="56.109375" style="6" customWidth="1"/>
    <col min="4079" max="4079" width="0.6640625" style="6" customWidth="1"/>
    <col min="4080" max="4080" width="9.109375" style="6" customWidth="1"/>
    <col min="4081" max="4081" width="6" style="6" customWidth="1"/>
    <col min="4082" max="4082" width="0.6640625" style="6" customWidth="1"/>
    <col min="4083" max="4083" width="7.109375" style="6" customWidth="1"/>
    <col min="4084" max="4084" width="6.5546875" style="6" customWidth="1"/>
    <col min="4085" max="4085" width="0.6640625" style="6" customWidth="1"/>
    <col min="4086" max="4086" width="7.88671875" style="6" customWidth="1"/>
    <col min="4087" max="4087" width="10.5546875" style="6" customWidth="1"/>
    <col min="4088" max="4088" width="0.6640625" style="6" customWidth="1"/>
    <col min="4089" max="4330" width="11.44140625" style="6"/>
    <col min="4331" max="4331" width="0.6640625" style="6" customWidth="1"/>
    <col min="4332" max="4332" width="15.109375" style="6" customWidth="1"/>
    <col min="4333" max="4333" width="0.6640625" style="6" customWidth="1"/>
    <col min="4334" max="4334" width="56.109375" style="6" customWidth="1"/>
    <col min="4335" max="4335" width="0.6640625" style="6" customWidth="1"/>
    <col min="4336" max="4336" width="9.109375" style="6" customWidth="1"/>
    <col min="4337" max="4337" width="6" style="6" customWidth="1"/>
    <col min="4338" max="4338" width="0.6640625" style="6" customWidth="1"/>
    <col min="4339" max="4339" width="7.109375" style="6" customWidth="1"/>
    <col min="4340" max="4340" width="6.5546875" style="6" customWidth="1"/>
    <col min="4341" max="4341" width="0.6640625" style="6" customWidth="1"/>
    <col min="4342" max="4342" width="7.88671875" style="6" customWidth="1"/>
    <col min="4343" max="4343" width="10.5546875" style="6" customWidth="1"/>
    <col min="4344" max="4344" width="0.6640625" style="6" customWidth="1"/>
    <col min="4345" max="4586" width="11.44140625" style="6"/>
    <col min="4587" max="4587" width="0.6640625" style="6" customWidth="1"/>
    <col min="4588" max="4588" width="15.109375" style="6" customWidth="1"/>
    <col min="4589" max="4589" width="0.6640625" style="6" customWidth="1"/>
    <col min="4590" max="4590" width="56.109375" style="6" customWidth="1"/>
    <col min="4591" max="4591" width="0.6640625" style="6" customWidth="1"/>
    <col min="4592" max="4592" width="9.109375" style="6" customWidth="1"/>
    <col min="4593" max="4593" width="6" style="6" customWidth="1"/>
    <col min="4594" max="4594" width="0.6640625" style="6" customWidth="1"/>
    <col min="4595" max="4595" width="7.109375" style="6" customWidth="1"/>
    <col min="4596" max="4596" width="6.5546875" style="6" customWidth="1"/>
    <col min="4597" max="4597" width="0.6640625" style="6" customWidth="1"/>
    <col min="4598" max="4598" width="7.88671875" style="6" customWidth="1"/>
    <col min="4599" max="4599" width="10.5546875" style="6" customWidth="1"/>
    <col min="4600" max="4600" width="0.6640625" style="6" customWidth="1"/>
    <col min="4601" max="4842" width="11.44140625" style="6"/>
    <col min="4843" max="4843" width="0.6640625" style="6" customWidth="1"/>
    <col min="4844" max="4844" width="15.109375" style="6" customWidth="1"/>
    <col min="4845" max="4845" width="0.6640625" style="6" customWidth="1"/>
    <col min="4846" max="4846" width="56.109375" style="6" customWidth="1"/>
    <col min="4847" max="4847" width="0.6640625" style="6" customWidth="1"/>
    <col min="4848" max="4848" width="9.109375" style="6" customWidth="1"/>
    <col min="4849" max="4849" width="6" style="6" customWidth="1"/>
    <col min="4850" max="4850" width="0.6640625" style="6" customWidth="1"/>
    <col min="4851" max="4851" width="7.109375" style="6" customWidth="1"/>
    <col min="4852" max="4852" width="6.5546875" style="6" customWidth="1"/>
    <col min="4853" max="4853" width="0.6640625" style="6" customWidth="1"/>
    <col min="4854" max="4854" width="7.88671875" style="6" customWidth="1"/>
    <col min="4855" max="4855" width="10.5546875" style="6" customWidth="1"/>
    <col min="4856" max="4856" width="0.6640625" style="6" customWidth="1"/>
    <col min="4857" max="5098" width="11.44140625" style="6"/>
    <col min="5099" max="5099" width="0.6640625" style="6" customWidth="1"/>
    <col min="5100" max="5100" width="15.109375" style="6" customWidth="1"/>
    <col min="5101" max="5101" width="0.6640625" style="6" customWidth="1"/>
    <col min="5102" max="5102" width="56.109375" style="6" customWidth="1"/>
    <col min="5103" max="5103" width="0.6640625" style="6" customWidth="1"/>
    <col min="5104" max="5104" width="9.109375" style="6" customWidth="1"/>
    <col min="5105" max="5105" width="6" style="6" customWidth="1"/>
    <col min="5106" max="5106" width="0.6640625" style="6" customWidth="1"/>
    <col min="5107" max="5107" width="7.109375" style="6" customWidth="1"/>
    <col min="5108" max="5108" width="6.5546875" style="6" customWidth="1"/>
    <col min="5109" max="5109" width="0.6640625" style="6" customWidth="1"/>
    <col min="5110" max="5110" width="7.88671875" style="6" customWidth="1"/>
    <col min="5111" max="5111" width="10.5546875" style="6" customWidth="1"/>
    <col min="5112" max="5112" width="0.6640625" style="6" customWidth="1"/>
    <col min="5113" max="5354" width="11.44140625" style="6"/>
    <col min="5355" max="5355" width="0.6640625" style="6" customWidth="1"/>
    <col min="5356" max="5356" width="15.109375" style="6" customWidth="1"/>
    <col min="5357" max="5357" width="0.6640625" style="6" customWidth="1"/>
    <col min="5358" max="5358" width="56.109375" style="6" customWidth="1"/>
    <col min="5359" max="5359" width="0.6640625" style="6" customWidth="1"/>
    <col min="5360" max="5360" width="9.109375" style="6" customWidth="1"/>
    <col min="5361" max="5361" width="6" style="6" customWidth="1"/>
    <col min="5362" max="5362" width="0.6640625" style="6" customWidth="1"/>
    <col min="5363" max="5363" width="7.109375" style="6" customWidth="1"/>
    <col min="5364" max="5364" width="6.5546875" style="6" customWidth="1"/>
    <col min="5365" max="5365" width="0.6640625" style="6" customWidth="1"/>
    <col min="5366" max="5366" width="7.88671875" style="6" customWidth="1"/>
    <col min="5367" max="5367" width="10.5546875" style="6" customWidth="1"/>
    <col min="5368" max="5368" width="0.6640625" style="6" customWidth="1"/>
    <col min="5369" max="5610" width="11.44140625" style="6"/>
    <col min="5611" max="5611" width="0.6640625" style="6" customWidth="1"/>
    <col min="5612" max="5612" width="15.109375" style="6" customWidth="1"/>
    <col min="5613" max="5613" width="0.6640625" style="6" customWidth="1"/>
    <col min="5614" max="5614" width="56.109375" style="6" customWidth="1"/>
    <col min="5615" max="5615" width="0.6640625" style="6" customWidth="1"/>
    <col min="5616" max="5616" width="9.109375" style="6" customWidth="1"/>
    <col min="5617" max="5617" width="6" style="6" customWidth="1"/>
    <col min="5618" max="5618" width="0.6640625" style="6" customWidth="1"/>
    <col min="5619" max="5619" width="7.109375" style="6" customWidth="1"/>
    <col min="5620" max="5620" width="6.5546875" style="6" customWidth="1"/>
    <col min="5621" max="5621" width="0.6640625" style="6" customWidth="1"/>
    <col min="5622" max="5622" width="7.88671875" style="6" customWidth="1"/>
    <col min="5623" max="5623" width="10.5546875" style="6" customWidth="1"/>
    <col min="5624" max="5624" width="0.6640625" style="6" customWidth="1"/>
    <col min="5625" max="5866" width="11.44140625" style="6"/>
    <col min="5867" max="5867" width="0.6640625" style="6" customWidth="1"/>
    <col min="5868" max="5868" width="15.109375" style="6" customWidth="1"/>
    <col min="5869" max="5869" width="0.6640625" style="6" customWidth="1"/>
    <col min="5870" max="5870" width="56.109375" style="6" customWidth="1"/>
    <col min="5871" max="5871" width="0.6640625" style="6" customWidth="1"/>
    <col min="5872" max="5872" width="9.109375" style="6" customWidth="1"/>
    <col min="5873" max="5873" width="6" style="6" customWidth="1"/>
    <col min="5874" max="5874" width="0.6640625" style="6" customWidth="1"/>
    <col min="5875" max="5875" width="7.109375" style="6" customWidth="1"/>
    <col min="5876" max="5876" width="6.5546875" style="6" customWidth="1"/>
    <col min="5877" max="5877" width="0.6640625" style="6" customWidth="1"/>
    <col min="5878" max="5878" width="7.88671875" style="6" customWidth="1"/>
    <col min="5879" max="5879" width="10.5546875" style="6" customWidth="1"/>
    <col min="5880" max="5880" width="0.6640625" style="6" customWidth="1"/>
    <col min="5881" max="6122" width="11.44140625" style="6"/>
    <col min="6123" max="6123" width="0.6640625" style="6" customWidth="1"/>
    <col min="6124" max="6124" width="15.109375" style="6" customWidth="1"/>
    <col min="6125" max="6125" width="0.6640625" style="6" customWidth="1"/>
    <col min="6126" max="6126" width="56.109375" style="6" customWidth="1"/>
    <col min="6127" max="6127" width="0.6640625" style="6" customWidth="1"/>
    <col min="6128" max="6128" width="9.109375" style="6" customWidth="1"/>
    <col min="6129" max="6129" width="6" style="6" customWidth="1"/>
    <col min="6130" max="6130" width="0.6640625" style="6" customWidth="1"/>
    <col min="6131" max="6131" width="7.109375" style="6" customWidth="1"/>
    <col min="6132" max="6132" width="6.5546875" style="6" customWidth="1"/>
    <col min="6133" max="6133" width="0.6640625" style="6" customWidth="1"/>
    <col min="6134" max="6134" width="7.88671875" style="6" customWidth="1"/>
    <col min="6135" max="6135" width="10.5546875" style="6" customWidth="1"/>
    <col min="6136" max="6136" width="0.6640625" style="6" customWidth="1"/>
    <col min="6137" max="6378" width="11.44140625" style="6"/>
    <col min="6379" max="6379" width="0.6640625" style="6" customWidth="1"/>
    <col min="6380" max="6380" width="15.109375" style="6" customWidth="1"/>
    <col min="6381" max="6381" width="0.6640625" style="6" customWidth="1"/>
    <col min="6382" max="6382" width="56.109375" style="6" customWidth="1"/>
    <col min="6383" max="6383" width="0.6640625" style="6" customWidth="1"/>
    <col min="6384" max="6384" width="9.109375" style="6" customWidth="1"/>
    <col min="6385" max="6385" width="6" style="6" customWidth="1"/>
    <col min="6386" max="6386" width="0.6640625" style="6" customWidth="1"/>
    <col min="6387" max="6387" width="7.109375" style="6" customWidth="1"/>
    <col min="6388" max="6388" width="6.5546875" style="6" customWidth="1"/>
    <col min="6389" max="6389" width="0.6640625" style="6" customWidth="1"/>
    <col min="6390" max="6390" width="7.88671875" style="6" customWidth="1"/>
    <col min="6391" max="6391" width="10.5546875" style="6" customWidth="1"/>
    <col min="6392" max="6392" width="0.6640625" style="6" customWidth="1"/>
    <col min="6393" max="6634" width="11.44140625" style="6"/>
    <col min="6635" max="6635" width="0.6640625" style="6" customWidth="1"/>
    <col min="6636" max="6636" width="15.109375" style="6" customWidth="1"/>
    <col min="6637" max="6637" width="0.6640625" style="6" customWidth="1"/>
    <col min="6638" max="6638" width="56.109375" style="6" customWidth="1"/>
    <col min="6639" max="6639" width="0.6640625" style="6" customWidth="1"/>
    <col min="6640" max="6640" width="9.109375" style="6" customWidth="1"/>
    <col min="6641" max="6641" width="6" style="6" customWidth="1"/>
    <col min="6642" max="6642" width="0.6640625" style="6" customWidth="1"/>
    <col min="6643" max="6643" width="7.109375" style="6" customWidth="1"/>
    <col min="6644" max="6644" width="6.5546875" style="6" customWidth="1"/>
    <col min="6645" max="6645" width="0.6640625" style="6" customWidth="1"/>
    <col min="6646" max="6646" width="7.88671875" style="6" customWidth="1"/>
    <col min="6647" max="6647" width="10.5546875" style="6" customWidth="1"/>
    <col min="6648" max="6648" width="0.6640625" style="6" customWidth="1"/>
    <col min="6649" max="6890" width="11.44140625" style="6"/>
    <col min="6891" max="6891" width="0.6640625" style="6" customWidth="1"/>
    <col min="6892" max="6892" width="15.109375" style="6" customWidth="1"/>
    <col min="6893" max="6893" width="0.6640625" style="6" customWidth="1"/>
    <col min="6894" max="6894" width="56.109375" style="6" customWidth="1"/>
    <col min="6895" max="6895" width="0.6640625" style="6" customWidth="1"/>
    <col min="6896" max="6896" width="9.109375" style="6" customWidth="1"/>
    <col min="6897" max="6897" width="6" style="6" customWidth="1"/>
    <col min="6898" max="6898" width="0.6640625" style="6" customWidth="1"/>
    <col min="6899" max="6899" width="7.109375" style="6" customWidth="1"/>
    <col min="6900" max="6900" width="6.5546875" style="6" customWidth="1"/>
    <col min="6901" max="6901" width="0.6640625" style="6" customWidth="1"/>
    <col min="6902" max="6902" width="7.88671875" style="6" customWidth="1"/>
    <col min="6903" max="6903" width="10.5546875" style="6" customWidth="1"/>
    <col min="6904" max="6904" width="0.6640625" style="6" customWidth="1"/>
    <col min="6905" max="7146" width="11.44140625" style="6"/>
    <col min="7147" max="7147" width="0.6640625" style="6" customWidth="1"/>
    <col min="7148" max="7148" width="15.109375" style="6" customWidth="1"/>
    <col min="7149" max="7149" width="0.6640625" style="6" customWidth="1"/>
    <col min="7150" max="7150" width="56.109375" style="6" customWidth="1"/>
    <col min="7151" max="7151" width="0.6640625" style="6" customWidth="1"/>
    <col min="7152" max="7152" width="9.109375" style="6" customWidth="1"/>
    <col min="7153" max="7153" width="6" style="6" customWidth="1"/>
    <col min="7154" max="7154" width="0.6640625" style="6" customWidth="1"/>
    <col min="7155" max="7155" width="7.109375" style="6" customWidth="1"/>
    <col min="7156" max="7156" width="6.5546875" style="6" customWidth="1"/>
    <col min="7157" max="7157" width="0.6640625" style="6" customWidth="1"/>
    <col min="7158" max="7158" width="7.88671875" style="6" customWidth="1"/>
    <col min="7159" max="7159" width="10.5546875" style="6" customWidth="1"/>
    <col min="7160" max="7160" width="0.6640625" style="6" customWidth="1"/>
    <col min="7161" max="7402" width="11.44140625" style="6"/>
    <col min="7403" max="7403" width="0.6640625" style="6" customWidth="1"/>
    <col min="7404" max="7404" width="15.109375" style="6" customWidth="1"/>
    <col min="7405" max="7405" width="0.6640625" style="6" customWidth="1"/>
    <col min="7406" max="7406" width="56.109375" style="6" customWidth="1"/>
    <col min="7407" max="7407" width="0.6640625" style="6" customWidth="1"/>
    <col min="7408" max="7408" width="9.109375" style="6" customWidth="1"/>
    <col min="7409" max="7409" width="6" style="6" customWidth="1"/>
    <col min="7410" max="7410" width="0.6640625" style="6" customWidth="1"/>
    <col min="7411" max="7411" width="7.109375" style="6" customWidth="1"/>
    <col min="7412" max="7412" width="6.5546875" style="6" customWidth="1"/>
    <col min="7413" max="7413" width="0.6640625" style="6" customWidth="1"/>
    <col min="7414" max="7414" width="7.88671875" style="6" customWidth="1"/>
    <col min="7415" max="7415" width="10.5546875" style="6" customWidth="1"/>
    <col min="7416" max="7416" width="0.6640625" style="6" customWidth="1"/>
    <col min="7417" max="7658" width="11.44140625" style="6"/>
    <col min="7659" max="7659" width="0.6640625" style="6" customWidth="1"/>
    <col min="7660" max="7660" width="15.109375" style="6" customWidth="1"/>
    <col min="7661" max="7661" width="0.6640625" style="6" customWidth="1"/>
    <col min="7662" max="7662" width="56.109375" style="6" customWidth="1"/>
    <col min="7663" max="7663" width="0.6640625" style="6" customWidth="1"/>
    <col min="7664" max="7664" width="9.109375" style="6" customWidth="1"/>
    <col min="7665" max="7665" width="6" style="6" customWidth="1"/>
    <col min="7666" max="7666" width="0.6640625" style="6" customWidth="1"/>
    <col min="7667" max="7667" width="7.109375" style="6" customWidth="1"/>
    <col min="7668" max="7668" width="6.5546875" style="6" customWidth="1"/>
    <col min="7669" max="7669" width="0.6640625" style="6" customWidth="1"/>
    <col min="7670" max="7670" width="7.88671875" style="6" customWidth="1"/>
    <col min="7671" max="7671" width="10.5546875" style="6" customWidth="1"/>
    <col min="7672" max="7672" width="0.6640625" style="6" customWidth="1"/>
    <col min="7673" max="7914" width="11.44140625" style="6"/>
    <col min="7915" max="7915" width="0.6640625" style="6" customWidth="1"/>
    <col min="7916" max="7916" width="15.109375" style="6" customWidth="1"/>
    <col min="7917" max="7917" width="0.6640625" style="6" customWidth="1"/>
    <col min="7918" max="7918" width="56.109375" style="6" customWidth="1"/>
    <col min="7919" max="7919" width="0.6640625" style="6" customWidth="1"/>
    <col min="7920" max="7920" width="9.109375" style="6" customWidth="1"/>
    <col min="7921" max="7921" width="6" style="6" customWidth="1"/>
    <col min="7922" max="7922" width="0.6640625" style="6" customWidth="1"/>
    <col min="7923" max="7923" width="7.109375" style="6" customWidth="1"/>
    <col min="7924" max="7924" width="6.5546875" style="6" customWidth="1"/>
    <col min="7925" max="7925" width="0.6640625" style="6" customWidth="1"/>
    <col min="7926" max="7926" width="7.88671875" style="6" customWidth="1"/>
    <col min="7927" max="7927" width="10.5546875" style="6" customWidth="1"/>
    <col min="7928" max="7928" width="0.6640625" style="6" customWidth="1"/>
    <col min="7929" max="8170" width="11.44140625" style="6"/>
    <col min="8171" max="8171" width="0.6640625" style="6" customWidth="1"/>
    <col min="8172" max="8172" width="15.109375" style="6" customWidth="1"/>
    <col min="8173" max="8173" width="0.6640625" style="6" customWidth="1"/>
    <col min="8174" max="8174" width="56.109375" style="6" customWidth="1"/>
    <col min="8175" max="8175" width="0.6640625" style="6" customWidth="1"/>
    <col min="8176" max="8176" width="9.109375" style="6" customWidth="1"/>
    <col min="8177" max="8177" width="6" style="6" customWidth="1"/>
    <col min="8178" max="8178" width="0.6640625" style="6" customWidth="1"/>
    <col min="8179" max="8179" width="7.109375" style="6" customWidth="1"/>
    <col min="8180" max="8180" width="6.5546875" style="6" customWidth="1"/>
    <col min="8181" max="8181" width="0.6640625" style="6" customWidth="1"/>
    <col min="8182" max="8182" width="7.88671875" style="6" customWidth="1"/>
    <col min="8183" max="8183" width="10.5546875" style="6" customWidth="1"/>
    <col min="8184" max="8184" width="0.6640625" style="6" customWidth="1"/>
    <col min="8185" max="8426" width="11.44140625" style="6"/>
    <col min="8427" max="8427" width="0.6640625" style="6" customWidth="1"/>
    <col min="8428" max="8428" width="15.109375" style="6" customWidth="1"/>
    <col min="8429" max="8429" width="0.6640625" style="6" customWidth="1"/>
    <col min="8430" max="8430" width="56.109375" style="6" customWidth="1"/>
    <col min="8431" max="8431" width="0.6640625" style="6" customWidth="1"/>
    <col min="8432" max="8432" width="9.109375" style="6" customWidth="1"/>
    <col min="8433" max="8433" width="6" style="6" customWidth="1"/>
    <col min="8434" max="8434" width="0.6640625" style="6" customWidth="1"/>
    <col min="8435" max="8435" width="7.109375" style="6" customWidth="1"/>
    <col min="8436" max="8436" width="6.5546875" style="6" customWidth="1"/>
    <col min="8437" max="8437" width="0.6640625" style="6" customWidth="1"/>
    <col min="8438" max="8438" width="7.88671875" style="6" customWidth="1"/>
    <col min="8439" max="8439" width="10.5546875" style="6" customWidth="1"/>
    <col min="8440" max="8440" width="0.6640625" style="6" customWidth="1"/>
    <col min="8441" max="8682" width="11.44140625" style="6"/>
    <col min="8683" max="8683" width="0.6640625" style="6" customWidth="1"/>
    <col min="8684" max="8684" width="15.109375" style="6" customWidth="1"/>
    <col min="8685" max="8685" width="0.6640625" style="6" customWidth="1"/>
    <col min="8686" max="8686" width="56.109375" style="6" customWidth="1"/>
    <col min="8687" max="8687" width="0.6640625" style="6" customWidth="1"/>
    <col min="8688" max="8688" width="9.109375" style="6" customWidth="1"/>
    <col min="8689" max="8689" width="6" style="6" customWidth="1"/>
    <col min="8690" max="8690" width="0.6640625" style="6" customWidth="1"/>
    <col min="8691" max="8691" width="7.109375" style="6" customWidth="1"/>
    <col min="8692" max="8692" width="6.5546875" style="6" customWidth="1"/>
    <col min="8693" max="8693" width="0.6640625" style="6" customWidth="1"/>
    <col min="8694" max="8694" width="7.88671875" style="6" customWidth="1"/>
    <col min="8695" max="8695" width="10.5546875" style="6" customWidth="1"/>
    <col min="8696" max="8696" width="0.6640625" style="6" customWidth="1"/>
    <col min="8697" max="8938" width="11.44140625" style="6"/>
    <col min="8939" max="8939" width="0.6640625" style="6" customWidth="1"/>
    <col min="8940" max="8940" width="15.109375" style="6" customWidth="1"/>
    <col min="8941" max="8941" width="0.6640625" style="6" customWidth="1"/>
    <col min="8942" max="8942" width="56.109375" style="6" customWidth="1"/>
    <col min="8943" max="8943" width="0.6640625" style="6" customWidth="1"/>
    <col min="8944" max="8944" width="9.109375" style="6" customWidth="1"/>
    <col min="8945" max="8945" width="6" style="6" customWidth="1"/>
    <col min="8946" max="8946" width="0.6640625" style="6" customWidth="1"/>
    <col min="8947" max="8947" width="7.109375" style="6" customWidth="1"/>
    <col min="8948" max="8948" width="6.5546875" style="6" customWidth="1"/>
    <col min="8949" max="8949" width="0.6640625" style="6" customWidth="1"/>
    <col min="8950" max="8950" width="7.88671875" style="6" customWidth="1"/>
    <col min="8951" max="8951" width="10.5546875" style="6" customWidth="1"/>
    <col min="8952" max="8952" width="0.6640625" style="6" customWidth="1"/>
    <col min="8953" max="9194" width="11.44140625" style="6"/>
    <col min="9195" max="9195" width="0.6640625" style="6" customWidth="1"/>
    <col min="9196" max="9196" width="15.109375" style="6" customWidth="1"/>
    <col min="9197" max="9197" width="0.6640625" style="6" customWidth="1"/>
    <col min="9198" max="9198" width="56.109375" style="6" customWidth="1"/>
    <col min="9199" max="9199" width="0.6640625" style="6" customWidth="1"/>
    <col min="9200" max="9200" width="9.109375" style="6" customWidth="1"/>
    <col min="9201" max="9201" width="6" style="6" customWidth="1"/>
    <col min="9202" max="9202" width="0.6640625" style="6" customWidth="1"/>
    <col min="9203" max="9203" width="7.109375" style="6" customWidth="1"/>
    <col min="9204" max="9204" width="6.5546875" style="6" customWidth="1"/>
    <col min="9205" max="9205" width="0.6640625" style="6" customWidth="1"/>
    <col min="9206" max="9206" width="7.88671875" style="6" customWidth="1"/>
    <col min="9207" max="9207" width="10.5546875" style="6" customWidth="1"/>
    <col min="9208" max="9208" width="0.6640625" style="6" customWidth="1"/>
    <col min="9209" max="9450" width="11.44140625" style="6"/>
    <col min="9451" max="9451" width="0.6640625" style="6" customWidth="1"/>
    <col min="9452" max="9452" width="15.109375" style="6" customWidth="1"/>
    <col min="9453" max="9453" width="0.6640625" style="6" customWidth="1"/>
    <col min="9454" max="9454" width="56.109375" style="6" customWidth="1"/>
    <col min="9455" max="9455" width="0.6640625" style="6" customWidth="1"/>
    <col min="9456" max="9456" width="9.109375" style="6" customWidth="1"/>
    <col min="9457" max="9457" width="6" style="6" customWidth="1"/>
    <col min="9458" max="9458" width="0.6640625" style="6" customWidth="1"/>
    <col min="9459" max="9459" width="7.109375" style="6" customWidth="1"/>
    <col min="9460" max="9460" width="6.5546875" style="6" customWidth="1"/>
    <col min="9461" max="9461" width="0.6640625" style="6" customWidth="1"/>
    <col min="9462" max="9462" width="7.88671875" style="6" customWidth="1"/>
    <col min="9463" max="9463" width="10.5546875" style="6" customWidth="1"/>
    <col min="9464" max="9464" width="0.6640625" style="6" customWidth="1"/>
    <col min="9465" max="9706" width="11.44140625" style="6"/>
    <col min="9707" max="9707" width="0.6640625" style="6" customWidth="1"/>
    <col min="9708" max="9708" width="15.109375" style="6" customWidth="1"/>
    <col min="9709" max="9709" width="0.6640625" style="6" customWidth="1"/>
    <col min="9710" max="9710" width="56.109375" style="6" customWidth="1"/>
    <col min="9711" max="9711" width="0.6640625" style="6" customWidth="1"/>
    <col min="9712" max="9712" width="9.109375" style="6" customWidth="1"/>
    <col min="9713" max="9713" width="6" style="6" customWidth="1"/>
    <col min="9714" max="9714" width="0.6640625" style="6" customWidth="1"/>
    <col min="9715" max="9715" width="7.109375" style="6" customWidth="1"/>
    <col min="9716" max="9716" width="6.5546875" style="6" customWidth="1"/>
    <col min="9717" max="9717" width="0.6640625" style="6" customWidth="1"/>
    <col min="9718" max="9718" width="7.88671875" style="6" customWidth="1"/>
    <col min="9719" max="9719" width="10.5546875" style="6" customWidth="1"/>
    <col min="9720" max="9720" width="0.6640625" style="6" customWidth="1"/>
    <col min="9721" max="9962" width="11.44140625" style="6"/>
    <col min="9963" max="9963" width="0.6640625" style="6" customWidth="1"/>
    <col min="9964" max="9964" width="15.109375" style="6" customWidth="1"/>
    <col min="9965" max="9965" width="0.6640625" style="6" customWidth="1"/>
    <col min="9966" max="9966" width="56.109375" style="6" customWidth="1"/>
    <col min="9967" max="9967" width="0.6640625" style="6" customWidth="1"/>
    <col min="9968" max="9968" width="9.109375" style="6" customWidth="1"/>
    <col min="9969" max="9969" width="6" style="6" customWidth="1"/>
    <col min="9970" max="9970" width="0.6640625" style="6" customWidth="1"/>
    <col min="9971" max="9971" width="7.109375" style="6" customWidth="1"/>
    <col min="9972" max="9972" width="6.5546875" style="6" customWidth="1"/>
    <col min="9973" max="9973" width="0.6640625" style="6" customWidth="1"/>
    <col min="9974" max="9974" width="7.88671875" style="6" customWidth="1"/>
    <col min="9975" max="9975" width="10.5546875" style="6" customWidth="1"/>
    <col min="9976" max="9976" width="0.6640625" style="6" customWidth="1"/>
    <col min="9977" max="10218" width="11.44140625" style="6"/>
    <col min="10219" max="10219" width="0.6640625" style="6" customWidth="1"/>
    <col min="10220" max="10220" width="15.109375" style="6" customWidth="1"/>
    <col min="10221" max="10221" width="0.6640625" style="6" customWidth="1"/>
    <col min="10222" max="10222" width="56.109375" style="6" customWidth="1"/>
    <col min="10223" max="10223" width="0.6640625" style="6" customWidth="1"/>
    <col min="10224" max="10224" width="9.109375" style="6" customWidth="1"/>
    <col min="10225" max="10225" width="6" style="6" customWidth="1"/>
    <col min="10226" max="10226" width="0.6640625" style="6" customWidth="1"/>
    <col min="10227" max="10227" width="7.109375" style="6" customWidth="1"/>
    <col min="10228" max="10228" width="6.5546875" style="6" customWidth="1"/>
    <col min="10229" max="10229" width="0.6640625" style="6" customWidth="1"/>
    <col min="10230" max="10230" width="7.88671875" style="6" customWidth="1"/>
    <col min="10231" max="10231" width="10.5546875" style="6" customWidth="1"/>
    <col min="10232" max="10232" width="0.6640625" style="6" customWidth="1"/>
    <col min="10233" max="10474" width="11.44140625" style="6"/>
    <col min="10475" max="10475" width="0.6640625" style="6" customWidth="1"/>
    <col min="10476" max="10476" width="15.109375" style="6" customWidth="1"/>
    <col min="10477" max="10477" width="0.6640625" style="6" customWidth="1"/>
    <col min="10478" max="10478" width="56.109375" style="6" customWidth="1"/>
    <col min="10479" max="10479" width="0.6640625" style="6" customWidth="1"/>
    <col min="10480" max="10480" width="9.109375" style="6" customWidth="1"/>
    <col min="10481" max="10481" width="6" style="6" customWidth="1"/>
    <col min="10482" max="10482" width="0.6640625" style="6" customWidth="1"/>
    <col min="10483" max="10483" width="7.109375" style="6" customWidth="1"/>
    <col min="10484" max="10484" width="6.5546875" style="6" customWidth="1"/>
    <col min="10485" max="10485" width="0.6640625" style="6" customWidth="1"/>
    <col min="10486" max="10486" width="7.88671875" style="6" customWidth="1"/>
    <col min="10487" max="10487" width="10.5546875" style="6" customWidth="1"/>
    <col min="10488" max="10488" width="0.6640625" style="6" customWidth="1"/>
    <col min="10489" max="10730" width="11.44140625" style="6"/>
    <col min="10731" max="10731" width="0.6640625" style="6" customWidth="1"/>
    <col min="10732" max="10732" width="15.109375" style="6" customWidth="1"/>
    <col min="10733" max="10733" width="0.6640625" style="6" customWidth="1"/>
    <col min="10734" max="10734" width="56.109375" style="6" customWidth="1"/>
    <col min="10735" max="10735" width="0.6640625" style="6" customWidth="1"/>
    <col min="10736" max="10736" width="9.109375" style="6" customWidth="1"/>
    <col min="10737" max="10737" width="6" style="6" customWidth="1"/>
    <col min="10738" max="10738" width="0.6640625" style="6" customWidth="1"/>
    <col min="10739" max="10739" width="7.109375" style="6" customWidth="1"/>
    <col min="10740" max="10740" width="6.5546875" style="6" customWidth="1"/>
    <col min="10741" max="10741" width="0.6640625" style="6" customWidth="1"/>
    <col min="10742" max="10742" width="7.88671875" style="6" customWidth="1"/>
    <col min="10743" max="10743" width="10.5546875" style="6" customWidth="1"/>
    <col min="10744" max="10744" width="0.6640625" style="6" customWidth="1"/>
    <col min="10745" max="10986" width="11.44140625" style="6"/>
    <col min="10987" max="10987" width="0.6640625" style="6" customWidth="1"/>
    <col min="10988" max="10988" width="15.109375" style="6" customWidth="1"/>
    <col min="10989" max="10989" width="0.6640625" style="6" customWidth="1"/>
    <col min="10990" max="10990" width="56.109375" style="6" customWidth="1"/>
    <col min="10991" max="10991" width="0.6640625" style="6" customWidth="1"/>
    <col min="10992" max="10992" width="9.109375" style="6" customWidth="1"/>
    <col min="10993" max="10993" width="6" style="6" customWidth="1"/>
    <col min="10994" max="10994" width="0.6640625" style="6" customWidth="1"/>
    <col min="10995" max="10995" width="7.109375" style="6" customWidth="1"/>
    <col min="10996" max="10996" width="6.5546875" style="6" customWidth="1"/>
    <col min="10997" max="10997" width="0.6640625" style="6" customWidth="1"/>
    <col min="10998" max="10998" width="7.88671875" style="6" customWidth="1"/>
    <col min="10999" max="10999" width="10.5546875" style="6" customWidth="1"/>
    <col min="11000" max="11000" width="0.6640625" style="6" customWidth="1"/>
    <col min="11001" max="11242" width="11.44140625" style="6"/>
    <col min="11243" max="11243" width="0.6640625" style="6" customWidth="1"/>
    <col min="11244" max="11244" width="15.109375" style="6" customWidth="1"/>
    <col min="11245" max="11245" width="0.6640625" style="6" customWidth="1"/>
    <col min="11246" max="11246" width="56.109375" style="6" customWidth="1"/>
    <col min="11247" max="11247" width="0.6640625" style="6" customWidth="1"/>
    <col min="11248" max="11248" width="9.109375" style="6" customWidth="1"/>
    <col min="11249" max="11249" width="6" style="6" customWidth="1"/>
    <col min="11250" max="11250" width="0.6640625" style="6" customWidth="1"/>
    <col min="11251" max="11251" width="7.109375" style="6" customWidth="1"/>
    <col min="11252" max="11252" width="6.5546875" style="6" customWidth="1"/>
    <col min="11253" max="11253" width="0.6640625" style="6" customWidth="1"/>
    <col min="11254" max="11254" width="7.88671875" style="6" customWidth="1"/>
    <col min="11255" max="11255" width="10.5546875" style="6" customWidth="1"/>
    <col min="11256" max="11256" width="0.6640625" style="6" customWidth="1"/>
    <col min="11257" max="11498" width="11.44140625" style="6"/>
    <col min="11499" max="11499" width="0.6640625" style="6" customWidth="1"/>
    <col min="11500" max="11500" width="15.109375" style="6" customWidth="1"/>
    <col min="11501" max="11501" width="0.6640625" style="6" customWidth="1"/>
    <col min="11502" max="11502" width="56.109375" style="6" customWidth="1"/>
    <col min="11503" max="11503" width="0.6640625" style="6" customWidth="1"/>
    <col min="11504" max="11504" width="9.109375" style="6" customWidth="1"/>
    <col min="11505" max="11505" width="6" style="6" customWidth="1"/>
    <col min="11506" max="11506" width="0.6640625" style="6" customWidth="1"/>
    <col min="11507" max="11507" width="7.109375" style="6" customWidth="1"/>
    <col min="11508" max="11508" width="6.5546875" style="6" customWidth="1"/>
    <col min="11509" max="11509" width="0.6640625" style="6" customWidth="1"/>
    <col min="11510" max="11510" width="7.88671875" style="6" customWidth="1"/>
    <col min="11511" max="11511" width="10.5546875" style="6" customWidth="1"/>
    <col min="11512" max="11512" width="0.6640625" style="6" customWidth="1"/>
    <col min="11513" max="11754" width="11.44140625" style="6"/>
    <col min="11755" max="11755" width="0.6640625" style="6" customWidth="1"/>
    <col min="11756" max="11756" width="15.109375" style="6" customWidth="1"/>
    <col min="11757" max="11757" width="0.6640625" style="6" customWidth="1"/>
    <col min="11758" max="11758" width="56.109375" style="6" customWidth="1"/>
    <col min="11759" max="11759" width="0.6640625" style="6" customWidth="1"/>
    <col min="11760" max="11760" width="9.109375" style="6" customWidth="1"/>
    <col min="11761" max="11761" width="6" style="6" customWidth="1"/>
    <col min="11762" max="11762" width="0.6640625" style="6" customWidth="1"/>
    <col min="11763" max="11763" width="7.109375" style="6" customWidth="1"/>
    <col min="11764" max="11764" width="6.5546875" style="6" customWidth="1"/>
    <col min="11765" max="11765" width="0.6640625" style="6" customWidth="1"/>
    <col min="11766" max="11766" width="7.88671875" style="6" customWidth="1"/>
    <col min="11767" max="11767" width="10.5546875" style="6" customWidth="1"/>
    <col min="11768" max="11768" width="0.6640625" style="6" customWidth="1"/>
    <col min="11769" max="12010" width="11.44140625" style="6"/>
    <col min="12011" max="12011" width="0.6640625" style="6" customWidth="1"/>
    <col min="12012" max="12012" width="15.109375" style="6" customWidth="1"/>
    <col min="12013" max="12013" width="0.6640625" style="6" customWidth="1"/>
    <col min="12014" max="12014" width="56.109375" style="6" customWidth="1"/>
    <col min="12015" max="12015" width="0.6640625" style="6" customWidth="1"/>
    <col min="12016" max="12016" width="9.109375" style="6" customWidth="1"/>
    <col min="12017" max="12017" width="6" style="6" customWidth="1"/>
    <col min="12018" max="12018" width="0.6640625" style="6" customWidth="1"/>
    <col min="12019" max="12019" width="7.109375" style="6" customWidth="1"/>
    <col min="12020" max="12020" width="6.5546875" style="6" customWidth="1"/>
    <col min="12021" max="12021" width="0.6640625" style="6" customWidth="1"/>
    <col min="12022" max="12022" width="7.88671875" style="6" customWidth="1"/>
    <col min="12023" max="12023" width="10.5546875" style="6" customWidth="1"/>
    <col min="12024" max="12024" width="0.6640625" style="6" customWidth="1"/>
    <col min="12025" max="12266" width="11.44140625" style="6"/>
    <col min="12267" max="12267" width="0.6640625" style="6" customWidth="1"/>
    <col min="12268" max="12268" width="15.109375" style="6" customWidth="1"/>
    <col min="12269" max="12269" width="0.6640625" style="6" customWidth="1"/>
    <col min="12270" max="12270" width="56.109375" style="6" customWidth="1"/>
    <col min="12271" max="12271" width="0.6640625" style="6" customWidth="1"/>
    <col min="12272" max="12272" width="9.109375" style="6" customWidth="1"/>
    <col min="12273" max="12273" width="6" style="6" customWidth="1"/>
    <col min="12274" max="12274" width="0.6640625" style="6" customWidth="1"/>
    <col min="12275" max="12275" width="7.109375" style="6" customWidth="1"/>
    <col min="12276" max="12276" width="6.5546875" style="6" customWidth="1"/>
    <col min="12277" max="12277" width="0.6640625" style="6" customWidth="1"/>
    <col min="12278" max="12278" width="7.88671875" style="6" customWidth="1"/>
    <col min="12279" max="12279" width="10.5546875" style="6" customWidth="1"/>
    <col min="12280" max="12280" width="0.6640625" style="6" customWidth="1"/>
    <col min="12281" max="12522" width="11.44140625" style="6"/>
    <col min="12523" max="12523" width="0.6640625" style="6" customWidth="1"/>
    <col min="12524" max="12524" width="15.109375" style="6" customWidth="1"/>
    <col min="12525" max="12525" width="0.6640625" style="6" customWidth="1"/>
    <col min="12526" max="12526" width="56.109375" style="6" customWidth="1"/>
    <col min="12527" max="12527" width="0.6640625" style="6" customWidth="1"/>
    <col min="12528" max="12528" width="9.109375" style="6" customWidth="1"/>
    <col min="12529" max="12529" width="6" style="6" customWidth="1"/>
    <col min="12530" max="12530" width="0.6640625" style="6" customWidth="1"/>
    <col min="12531" max="12531" width="7.109375" style="6" customWidth="1"/>
    <col min="12532" max="12532" width="6.5546875" style="6" customWidth="1"/>
    <col min="12533" max="12533" width="0.6640625" style="6" customWidth="1"/>
    <col min="12534" max="12534" width="7.88671875" style="6" customWidth="1"/>
    <col min="12535" max="12535" width="10.5546875" style="6" customWidth="1"/>
    <col min="12536" max="12536" width="0.6640625" style="6" customWidth="1"/>
    <col min="12537" max="12778" width="11.44140625" style="6"/>
    <col min="12779" max="12779" width="0.6640625" style="6" customWidth="1"/>
    <col min="12780" max="12780" width="15.109375" style="6" customWidth="1"/>
    <col min="12781" max="12781" width="0.6640625" style="6" customWidth="1"/>
    <col min="12782" max="12782" width="56.109375" style="6" customWidth="1"/>
    <col min="12783" max="12783" width="0.6640625" style="6" customWidth="1"/>
    <col min="12784" max="12784" width="9.109375" style="6" customWidth="1"/>
    <col min="12785" max="12785" width="6" style="6" customWidth="1"/>
    <col min="12786" max="12786" width="0.6640625" style="6" customWidth="1"/>
    <col min="12787" max="12787" width="7.109375" style="6" customWidth="1"/>
    <col min="12788" max="12788" width="6.5546875" style="6" customWidth="1"/>
    <col min="12789" max="12789" width="0.6640625" style="6" customWidth="1"/>
    <col min="12790" max="12790" width="7.88671875" style="6" customWidth="1"/>
    <col min="12791" max="12791" width="10.5546875" style="6" customWidth="1"/>
    <col min="12792" max="12792" width="0.6640625" style="6" customWidth="1"/>
    <col min="12793" max="13034" width="11.44140625" style="6"/>
    <col min="13035" max="13035" width="0.6640625" style="6" customWidth="1"/>
    <col min="13036" max="13036" width="15.109375" style="6" customWidth="1"/>
    <col min="13037" max="13037" width="0.6640625" style="6" customWidth="1"/>
    <col min="13038" max="13038" width="56.109375" style="6" customWidth="1"/>
    <col min="13039" max="13039" width="0.6640625" style="6" customWidth="1"/>
    <col min="13040" max="13040" width="9.109375" style="6" customWidth="1"/>
    <col min="13041" max="13041" width="6" style="6" customWidth="1"/>
    <col min="13042" max="13042" width="0.6640625" style="6" customWidth="1"/>
    <col min="13043" max="13043" width="7.109375" style="6" customWidth="1"/>
    <col min="13044" max="13044" width="6.5546875" style="6" customWidth="1"/>
    <col min="13045" max="13045" width="0.6640625" style="6" customWidth="1"/>
    <col min="13046" max="13046" width="7.88671875" style="6" customWidth="1"/>
    <col min="13047" max="13047" width="10.5546875" style="6" customWidth="1"/>
    <col min="13048" max="13048" width="0.6640625" style="6" customWidth="1"/>
    <col min="13049" max="13290" width="11.44140625" style="6"/>
    <col min="13291" max="13291" width="0.6640625" style="6" customWidth="1"/>
    <col min="13292" max="13292" width="15.109375" style="6" customWidth="1"/>
    <col min="13293" max="13293" width="0.6640625" style="6" customWidth="1"/>
    <col min="13294" max="13294" width="56.109375" style="6" customWidth="1"/>
    <col min="13295" max="13295" width="0.6640625" style="6" customWidth="1"/>
    <col min="13296" max="13296" width="9.109375" style="6" customWidth="1"/>
    <col min="13297" max="13297" width="6" style="6" customWidth="1"/>
    <col min="13298" max="13298" width="0.6640625" style="6" customWidth="1"/>
    <col min="13299" max="13299" width="7.109375" style="6" customWidth="1"/>
    <col min="13300" max="13300" width="6.5546875" style="6" customWidth="1"/>
    <col min="13301" max="13301" width="0.6640625" style="6" customWidth="1"/>
    <col min="13302" max="13302" width="7.88671875" style="6" customWidth="1"/>
    <col min="13303" max="13303" width="10.5546875" style="6" customWidth="1"/>
    <col min="13304" max="13304" width="0.6640625" style="6" customWidth="1"/>
    <col min="13305" max="13546" width="11.44140625" style="6"/>
    <col min="13547" max="13547" width="0.6640625" style="6" customWidth="1"/>
    <col min="13548" max="13548" width="15.109375" style="6" customWidth="1"/>
    <col min="13549" max="13549" width="0.6640625" style="6" customWidth="1"/>
    <col min="13550" max="13550" width="56.109375" style="6" customWidth="1"/>
    <col min="13551" max="13551" width="0.6640625" style="6" customWidth="1"/>
    <col min="13552" max="13552" width="9.109375" style="6" customWidth="1"/>
    <col min="13553" max="13553" width="6" style="6" customWidth="1"/>
    <col min="13554" max="13554" width="0.6640625" style="6" customWidth="1"/>
    <col min="13555" max="13555" width="7.109375" style="6" customWidth="1"/>
    <col min="13556" max="13556" width="6.5546875" style="6" customWidth="1"/>
    <col min="13557" max="13557" width="0.6640625" style="6" customWidth="1"/>
    <col min="13558" max="13558" width="7.88671875" style="6" customWidth="1"/>
    <col min="13559" max="13559" width="10.5546875" style="6" customWidth="1"/>
    <col min="13560" max="13560" width="0.6640625" style="6" customWidth="1"/>
    <col min="13561" max="16384" width="11.44140625" style="6"/>
  </cols>
  <sheetData>
    <row r="1" spans="1:10" ht="19.5" customHeight="1" x14ac:dyDescent="0.25">
      <c r="A1" s="1"/>
      <c r="B1" s="2"/>
      <c r="C1" s="52"/>
      <c r="D1" s="4"/>
      <c r="E1" s="4"/>
      <c r="F1" s="4"/>
      <c r="G1" s="5"/>
      <c r="J1" s="7" t="s">
        <v>0</v>
      </c>
    </row>
    <row r="2" spans="1:10" ht="19.5" customHeight="1" x14ac:dyDescent="0.25">
      <c r="A2" s="8"/>
      <c r="B2" s="9"/>
      <c r="C2" s="54"/>
      <c r="D2" s="11"/>
      <c r="E2" s="11"/>
      <c r="F2" s="11"/>
      <c r="G2" s="12"/>
      <c r="J2" s="13" t="s">
        <v>1</v>
      </c>
    </row>
    <row r="3" spans="1:10" ht="19.5" customHeight="1" x14ac:dyDescent="0.3">
      <c r="A3" s="8"/>
      <c r="B3" s="9"/>
      <c r="C3" s="54"/>
      <c r="D3" s="11"/>
      <c r="E3" s="11"/>
      <c r="F3" s="11"/>
      <c r="G3" s="12"/>
      <c r="J3" s="7" t="s">
        <v>2</v>
      </c>
    </row>
    <row r="4" spans="1:10" ht="19.5" customHeight="1" x14ac:dyDescent="0.25">
      <c r="A4" s="14"/>
      <c r="B4" s="15"/>
      <c r="C4" s="56"/>
      <c r="D4" s="17"/>
      <c r="E4" s="17"/>
      <c r="F4" s="17"/>
      <c r="G4" s="57"/>
      <c r="J4" s="7" t="s">
        <v>3</v>
      </c>
    </row>
    <row r="5" spans="1:10" ht="30" customHeight="1" x14ac:dyDescent="0.3">
      <c r="A5" s="990" t="str">
        <f>CONCATENATE("COMPOSIÇÃO DE CUSTO UNITÁRIO - ",ORÇAMENTO!P2)</f>
        <v>COMPOSIÇÃO DE CUSTO UNITÁRIO - NÃO DESONERADO</v>
      </c>
      <c r="B5" s="991"/>
      <c r="C5" s="991"/>
      <c r="D5" s="991"/>
      <c r="E5" s="991"/>
      <c r="F5" s="991"/>
      <c r="G5" s="992"/>
      <c r="J5" s="7" t="s">
        <v>4</v>
      </c>
    </row>
    <row r="6" spans="1:10" ht="18" customHeight="1" x14ac:dyDescent="0.3">
      <c r="A6" s="97" t="s">
        <v>5</v>
      </c>
      <c r="B6" s="98" t="s">
        <v>6</v>
      </c>
      <c r="C6" s="1015" t="s">
        <v>42</v>
      </c>
      <c r="D6" s="1015"/>
      <c r="E6" s="1016"/>
      <c r="F6" s="98" t="s">
        <v>7</v>
      </c>
      <c r="G6" s="99"/>
      <c r="J6" s="7" t="s">
        <v>8</v>
      </c>
    </row>
    <row r="7" spans="1:10" ht="24.9" customHeight="1" x14ac:dyDescent="0.3">
      <c r="A7" s="24" t="s">
        <v>43</v>
      </c>
      <c r="B7" s="25"/>
      <c r="C7" s="1017"/>
      <c r="D7" s="1017"/>
      <c r="E7" s="1018"/>
      <c r="F7" s="100"/>
      <c r="G7" s="101" t="s">
        <v>11</v>
      </c>
      <c r="J7" s="35" t="s">
        <v>14</v>
      </c>
    </row>
    <row r="8" spans="1:10" ht="21" customHeight="1" x14ac:dyDescent="0.3">
      <c r="A8" s="102" t="s">
        <v>13</v>
      </c>
      <c r="B8" s="33"/>
      <c r="C8" s="69" t="s">
        <v>44</v>
      </c>
      <c r="D8" s="103"/>
      <c r="E8" s="103"/>
      <c r="F8" s="33"/>
      <c r="G8" s="104"/>
      <c r="J8" s="6" t="s">
        <v>12</v>
      </c>
    </row>
    <row r="9" spans="1:10" ht="21" customHeight="1" x14ac:dyDescent="0.3">
      <c r="A9" s="1019" t="s">
        <v>5</v>
      </c>
      <c r="B9" s="1019" t="s">
        <v>15</v>
      </c>
      <c r="C9" s="1019" t="s">
        <v>16</v>
      </c>
      <c r="D9" s="1020" t="s">
        <v>34</v>
      </c>
      <c r="E9" s="1020" t="s">
        <v>35</v>
      </c>
      <c r="F9" s="105" t="s">
        <v>22</v>
      </c>
      <c r="G9" s="106" t="s">
        <v>22</v>
      </c>
      <c r="J9" s="6" t="s">
        <v>45</v>
      </c>
    </row>
    <row r="10" spans="1:10" ht="30" customHeight="1" x14ac:dyDescent="0.3">
      <c r="A10" s="1019"/>
      <c r="B10" s="1019"/>
      <c r="C10" s="1019"/>
      <c r="D10" s="1020"/>
      <c r="E10" s="1020"/>
      <c r="F10" s="107" t="s">
        <v>23</v>
      </c>
      <c r="G10" s="41" t="s">
        <v>24</v>
      </c>
    </row>
    <row r="11" spans="1:10" ht="20.100000000000001" customHeight="1" x14ac:dyDescent="0.25">
      <c r="A11" s="49">
        <v>5088</v>
      </c>
      <c r="B11" s="108" t="s">
        <v>1</v>
      </c>
      <c r="C11" s="77" t="s">
        <v>1109</v>
      </c>
      <c r="D11" s="78" t="s">
        <v>11</v>
      </c>
      <c r="E11" s="109">
        <v>2</v>
      </c>
      <c r="F11" s="46"/>
      <c r="G11" s="47">
        <f t="shared" ref="G11:G27" si="0">TRUNC(E11*F11,2)</f>
        <v>0</v>
      </c>
    </row>
    <row r="12" spans="1:10" ht="20.100000000000001" customHeight="1" x14ac:dyDescent="0.25">
      <c r="A12" s="49">
        <v>5074</v>
      </c>
      <c r="B12" s="108" t="s">
        <v>1</v>
      </c>
      <c r="C12" s="77" t="s">
        <v>1110</v>
      </c>
      <c r="D12" s="78" t="s">
        <v>155</v>
      </c>
      <c r="E12" s="109">
        <v>1.2</v>
      </c>
      <c r="F12" s="46"/>
      <c r="G12" s="47">
        <f t="shared" si="0"/>
        <v>0</v>
      </c>
    </row>
    <row r="13" spans="1:10" ht="45" customHeight="1" x14ac:dyDescent="0.25">
      <c r="A13" s="49">
        <v>43603</v>
      </c>
      <c r="B13" s="108" t="s">
        <v>1</v>
      </c>
      <c r="C13" s="77" t="s">
        <v>1111</v>
      </c>
      <c r="D13" s="78" t="s">
        <v>11</v>
      </c>
      <c r="E13" s="109">
        <v>2</v>
      </c>
      <c r="F13" s="46"/>
      <c r="G13" s="47">
        <f t="shared" si="0"/>
        <v>0</v>
      </c>
    </row>
    <row r="14" spans="1:10" ht="30" customHeight="1" x14ac:dyDescent="0.25">
      <c r="A14" s="49">
        <v>11134</v>
      </c>
      <c r="B14" s="108" t="s">
        <v>1</v>
      </c>
      <c r="C14" s="77" t="s">
        <v>1112</v>
      </c>
      <c r="D14" s="78" t="s">
        <v>32</v>
      </c>
      <c r="E14" s="109">
        <v>77</v>
      </c>
      <c r="F14" s="46"/>
      <c r="G14" s="47">
        <f t="shared" si="0"/>
        <v>0</v>
      </c>
    </row>
    <row r="15" spans="1:10" ht="30" customHeight="1" x14ac:dyDescent="0.25">
      <c r="A15" s="49">
        <v>2433</v>
      </c>
      <c r="B15" s="108" t="s">
        <v>1</v>
      </c>
      <c r="C15" s="77" t="s">
        <v>1113</v>
      </c>
      <c r="D15" s="78" t="s">
        <v>11</v>
      </c>
      <c r="E15" s="109">
        <v>4</v>
      </c>
      <c r="F15" s="46"/>
      <c r="G15" s="47">
        <f t="shared" si="0"/>
        <v>0</v>
      </c>
    </row>
    <row r="16" spans="1:10" ht="20.100000000000001" customHeight="1" x14ac:dyDescent="0.25">
      <c r="A16" s="49">
        <v>4491</v>
      </c>
      <c r="B16" s="108" t="s">
        <v>1</v>
      </c>
      <c r="C16" s="77" t="s">
        <v>1114</v>
      </c>
      <c r="D16" s="78" t="s">
        <v>611</v>
      </c>
      <c r="E16" s="109">
        <v>87</v>
      </c>
      <c r="F16" s="46"/>
      <c r="G16" s="47">
        <f t="shared" si="0"/>
        <v>0</v>
      </c>
    </row>
    <row r="17" spans="1:7" ht="30" customHeight="1" x14ac:dyDescent="0.3">
      <c r="A17" s="49">
        <v>94963</v>
      </c>
      <c r="B17" s="108" t="s">
        <v>0</v>
      </c>
      <c r="C17" s="77" t="s">
        <v>1115</v>
      </c>
      <c r="D17" s="78" t="s">
        <v>1116</v>
      </c>
      <c r="E17" s="109">
        <v>1.3</v>
      </c>
      <c r="F17" s="46"/>
      <c r="G17" s="47">
        <f t="shared" si="0"/>
        <v>0</v>
      </c>
    </row>
    <row r="18" spans="1:7" ht="30" customHeight="1" x14ac:dyDescent="0.3">
      <c r="A18" s="49">
        <v>102475</v>
      </c>
      <c r="B18" s="108" t="s">
        <v>0</v>
      </c>
      <c r="C18" s="77" t="s">
        <v>1117</v>
      </c>
      <c r="D18" s="78" t="s">
        <v>1116</v>
      </c>
      <c r="E18" s="109">
        <v>2.8</v>
      </c>
      <c r="F18" s="46"/>
      <c r="G18" s="47">
        <f t="shared" si="0"/>
        <v>0</v>
      </c>
    </row>
    <row r="19" spans="1:7" ht="30" customHeight="1" x14ac:dyDescent="0.3">
      <c r="A19" s="49">
        <v>103670</v>
      </c>
      <c r="B19" s="108" t="s">
        <v>0</v>
      </c>
      <c r="C19" s="77" t="s">
        <v>1118</v>
      </c>
      <c r="D19" s="78" t="s">
        <v>1116</v>
      </c>
      <c r="E19" s="109">
        <v>4.0999999999999996</v>
      </c>
      <c r="F19" s="46"/>
      <c r="G19" s="47">
        <f t="shared" si="0"/>
        <v>0</v>
      </c>
    </row>
    <row r="20" spans="1:7" ht="45" customHeight="1" x14ac:dyDescent="0.3">
      <c r="A20" s="49">
        <v>92543</v>
      </c>
      <c r="B20" s="108" t="s">
        <v>0</v>
      </c>
      <c r="C20" s="77" t="s">
        <v>1119</v>
      </c>
      <c r="D20" s="78" t="s">
        <v>32</v>
      </c>
      <c r="E20" s="109">
        <v>52.92</v>
      </c>
      <c r="F20" s="46"/>
      <c r="G20" s="47">
        <f t="shared" si="0"/>
        <v>0</v>
      </c>
    </row>
    <row r="21" spans="1:7" ht="45" customHeight="1" x14ac:dyDescent="0.3">
      <c r="A21" s="49">
        <v>94207</v>
      </c>
      <c r="B21" s="108" t="s">
        <v>0</v>
      </c>
      <c r="C21" s="77" t="s">
        <v>1120</v>
      </c>
      <c r="D21" s="78" t="s">
        <v>32</v>
      </c>
      <c r="E21" s="109">
        <v>52.92</v>
      </c>
      <c r="F21" s="46"/>
      <c r="G21" s="47">
        <f t="shared" si="0"/>
        <v>0</v>
      </c>
    </row>
    <row r="22" spans="1:7" ht="30" customHeight="1" x14ac:dyDescent="0.3">
      <c r="A22" s="49">
        <v>97097</v>
      </c>
      <c r="B22" s="108" t="s">
        <v>0</v>
      </c>
      <c r="C22" s="77" t="s">
        <v>1121</v>
      </c>
      <c r="D22" s="78" t="s">
        <v>32</v>
      </c>
      <c r="E22" s="109">
        <v>56</v>
      </c>
      <c r="F22" s="46"/>
      <c r="G22" s="47">
        <f t="shared" si="0"/>
        <v>0</v>
      </c>
    </row>
    <row r="23" spans="1:7" ht="20.100000000000001" customHeight="1" x14ac:dyDescent="0.25">
      <c r="A23" s="49">
        <v>88316</v>
      </c>
      <c r="B23" s="108" t="s">
        <v>0</v>
      </c>
      <c r="C23" s="77" t="s">
        <v>1103</v>
      </c>
      <c r="D23" s="78" t="s">
        <v>1101</v>
      </c>
      <c r="E23" s="109">
        <v>16</v>
      </c>
      <c r="F23" s="46"/>
      <c r="G23" s="47">
        <f t="shared" si="0"/>
        <v>0</v>
      </c>
    </row>
    <row r="24" spans="1:7" ht="20.100000000000001" customHeight="1" x14ac:dyDescent="0.25">
      <c r="A24" s="49">
        <v>88261</v>
      </c>
      <c r="B24" s="108" t="s">
        <v>0</v>
      </c>
      <c r="C24" s="77" t="s">
        <v>1122</v>
      </c>
      <c r="D24" s="78" t="s">
        <v>1101</v>
      </c>
      <c r="E24" s="109">
        <v>16</v>
      </c>
      <c r="F24" s="46"/>
      <c r="G24" s="47">
        <f t="shared" si="0"/>
        <v>0</v>
      </c>
    </row>
    <row r="25" spans="1:7" ht="39.9" customHeight="1" x14ac:dyDescent="0.3">
      <c r="A25" s="110" t="str">
        <f>A31</f>
        <v>COMP AUX 001</v>
      </c>
      <c r="B25" s="108" t="s">
        <v>14</v>
      </c>
      <c r="C25" s="77" t="s">
        <v>46</v>
      </c>
      <c r="D25" s="78" t="s">
        <v>48</v>
      </c>
      <c r="E25" s="109">
        <v>2</v>
      </c>
      <c r="F25" s="46"/>
      <c r="G25" s="47">
        <f t="shared" si="0"/>
        <v>0</v>
      </c>
    </row>
    <row r="26" spans="1:7" ht="20.100000000000001" customHeight="1" x14ac:dyDescent="0.3">
      <c r="A26" s="110" t="str">
        <f>A44</f>
        <v>COMP AUX 002</v>
      </c>
      <c r="B26" s="108" t="s">
        <v>14</v>
      </c>
      <c r="C26" s="77" t="s">
        <v>50</v>
      </c>
      <c r="D26" s="78" t="s">
        <v>48</v>
      </c>
      <c r="E26" s="109">
        <v>2</v>
      </c>
      <c r="F26" s="46"/>
      <c r="G26" s="47">
        <f t="shared" si="0"/>
        <v>0</v>
      </c>
    </row>
    <row r="27" spans="1:7" ht="50.1" customHeight="1" x14ac:dyDescent="0.3">
      <c r="A27" s="110" t="str">
        <f>A55</f>
        <v>COMP AUX 003</v>
      </c>
      <c r="B27" s="108" t="s">
        <v>14</v>
      </c>
      <c r="C27" s="77" t="s">
        <v>53</v>
      </c>
      <c r="D27" s="78" t="s">
        <v>48</v>
      </c>
      <c r="E27" s="109">
        <v>1</v>
      </c>
      <c r="F27" s="46"/>
      <c r="G27" s="47">
        <f t="shared" si="0"/>
        <v>0</v>
      </c>
    </row>
    <row r="28" spans="1:7" x14ac:dyDescent="0.3">
      <c r="A28" s="1014" t="s">
        <v>25</v>
      </c>
      <c r="B28" s="1014"/>
      <c r="C28" s="1014"/>
      <c r="D28" s="1014"/>
      <c r="E28" s="1014"/>
      <c r="F28" s="1014"/>
      <c r="G28" s="50">
        <f>SUM(G11:G27)</f>
        <v>0</v>
      </c>
    </row>
    <row r="30" spans="1:7" x14ac:dyDescent="0.3">
      <c r="A30" s="97" t="s">
        <v>5</v>
      </c>
      <c r="B30" s="98" t="s">
        <v>6</v>
      </c>
      <c r="C30" s="1015" t="s">
        <v>46</v>
      </c>
      <c r="D30" s="1015"/>
      <c r="E30" s="1016"/>
      <c r="F30" s="98" t="s">
        <v>7</v>
      </c>
      <c r="G30" s="99"/>
    </row>
    <row r="31" spans="1:7" x14ac:dyDescent="0.3">
      <c r="A31" s="24" t="s">
        <v>47</v>
      </c>
      <c r="B31" s="25"/>
      <c r="C31" s="1017"/>
      <c r="D31" s="1017"/>
      <c r="E31" s="1018"/>
      <c r="F31" s="100"/>
      <c r="G31" s="101" t="s">
        <v>48</v>
      </c>
    </row>
    <row r="32" spans="1:7" s="51" customFormat="1" x14ac:dyDescent="0.3">
      <c r="A32" s="102" t="s">
        <v>13</v>
      </c>
      <c r="B32" s="33"/>
      <c r="C32" s="69" t="s">
        <v>49</v>
      </c>
      <c r="D32" s="103"/>
      <c r="E32" s="103"/>
      <c r="F32" s="33"/>
      <c r="G32" s="104"/>
    </row>
    <row r="33" spans="1:7" s="51" customFormat="1" x14ac:dyDescent="0.3">
      <c r="A33" s="1019" t="s">
        <v>5</v>
      </c>
      <c r="B33" s="1019" t="s">
        <v>15</v>
      </c>
      <c r="C33" s="1019" t="s">
        <v>16</v>
      </c>
      <c r="D33" s="1020" t="s">
        <v>34</v>
      </c>
      <c r="E33" s="1020" t="s">
        <v>35</v>
      </c>
      <c r="F33" s="105" t="s">
        <v>22</v>
      </c>
      <c r="G33" s="106" t="s">
        <v>22</v>
      </c>
    </row>
    <row r="34" spans="1:7" s="51" customFormat="1" x14ac:dyDescent="0.3">
      <c r="A34" s="1019"/>
      <c r="B34" s="1019"/>
      <c r="C34" s="1019"/>
      <c r="D34" s="1020"/>
      <c r="E34" s="1020"/>
      <c r="F34" s="107" t="s">
        <v>23</v>
      </c>
      <c r="G34" s="41" t="s">
        <v>24</v>
      </c>
    </row>
    <row r="35" spans="1:7" ht="35.1" customHeight="1" x14ac:dyDescent="0.3">
      <c r="A35" s="49">
        <v>939</v>
      </c>
      <c r="B35" s="108" t="s">
        <v>1</v>
      </c>
      <c r="C35" s="77" t="s">
        <v>1123</v>
      </c>
      <c r="D35" s="78" t="s">
        <v>611</v>
      </c>
      <c r="E35" s="109">
        <v>12</v>
      </c>
      <c r="F35" s="46"/>
      <c r="G35" s="47">
        <f t="shared" ref="G35:G40" si="1">TRUNC(E35*F35,2)</f>
        <v>0</v>
      </c>
    </row>
    <row r="36" spans="1:7" s="51" customFormat="1" ht="24.9" customHeight="1" x14ac:dyDescent="0.3">
      <c r="A36" s="49">
        <v>2688</v>
      </c>
      <c r="B36" s="108" t="s">
        <v>1</v>
      </c>
      <c r="C36" s="77" t="s">
        <v>1124</v>
      </c>
      <c r="D36" s="78" t="s">
        <v>611</v>
      </c>
      <c r="E36" s="109">
        <v>6</v>
      </c>
      <c r="F36" s="46"/>
      <c r="G36" s="47">
        <f t="shared" si="1"/>
        <v>0</v>
      </c>
    </row>
    <row r="37" spans="1:7" s="51" customFormat="1" ht="30" customHeight="1" x14ac:dyDescent="0.3">
      <c r="A37" s="49">
        <v>12001</v>
      </c>
      <c r="B37" s="108" t="s">
        <v>1</v>
      </c>
      <c r="C37" s="77" t="s">
        <v>1125</v>
      </c>
      <c r="D37" s="78" t="s">
        <v>11</v>
      </c>
      <c r="E37" s="109">
        <v>1</v>
      </c>
      <c r="F37" s="46"/>
      <c r="G37" s="47">
        <f t="shared" si="1"/>
        <v>0</v>
      </c>
    </row>
    <row r="38" spans="1:7" ht="24.9" customHeight="1" x14ac:dyDescent="0.3">
      <c r="A38" s="49">
        <v>20111</v>
      </c>
      <c r="B38" s="108" t="s">
        <v>1</v>
      </c>
      <c r="C38" s="77" t="s">
        <v>1126</v>
      </c>
      <c r="D38" s="78" t="s">
        <v>11</v>
      </c>
      <c r="E38" s="109">
        <v>0.15</v>
      </c>
      <c r="F38" s="46"/>
      <c r="G38" s="47">
        <f t="shared" si="1"/>
        <v>0</v>
      </c>
    </row>
    <row r="39" spans="1:7" ht="24.9" customHeight="1" x14ac:dyDescent="0.3">
      <c r="A39" s="49">
        <v>88264</v>
      </c>
      <c r="B39" s="108" t="s">
        <v>0</v>
      </c>
      <c r="C39" s="77" t="s">
        <v>1127</v>
      </c>
      <c r="D39" s="78" t="s">
        <v>1101</v>
      </c>
      <c r="E39" s="109">
        <v>4</v>
      </c>
      <c r="F39" s="46"/>
      <c r="G39" s="47">
        <f t="shared" si="1"/>
        <v>0</v>
      </c>
    </row>
    <row r="40" spans="1:7" ht="24.9" customHeight="1" x14ac:dyDescent="0.3">
      <c r="A40" s="49">
        <v>88316</v>
      </c>
      <c r="B40" s="108" t="s">
        <v>0</v>
      </c>
      <c r="C40" s="77" t="s">
        <v>1103</v>
      </c>
      <c r="D40" s="78" t="s">
        <v>1101</v>
      </c>
      <c r="E40" s="109">
        <v>5</v>
      </c>
      <c r="F40" s="46"/>
      <c r="G40" s="47">
        <f t="shared" si="1"/>
        <v>0</v>
      </c>
    </row>
    <row r="41" spans="1:7" x14ac:dyDescent="0.3">
      <c r="A41" s="1014" t="s">
        <v>25</v>
      </c>
      <c r="B41" s="1014"/>
      <c r="C41" s="1014"/>
      <c r="D41" s="1014"/>
      <c r="E41" s="1014"/>
      <c r="F41" s="1014"/>
      <c r="G41" s="50">
        <f>SUM(G35:G40)</f>
        <v>0</v>
      </c>
    </row>
    <row r="43" spans="1:7" x14ac:dyDescent="0.3">
      <c r="A43" s="97" t="s">
        <v>5</v>
      </c>
      <c r="B43" s="98" t="s">
        <v>6</v>
      </c>
      <c r="C43" s="1015" t="s">
        <v>50</v>
      </c>
      <c r="D43" s="1015"/>
      <c r="E43" s="1016"/>
      <c r="F43" s="98" t="s">
        <v>7</v>
      </c>
      <c r="G43" s="99"/>
    </row>
    <row r="44" spans="1:7" x14ac:dyDescent="0.3">
      <c r="A44" s="24" t="s">
        <v>51</v>
      </c>
      <c r="B44" s="25"/>
      <c r="C44" s="1017"/>
      <c r="D44" s="1017"/>
      <c r="E44" s="1018"/>
      <c r="F44" s="100"/>
      <c r="G44" s="101" t="s">
        <v>48</v>
      </c>
    </row>
    <row r="45" spans="1:7" s="51" customFormat="1" x14ac:dyDescent="0.3">
      <c r="A45" s="102" t="s">
        <v>13</v>
      </c>
      <c r="B45" s="33"/>
      <c r="C45" s="69" t="s">
        <v>52</v>
      </c>
      <c r="D45" s="103"/>
      <c r="E45" s="103"/>
      <c r="F45" s="33"/>
      <c r="G45" s="104"/>
    </row>
    <row r="46" spans="1:7" s="51" customFormat="1" x14ac:dyDescent="0.3">
      <c r="A46" s="1019" t="s">
        <v>5</v>
      </c>
      <c r="B46" s="1019" t="s">
        <v>15</v>
      </c>
      <c r="C46" s="1019" t="s">
        <v>16</v>
      </c>
      <c r="D46" s="1020" t="s">
        <v>34</v>
      </c>
      <c r="E46" s="1020" t="s">
        <v>35</v>
      </c>
      <c r="F46" s="105" t="s">
        <v>22</v>
      </c>
      <c r="G46" s="106" t="s">
        <v>22</v>
      </c>
    </row>
    <row r="47" spans="1:7" s="51" customFormat="1" x14ac:dyDescent="0.3">
      <c r="A47" s="1019"/>
      <c r="B47" s="1019"/>
      <c r="C47" s="1019"/>
      <c r="D47" s="1020"/>
      <c r="E47" s="1020"/>
      <c r="F47" s="107" t="s">
        <v>23</v>
      </c>
      <c r="G47" s="41" t="s">
        <v>24</v>
      </c>
    </row>
    <row r="48" spans="1:7" ht="30" customHeight="1" x14ac:dyDescent="0.3">
      <c r="A48" s="49">
        <v>38062</v>
      </c>
      <c r="B48" s="108" t="s">
        <v>1</v>
      </c>
      <c r="C48" s="77" t="s">
        <v>1128</v>
      </c>
      <c r="D48" s="78" t="s">
        <v>11</v>
      </c>
      <c r="E48" s="109">
        <v>1</v>
      </c>
      <c r="F48" s="46"/>
      <c r="G48" s="47">
        <f t="shared" ref="G48:G51" si="2">TRUNC(E48*F48,2)</f>
        <v>0</v>
      </c>
    </row>
    <row r="49" spans="1:7" s="51" customFormat="1" ht="30" customHeight="1" x14ac:dyDescent="0.3">
      <c r="A49" s="49">
        <v>1872</v>
      </c>
      <c r="B49" s="108" t="s">
        <v>1</v>
      </c>
      <c r="C49" s="77" t="s">
        <v>1129</v>
      </c>
      <c r="D49" s="78" t="s">
        <v>11</v>
      </c>
      <c r="E49" s="109">
        <v>1</v>
      </c>
      <c r="F49" s="46"/>
      <c r="G49" s="47">
        <f t="shared" si="2"/>
        <v>0</v>
      </c>
    </row>
    <row r="50" spans="1:7" ht="24.9" customHeight="1" x14ac:dyDescent="0.3">
      <c r="A50" s="49">
        <v>88264</v>
      </c>
      <c r="B50" s="108" t="s">
        <v>0</v>
      </c>
      <c r="C50" s="77" t="s">
        <v>1127</v>
      </c>
      <c r="D50" s="78" t="s">
        <v>1101</v>
      </c>
      <c r="E50" s="109">
        <v>0.21</v>
      </c>
      <c r="F50" s="46"/>
      <c r="G50" s="47">
        <f t="shared" si="2"/>
        <v>0</v>
      </c>
    </row>
    <row r="51" spans="1:7" ht="24.9" customHeight="1" x14ac:dyDescent="0.3">
      <c r="A51" s="49">
        <v>88316</v>
      </c>
      <c r="B51" s="108" t="s">
        <v>0</v>
      </c>
      <c r="C51" s="77" t="s">
        <v>1103</v>
      </c>
      <c r="D51" s="78" t="s">
        <v>1101</v>
      </c>
      <c r="E51" s="109">
        <v>0.6</v>
      </c>
      <c r="F51" s="46"/>
      <c r="G51" s="47">
        <f t="shared" si="2"/>
        <v>0</v>
      </c>
    </row>
    <row r="52" spans="1:7" x14ac:dyDescent="0.3">
      <c r="A52" s="1014" t="s">
        <v>25</v>
      </c>
      <c r="B52" s="1014"/>
      <c r="C52" s="1014"/>
      <c r="D52" s="1014"/>
      <c r="E52" s="1014"/>
      <c r="F52" s="1014"/>
      <c r="G52" s="50">
        <f>SUM(G48:G51)</f>
        <v>0</v>
      </c>
    </row>
    <row r="54" spans="1:7" x14ac:dyDescent="0.3">
      <c r="A54" s="97" t="s">
        <v>5</v>
      </c>
      <c r="B54" s="98" t="s">
        <v>6</v>
      </c>
      <c r="C54" s="1015" t="s">
        <v>53</v>
      </c>
      <c r="D54" s="1015"/>
      <c r="E54" s="1016"/>
      <c r="F54" s="98" t="s">
        <v>7</v>
      </c>
      <c r="G54" s="99"/>
    </row>
    <row r="55" spans="1:7" x14ac:dyDescent="0.3">
      <c r="A55" s="24" t="s">
        <v>54</v>
      </c>
      <c r="B55" s="25"/>
      <c r="C55" s="1017"/>
      <c r="D55" s="1017"/>
      <c r="E55" s="1018"/>
      <c r="F55" s="100"/>
      <c r="G55" s="101" t="s">
        <v>48</v>
      </c>
    </row>
    <row r="56" spans="1:7" s="51" customFormat="1" x14ac:dyDescent="0.3">
      <c r="A56" s="102" t="s">
        <v>13</v>
      </c>
      <c r="B56" s="33"/>
      <c r="C56" s="69" t="s">
        <v>55</v>
      </c>
      <c r="D56" s="103"/>
      <c r="E56" s="103"/>
      <c r="F56" s="33"/>
      <c r="G56" s="104"/>
    </row>
    <row r="57" spans="1:7" s="51" customFormat="1" x14ac:dyDescent="0.3">
      <c r="A57" s="1019" t="s">
        <v>5</v>
      </c>
      <c r="B57" s="1019" t="s">
        <v>15</v>
      </c>
      <c r="C57" s="1019" t="s">
        <v>16</v>
      </c>
      <c r="D57" s="1020" t="s">
        <v>34</v>
      </c>
      <c r="E57" s="1020" t="s">
        <v>35</v>
      </c>
      <c r="F57" s="105" t="s">
        <v>22</v>
      </c>
      <c r="G57" s="106" t="s">
        <v>22</v>
      </c>
    </row>
    <row r="58" spans="1:7" s="51" customFormat="1" x14ac:dyDescent="0.3">
      <c r="A58" s="1019"/>
      <c r="B58" s="1019"/>
      <c r="C58" s="1019"/>
      <c r="D58" s="1020"/>
      <c r="E58" s="1020"/>
      <c r="F58" s="107" t="s">
        <v>23</v>
      </c>
      <c r="G58" s="41" t="s">
        <v>24</v>
      </c>
    </row>
    <row r="59" spans="1:7" ht="30" customHeight="1" x14ac:dyDescent="0.3">
      <c r="A59" s="49">
        <v>7528</v>
      </c>
      <c r="B59" s="108" t="s">
        <v>1</v>
      </c>
      <c r="C59" s="77" t="s">
        <v>1130</v>
      </c>
      <c r="D59" s="78" t="s">
        <v>11</v>
      </c>
      <c r="E59" s="109">
        <v>1</v>
      </c>
      <c r="F59" s="46"/>
      <c r="G59" s="47">
        <f t="shared" ref="G59:G65" si="3">TRUNC(E59*F59,2)</f>
        <v>0</v>
      </c>
    </row>
    <row r="60" spans="1:7" s="51" customFormat="1" ht="30" customHeight="1" x14ac:dyDescent="0.3">
      <c r="A60" s="49">
        <v>939</v>
      </c>
      <c r="B60" s="108" t="s">
        <v>1</v>
      </c>
      <c r="C60" s="77" t="s">
        <v>1123</v>
      </c>
      <c r="D60" s="78" t="s">
        <v>611</v>
      </c>
      <c r="E60" s="109">
        <v>18</v>
      </c>
      <c r="F60" s="46"/>
      <c r="G60" s="47">
        <f t="shared" si="3"/>
        <v>0</v>
      </c>
    </row>
    <row r="61" spans="1:7" s="51" customFormat="1" ht="30" customHeight="1" x14ac:dyDescent="0.3">
      <c r="A61" s="49">
        <v>1872</v>
      </c>
      <c r="B61" s="108" t="s">
        <v>1</v>
      </c>
      <c r="C61" s="77" t="s">
        <v>1129</v>
      </c>
      <c r="D61" s="78" t="s">
        <v>11</v>
      </c>
      <c r="E61" s="109">
        <v>1</v>
      </c>
      <c r="F61" s="46"/>
      <c r="G61" s="47">
        <f t="shared" si="3"/>
        <v>0</v>
      </c>
    </row>
    <row r="62" spans="1:7" s="51" customFormat="1" ht="30" customHeight="1" x14ac:dyDescent="0.3">
      <c r="A62" s="49">
        <v>2674</v>
      </c>
      <c r="B62" s="108" t="s">
        <v>1</v>
      </c>
      <c r="C62" s="77" t="s">
        <v>1131</v>
      </c>
      <c r="D62" s="78" t="s">
        <v>611</v>
      </c>
      <c r="E62" s="109">
        <v>6</v>
      </c>
      <c r="F62" s="46"/>
      <c r="G62" s="47">
        <f t="shared" si="3"/>
        <v>0</v>
      </c>
    </row>
    <row r="63" spans="1:7" ht="24.9" customHeight="1" x14ac:dyDescent="0.3">
      <c r="A63" s="49">
        <v>20111</v>
      </c>
      <c r="B63" s="108" t="s">
        <v>1</v>
      </c>
      <c r="C63" s="77" t="s">
        <v>1126</v>
      </c>
      <c r="D63" s="78" t="s">
        <v>11</v>
      </c>
      <c r="E63" s="109">
        <v>0.15</v>
      </c>
      <c r="F63" s="46"/>
      <c r="G63" s="47">
        <f t="shared" si="3"/>
        <v>0</v>
      </c>
    </row>
    <row r="64" spans="1:7" ht="24.9" customHeight="1" x14ac:dyDescent="0.3">
      <c r="A64" s="49">
        <v>88264</v>
      </c>
      <c r="B64" s="108" t="s">
        <v>0</v>
      </c>
      <c r="C64" s="77" t="s">
        <v>1127</v>
      </c>
      <c r="D64" s="78" t="s">
        <v>1101</v>
      </c>
      <c r="E64" s="109">
        <v>5</v>
      </c>
      <c r="F64" s="46"/>
      <c r="G64" s="47">
        <f t="shared" si="3"/>
        <v>0</v>
      </c>
    </row>
    <row r="65" spans="1:7" ht="24.9" customHeight="1" x14ac:dyDescent="0.3">
      <c r="A65" s="49">
        <v>88316</v>
      </c>
      <c r="B65" s="108" t="s">
        <v>0</v>
      </c>
      <c r="C65" s="77" t="s">
        <v>1103</v>
      </c>
      <c r="D65" s="78" t="s">
        <v>1101</v>
      </c>
      <c r="E65" s="109">
        <v>4</v>
      </c>
      <c r="F65" s="46"/>
      <c r="G65" s="47">
        <f t="shared" si="3"/>
        <v>0</v>
      </c>
    </row>
    <row r="66" spans="1:7" x14ac:dyDescent="0.3">
      <c r="A66" s="1014" t="s">
        <v>25</v>
      </c>
      <c r="B66" s="1014"/>
      <c r="C66" s="1014"/>
      <c r="D66" s="1014"/>
      <c r="E66" s="1014"/>
      <c r="F66" s="1014"/>
      <c r="G66" s="50">
        <f>SUM(G59:G65)</f>
        <v>0</v>
      </c>
    </row>
  </sheetData>
  <mergeCells count="29">
    <mergeCell ref="A5:G5"/>
    <mergeCell ref="C6:E7"/>
    <mergeCell ref="A9:A10"/>
    <mergeCell ref="B9:B10"/>
    <mergeCell ref="C9:C10"/>
    <mergeCell ref="D9:D10"/>
    <mergeCell ref="E9:E10"/>
    <mergeCell ref="A28:F28"/>
    <mergeCell ref="C30:E31"/>
    <mergeCell ref="A33:A34"/>
    <mergeCell ref="B33:B34"/>
    <mergeCell ref="C33:C34"/>
    <mergeCell ref="D33:D34"/>
    <mergeCell ref="E33:E34"/>
    <mergeCell ref="A41:F41"/>
    <mergeCell ref="C43:E44"/>
    <mergeCell ref="A46:A47"/>
    <mergeCell ref="B46:B47"/>
    <mergeCell ref="C46:C47"/>
    <mergeCell ref="D46:D47"/>
    <mergeCell ref="E46:E47"/>
    <mergeCell ref="A66:F66"/>
    <mergeCell ref="A52:F52"/>
    <mergeCell ref="C54:E55"/>
    <mergeCell ref="A57:A58"/>
    <mergeCell ref="B57:B58"/>
    <mergeCell ref="C57:C58"/>
    <mergeCell ref="D57:D58"/>
    <mergeCell ref="E57:E58"/>
  </mergeCells>
  <dataValidations count="1">
    <dataValidation type="list" allowBlank="1" showInputMessage="1" showErrorMessage="1" sqref="B35:B40 B11:B27 B48:B51 B59:B65">
      <formula1>$J$1:$J$9</formula1>
    </dataValidation>
  </dataValidations>
  <printOptions horizontalCentered="1"/>
  <pageMargins left="0.59055118110236227" right="0.59055118110236227" top="1.7716535433070868" bottom="0.78740157480314965" header="0" footer="0"/>
  <pageSetup paperSize="9" scale="61" fitToHeight="100" orientation="landscape" r:id="rId1"/>
  <headerFooter scaleWithDoc="0">
    <oddHeader>&amp;L&amp;G</oddHeader>
  </headerFooter>
  <rowBreaks count="2" manualBreakCount="2">
    <brk id="28" max="6" man="1"/>
    <brk id="53" max="6" man="1"/>
  </row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0"/>
  <sheetViews>
    <sheetView showGridLines="0" view="pageBreakPreview" topLeftCell="A11" zoomScale="70" zoomScaleNormal="85" zoomScaleSheetLayoutView="70" workbookViewId="0">
      <selection activeCell="K20" sqref="K20:K23"/>
    </sheetView>
  </sheetViews>
  <sheetFormatPr defaultColWidth="11.44140625" defaultRowHeight="13.8" x14ac:dyDescent="0.3"/>
  <cols>
    <col min="1" max="1" width="24.88671875" style="86" customWidth="1"/>
    <col min="2" max="2" width="23.88671875" style="86" customWidth="1"/>
    <col min="3" max="3" width="69.109375" style="86" customWidth="1"/>
    <col min="4" max="4" width="16" style="86" bestFit="1" customWidth="1"/>
    <col min="5" max="5" width="15.33203125" style="86" customWidth="1"/>
    <col min="6" max="6" width="16.5546875" style="86" customWidth="1"/>
    <col min="7" max="7" width="15.33203125" style="86" customWidth="1"/>
    <col min="8" max="8" width="16.5546875" style="86" customWidth="1"/>
    <col min="9" max="9" width="10.6640625" style="86" bestFit="1" customWidth="1"/>
    <col min="10" max="10" width="8.33203125" style="86" customWidth="1"/>
    <col min="11" max="11" width="14.88671875" style="86" customWidth="1"/>
    <col min="12" max="12" width="22" style="86" customWidth="1"/>
    <col min="13" max="13" width="14.88671875" style="86" customWidth="1"/>
    <col min="14" max="14" width="51.88671875" style="86" customWidth="1"/>
    <col min="15" max="15" width="14.33203125" style="53" customWidth="1"/>
    <col min="16" max="16" width="11.44140625" style="53"/>
    <col min="17" max="17" width="25.5546875" style="53" bestFit="1" customWidth="1"/>
    <col min="18" max="241" width="11.44140625" style="53"/>
    <col min="242" max="242" width="0.6640625" style="53" customWidth="1"/>
    <col min="243" max="243" width="15.109375" style="53" customWidth="1"/>
    <col min="244" max="244" width="0.6640625" style="53" customWidth="1"/>
    <col min="245" max="245" width="56.109375" style="53" customWidth="1"/>
    <col min="246" max="246" width="0.6640625" style="53" customWidth="1"/>
    <col min="247" max="247" width="9.109375" style="53" customWidth="1"/>
    <col min="248" max="248" width="6" style="53" customWidth="1"/>
    <col min="249" max="249" width="0.6640625" style="53" customWidth="1"/>
    <col min="250" max="250" width="7.109375" style="53" customWidth="1"/>
    <col min="251" max="251" width="6.5546875" style="53" customWidth="1"/>
    <col min="252" max="252" width="0.6640625" style="53" customWidth="1"/>
    <col min="253" max="253" width="7.88671875" style="53" customWidth="1"/>
    <col min="254" max="254" width="10.5546875" style="53" customWidth="1"/>
    <col min="255" max="255" width="0.6640625" style="53" customWidth="1"/>
    <col min="256" max="497" width="11.44140625" style="53"/>
    <col min="498" max="498" width="0.6640625" style="53" customWidth="1"/>
    <col min="499" max="499" width="15.109375" style="53" customWidth="1"/>
    <col min="500" max="500" width="0.6640625" style="53" customWidth="1"/>
    <col min="501" max="501" width="56.109375" style="53" customWidth="1"/>
    <col min="502" max="502" width="0.6640625" style="53" customWidth="1"/>
    <col min="503" max="503" width="9.109375" style="53" customWidth="1"/>
    <col min="504" max="504" width="6" style="53" customWidth="1"/>
    <col min="505" max="505" width="0.6640625" style="53" customWidth="1"/>
    <col min="506" max="506" width="7.109375" style="53" customWidth="1"/>
    <col min="507" max="507" width="6.5546875" style="53" customWidth="1"/>
    <col min="508" max="508" width="0.6640625" style="53" customWidth="1"/>
    <col min="509" max="509" width="7.88671875" style="53" customWidth="1"/>
    <col min="510" max="510" width="10.5546875" style="53" customWidth="1"/>
    <col min="511" max="511" width="0.6640625" style="53" customWidth="1"/>
    <col min="512" max="753" width="11.44140625" style="53"/>
    <col min="754" max="754" width="0.6640625" style="53" customWidth="1"/>
    <col min="755" max="755" width="15.109375" style="53" customWidth="1"/>
    <col min="756" max="756" width="0.6640625" style="53" customWidth="1"/>
    <col min="757" max="757" width="56.109375" style="53" customWidth="1"/>
    <col min="758" max="758" width="0.6640625" style="53" customWidth="1"/>
    <col min="759" max="759" width="9.109375" style="53" customWidth="1"/>
    <col min="760" max="760" width="6" style="53" customWidth="1"/>
    <col min="761" max="761" width="0.6640625" style="53" customWidth="1"/>
    <col min="762" max="762" width="7.109375" style="53" customWidth="1"/>
    <col min="763" max="763" width="6.5546875" style="53" customWidth="1"/>
    <col min="764" max="764" width="0.6640625" style="53" customWidth="1"/>
    <col min="765" max="765" width="7.88671875" style="53" customWidth="1"/>
    <col min="766" max="766" width="10.5546875" style="53" customWidth="1"/>
    <col min="767" max="767" width="0.6640625" style="53" customWidth="1"/>
    <col min="768" max="1009" width="11.44140625" style="53"/>
    <col min="1010" max="1010" width="0.6640625" style="53" customWidth="1"/>
    <col min="1011" max="1011" width="15.109375" style="53" customWidth="1"/>
    <col min="1012" max="1012" width="0.6640625" style="53" customWidth="1"/>
    <col min="1013" max="1013" width="56.109375" style="53" customWidth="1"/>
    <col min="1014" max="1014" width="0.6640625" style="53" customWidth="1"/>
    <col min="1015" max="1015" width="9.109375" style="53" customWidth="1"/>
    <col min="1016" max="1016" width="6" style="53" customWidth="1"/>
    <col min="1017" max="1017" width="0.6640625" style="53" customWidth="1"/>
    <col min="1018" max="1018" width="7.109375" style="53" customWidth="1"/>
    <col min="1019" max="1019" width="6.5546875" style="53" customWidth="1"/>
    <col min="1020" max="1020" width="0.6640625" style="53" customWidth="1"/>
    <col min="1021" max="1021" width="7.88671875" style="53" customWidth="1"/>
    <col min="1022" max="1022" width="10.5546875" style="53" customWidth="1"/>
    <col min="1023" max="1023" width="0.6640625" style="53" customWidth="1"/>
    <col min="1024" max="1265" width="11.44140625" style="53"/>
    <col min="1266" max="1266" width="0.6640625" style="53" customWidth="1"/>
    <col min="1267" max="1267" width="15.109375" style="53" customWidth="1"/>
    <col min="1268" max="1268" width="0.6640625" style="53" customWidth="1"/>
    <col min="1269" max="1269" width="56.109375" style="53" customWidth="1"/>
    <col min="1270" max="1270" width="0.6640625" style="53" customWidth="1"/>
    <col min="1271" max="1271" width="9.109375" style="53" customWidth="1"/>
    <col min="1272" max="1272" width="6" style="53" customWidth="1"/>
    <col min="1273" max="1273" width="0.6640625" style="53" customWidth="1"/>
    <col min="1274" max="1274" width="7.109375" style="53" customWidth="1"/>
    <col min="1275" max="1275" width="6.5546875" style="53" customWidth="1"/>
    <col min="1276" max="1276" width="0.6640625" style="53" customWidth="1"/>
    <col min="1277" max="1277" width="7.88671875" style="53" customWidth="1"/>
    <col min="1278" max="1278" width="10.5546875" style="53" customWidth="1"/>
    <col min="1279" max="1279" width="0.6640625" style="53" customWidth="1"/>
    <col min="1280" max="1521" width="11.44140625" style="53"/>
    <col min="1522" max="1522" width="0.6640625" style="53" customWidth="1"/>
    <col min="1523" max="1523" width="15.109375" style="53" customWidth="1"/>
    <col min="1524" max="1524" width="0.6640625" style="53" customWidth="1"/>
    <col min="1525" max="1525" width="56.109375" style="53" customWidth="1"/>
    <col min="1526" max="1526" width="0.6640625" style="53" customWidth="1"/>
    <col min="1527" max="1527" width="9.109375" style="53" customWidth="1"/>
    <col min="1528" max="1528" width="6" style="53" customWidth="1"/>
    <col min="1529" max="1529" width="0.6640625" style="53" customWidth="1"/>
    <col min="1530" max="1530" width="7.109375" style="53" customWidth="1"/>
    <col min="1531" max="1531" width="6.5546875" style="53" customWidth="1"/>
    <col min="1532" max="1532" width="0.6640625" style="53" customWidth="1"/>
    <col min="1533" max="1533" width="7.88671875" style="53" customWidth="1"/>
    <col min="1534" max="1534" width="10.5546875" style="53" customWidth="1"/>
    <col min="1535" max="1535" width="0.6640625" style="53" customWidth="1"/>
    <col min="1536" max="1777" width="11.44140625" style="53"/>
    <col min="1778" max="1778" width="0.6640625" style="53" customWidth="1"/>
    <col min="1779" max="1779" width="15.109375" style="53" customWidth="1"/>
    <col min="1780" max="1780" width="0.6640625" style="53" customWidth="1"/>
    <col min="1781" max="1781" width="56.109375" style="53" customWidth="1"/>
    <col min="1782" max="1782" width="0.6640625" style="53" customWidth="1"/>
    <col min="1783" max="1783" width="9.109375" style="53" customWidth="1"/>
    <col min="1784" max="1784" width="6" style="53" customWidth="1"/>
    <col min="1785" max="1785" width="0.6640625" style="53" customWidth="1"/>
    <col min="1786" max="1786" width="7.109375" style="53" customWidth="1"/>
    <col min="1787" max="1787" width="6.5546875" style="53" customWidth="1"/>
    <col min="1788" max="1788" width="0.6640625" style="53" customWidth="1"/>
    <col min="1789" max="1789" width="7.88671875" style="53" customWidth="1"/>
    <col min="1790" max="1790" width="10.5546875" style="53" customWidth="1"/>
    <col min="1791" max="1791" width="0.6640625" style="53" customWidth="1"/>
    <col min="1792" max="2033" width="11.44140625" style="53"/>
    <col min="2034" max="2034" width="0.6640625" style="53" customWidth="1"/>
    <col min="2035" max="2035" width="15.109375" style="53" customWidth="1"/>
    <col min="2036" max="2036" width="0.6640625" style="53" customWidth="1"/>
    <col min="2037" max="2037" width="56.109375" style="53" customWidth="1"/>
    <col min="2038" max="2038" width="0.6640625" style="53" customWidth="1"/>
    <col min="2039" max="2039" width="9.109375" style="53" customWidth="1"/>
    <col min="2040" max="2040" width="6" style="53" customWidth="1"/>
    <col min="2041" max="2041" width="0.6640625" style="53" customWidth="1"/>
    <col min="2042" max="2042" width="7.109375" style="53" customWidth="1"/>
    <col min="2043" max="2043" width="6.5546875" style="53" customWidth="1"/>
    <col min="2044" max="2044" width="0.6640625" style="53" customWidth="1"/>
    <col min="2045" max="2045" width="7.88671875" style="53" customWidth="1"/>
    <col min="2046" max="2046" width="10.5546875" style="53" customWidth="1"/>
    <col min="2047" max="2047" width="0.6640625" style="53" customWidth="1"/>
    <col min="2048" max="2289" width="11.44140625" style="53"/>
    <col min="2290" max="2290" width="0.6640625" style="53" customWidth="1"/>
    <col min="2291" max="2291" width="15.109375" style="53" customWidth="1"/>
    <col min="2292" max="2292" width="0.6640625" style="53" customWidth="1"/>
    <col min="2293" max="2293" width="56.109375" style="53" customWidth="1"/>
    <col min="2294" max="2294" width="0.6640625" style="53" customWidth="1"/>
    <col min="2295" max="2295" width="9.109375" style="53" customWidth="1"/>
    <col min="2296" max="2296" width="6" style="53" customWidth="1"/>
    <col min="2297" max="2297" width="0.6640625" style="53" customWidth="1"/>
    <col min="2298" max="2298" width="7.109375" style="53" customWidth="1"/>
    <col min="2299" max="2299" width="6.5546875" style="53" customWidth="1"/>
    <col min="2300" max="2300" width="0.6640625" style="53" customWidth="1"/>
    <col min="2301" max="2301" width="7.88671875" style="53" customWidth="1"/>
    <col min="2302" max="2302" width="10.5546875" style="53" customWidth="1"/>
    <col min="2303" max="2303" width="0.6640625" style="53" customWidth="1"/>
    <col min="2304" max="2545" width="11.44140625" style="53"/>
    <col min="2546" max="2546" width="0.6640625" style="53" customWidth="1"/>
    <col min="2547" max="2547" width="15.109375" style="53" customWidth="1"/>
    <col min="2548" max="2548" width="0.6640625" style="53" customWidth="1"/>
    <col min="2549" max="2549" width="56.109375" style="53" customWidth="1"/>
    <col min="2550" max="2550" width="0.6640625" style="53" customWidth="1"/>
    <col min="2551" max="2551" width="9.109375" style="53" customWidth="1"/>
    <col min="2552" max="2552" width="6" style="53" customWidth="1"/>
    <col min="2553" max="2553" width="0.6640625" style="53" customWidth="1"/>
    <col min="2554" max="2554" width="7.109375" style="53" customWidth="1"/>
    <col min="2555" max="2555" width="6.5546875" style="53" customWidth="1"/>
    <col min="2556" max="2556" width="0.6640625" style="53" customWidth="1"/>
    <col min="2557" max="2557" width="7.88671875" style="53" customWidth="1"/>
    <col min="2558" max="2558" width="10.5546875" style="53" customWidth="1"/>
    <col min="2559" max="2559" width="0.6640625" style="53" customWidth="1"/>
    <col min="2560" max="2801" width="11.44140625" style="53"/>
    <col min="2802" max="2802" width="0.6640625" style="53" customWidth="1"/>
    <col min="2803" max="2803" width="15.109375" style="53" customWidth="1"/>
    <col min="2804" max="2804" width="0.6640625" style="53" customWidth="1"/>
    <col min="2805" max="2805" width="56.109375" style="53" customWidth="1"/>
    <col min="2806" max="2806" width="0.6640625" style="53" customWidth="1"/>
    <col min="2807" max="2807" width="9.109375" style="53" customWidth="1"/>
    <col min="2808" max="2808" width="6" style="53" customWidth="1"/>
    <col min="2809" max="2809" width="0.6640625" style="53" customWidth="1"/>
    <col min="2810" max="2810" width="7.109375" style="53" customWidth="1"/>
    <col min="2811" max="2811" width="6.5546875" style="53" customWidth="1"/>
    <col min="2812" max="2812" width="0.6640625" style="53" customWidth="1"/>
    <col min="2813" max="2813" width="7.88671875" style="53" customWidth="1"/>
    <col min="2814" max="2814" width="10.5546875" style="53" customWidth="1"/>
    <col min="2815" max="2815" width="0.6640625" style="53" customWidth="1"/>
    <col min="2816" max="3057" width="11.44140625" style="53"/>
    <col min="3058" max="3058" width="0.6640625" style="53" customWidth="1"/>
    <col min="3059" max="3059" width="15.109375" style="53" customWidth="1"/>
    <col min="3060" max="3060" width="0.6640625" style="53" customWidth="1"/>
    <col min="3061" max="3061" width="56.109375" style="53" customWidth="1"/>
    <col min="3062" max="3062" width="0.6640625" style="53" customWidth="1"/>
    <col min="3063" max="3063" width="9.109375" style="53" customWidth="1"/>
    <col min="3064" max="3064" width="6" style="53" customWidth="1"/>
    <col min="3065" max="3065" width="0.6640625" style="53" customWidth="1"/>
    <col min="3066" max="3066" width="7.109375" style="53" customWidth="1"/>
    <col min="3067" max="3067" width="6.5546875" style="53" customWidth="1"/>
    <col min="3068" max="3068" width="0.6640625" style="53" customWidth="1"/>
    <col min="3069" max="3069" width="7.88671875" style="53" customWidth="1"/>
    <col min="3070" max="3070" width="10.5546875" style="53" customWidth="1"/>
    <col min="3071" max="3071" width="0.6640625" style="53" customWidth="1"/>
    <col min="3072" max="3313" width="11.44140625" style="53"/>
    <col min="3314" max="3314" width="0.6640625" style="53" customWidth="1"/>
    <col min="3315" max="3315" width="15.109375" style="53" customWidth="1"/>
    <col min="3316" max="3316" width="0.6640625" style="53" customWidth="1"/>
    <col min="3317" max="3317" width="56.109375" style="53" customWidth="1"/>
    <col min="3318" max="3318" width="0.6640625" style="53" customWidth="1"/>
    <col min="3319" max="3319" width="9.109375" style="53" customWidth="1"/>
    <col min="3320" max="3320" width="6" style="53" customWidth="1"/>
    <col min="3321" max="3321" width="0.6640625" style="53" customWidth="1"/>
    <col min="3322" max="3322" width="7.109375" style="53" customWidth="1"/>
    <col min="3323" max="3323" width="6.5546875" style="53" customWidth="1"/>
    <col min="3324" max="3324" width="0.6640625" style="53" customWidth="1"/>
    <col min="3325" max="3325" width="7.88671875" style="53" customWidth="1"/>
    <col min="3326" max="3326" width="10.5546875" style="53" customWidth="1"/>
    <col min="3327" max="3327" width="0.6640625" style="53" customWidth="1"/>
    <col min="3328" max="3569" width="11.44140625" style="53"/>
    <col min="3570" max="3570" width="0.6640625" style="53" customWidth="1"/>
    <col min="3571" max="3571" width="15.109375" style="53" customWidth="1"/>
    <col min="3572" max="3572" width="0.6640625" style="53" customWidth="1"/>
    <col min="3573" max="3573" width="56.109375" style="53" customWidth="1"/>
    <col min="3574" max="3574" width="0.6640625" style="53" customWidth="1"/>
    <col min="3575" max="3575" width="9.109375" style="53" customWidth="1"/>
    <col min="3576" max="3576" width="6" style="53" customWidth="1"/>
    <col min="3577" max="3577" width="0.6640625" style="53" customWidth="1"/>
    <col min="3578" max="3578" width="7.109375" style="53" customWidth="1"/>
    <col min="3579" max="3579" width="6.5546875" style="53" customWidth="1"/>
    <col min="3580" max="3580" width="0.6640625" style="53" customWidth="1"/>
    <col min="3581" max="3581" width="7.88671875" style="53" customWidth="1"/>
    <col min="3582" max="3582" width="10.5546875" style="53" customWidth="1"/>
    <col min="3583" max="3583" width="0.6640625" style="53" customWidth="1"/>
    <col min="3584" max="3825" width="11.44140625" style="53"/>
    <col min="3826" max="3826" width="0.6640625" style="53" customWidth="1"/>
    <col min="3827" max="3827" width="15.109375" style="53" customWidth="1"/>
    <col min="3828" max="3828" width="0.6640625" style="53" customWidth="1"/>
    <col min="3829" max="3829" width="56.109375" style="53" customWidth="1"/>
    <col min="3830" max="3830" width="0.6640625" style="53" customWidth="1"/>
    <col min="3831" max="3831" width="9.109375" style="53" customWidth="1"/>
    <col min="3832" max="3832" width="6" style="53" customWidth="1"/>
    <col min="3833" max="3833" width="0.6640625" style="53" customWidth="1"/>
    <col min="3834" max="3834" width="7.109375" style="53" customWidth="1"/>
    <col min="3835" max="3835" width="6.5546875" style="53" customWidth="1"/>
    <col min="3836" max="3836" width="0.6640625" style="53" customWidth="1"/>
    <col min="3837" max="3837" width="7.88671875" style="53" customWidth="1"/>
    <col min="3838" max="3838" width="10.5546875" style="53" customWidth="1"/>
    <col min="3839" max="3839" width="0.6640625" style="53" customWidth="1"/>
    <col min="3840" max="4081" width="11.44140625" style="53"/>
    <col min="4082" max="4082" width="0.6640625" style="53" customWidth="1"/>
    <col min="4083" max="4083" width="15.109375" style="53" customWidth="1"/>
    <col min="4084" max="4084" width="0.6640625" style="53" customWidth="1"/>
    <col min="4085" max="4085" width="56.109375" style="53" customWidth="1"/>
    <col min="4086" max="4086" width="0.6640625" style="53" customWidth="1"/>
    <col min="4087" max="4087" width="9.109375" style="53" customWidth="1"/>
    <col min="4088" max="4088" width="6" style="53" customWidth="1"/>
    <col min="4089" max="4089" width="0.6640625" style="53" customWidth="1"/>
    <col min="4090" max="4090" width="7.109375" style="53" customWidth="1"/>
    <col min="4091" max="4091" width="6.5546875" style="53" customWidth="1"/>
    <col min="4092" max="4092" width="0.6640625" style="53" customWidth="1"/>
    <col min="4093" max="4093" width="7.88671875" style="53" customWidth="1"/>
    <col min="4094" max="4094" width="10.5546875" style="53" customWidth="1"/>
    <col min="4095" max="4095" width="0.6640625" style="53" customWidth="1"/>
    <col min="4096" max="4337" width="11.44140625" style="53"/>
    <col min="4338" max="4338" width="0.6640625" style="53" customWidth="1"/>
    <col min="4339" max="4339" width="15.109375" style="53" customWidth="1"/>
    <col min="4340" max="4340" width="0.6640625" style="53" customWidth="1"/>
    <col min="4341" max="4341" width="56.109375" style="53" customWidth="1"/>
    <col min="4342" max="4342" width="0.6640625" style="53" customWidth="1"/>
    <col min="4343" max="4343" width="9.109375" style="53" customWidth="1"/>
    <col min="4344" max="4344" width="6" style="53" customWidth="1"/>
    <col min="4345" max="4345" width="0.6640625" style="53" customWidth="1"/>
    <col min="4346" max="4346" width="7.109375" style="53" customWidth="1"/>
    <col min="4347" max="4347" width="6.5546875" style="53" customWidth="1"/>
    <col min="4348" max="4348" width="0.6640625" style="53" customWidth="1"/>
    <col min="4349" max="4349" width="7.88671875" style="53" customWidth="1"/>
    <col min="4350" max="4350" width="10.5546875" style="53" customWidth="1"/>
    <col min="4351" max="4351" width="0.6640625" style="53" customWidth="1"/>
    <col min="4352" max="4593" width="11.44140625" style="53"/>
    <col min="4594" max="4594" width="0.6640625" style="53" customWidth="1"/>
    <col min="4595" max="4595" width="15.109375" style="53" customWidth="1"/>
    <col min="4596" max="4596" width="0.6640625" style="53" customWidth="1"/>
    <col min="4597" max="4597" width="56.109375" style="53" customWidth="1"/>
    <col min="4598" max="4598" width="0.6640625" style="53" customWidth="1"/>
    <col min="4599" max="4599" width="9.109375" style="53" customWidth="1"/>
    <col min="4600" max="4600" width="6" style="53" customWidth="1"/>
    <col min="4601" max="4601" width="0.6640625" style="53" customWidth="1"/>
    <col min="4602" max="4602" width="7.109375" style="53" customWidth="1"/>
    <col min="4603" max="4603" width="6.5546875" style="53" customWidth="1"/>
    <col min="4604" max="4604" width="0.6640625" style="53" customWidth="1"/>
    <col min="4605" max="4605" width="7.88671875" style="53" customWidth="1"/>
    <col min="4606" max="4606" width="10.5546875" style="53" customWidth="1"/>
    <col min="4607" max="4607" width="0.6640625" style="53" customWidth="1"/>
    <col min="4608" max="4849" width="11.44140625" style="53"/>
    <col min="4850" max="4850" width="0.6640625" style="53" customWidth="1"/>
    <col min="4851" max="4851" width="15.109375" style="53" customWidth="1"/>
    <col min="4852" max="4852" width="0.6640625" style="53" customWidth="1"/>
    <col min="4853" max="4853" width="56.109375" style="53" customWidth="1"/>
    <col min="4854" max="4854" width="0.6640625" style="53" customWidth="1"/>
    <col min="4855" max="4855" width="9.109375" style="53" customWidth="1"/>
    <col min="4856" max="4856" width="6" style="53" customWidth="1"/>
    <col min="4857" max="4857" width="0.6640625" style="53" customWidth="1"/>
    <col min="4858" max="4858" width="7.109375" style="53" customWidth="1"/>
    <col min="4859" max="4859" width="6.5546875" style="53" customWidth="1"/>
    <col min="4860" max="4860" width="0.6640625" style="53" customWidth="1"/>
    <col min="4861" max="4861" width="7.88671875" style="53" customWidth="1"/>
    <col min="4862" max="4862" width="10.5546875" style="53" customWidth="1"/>
    <col min="4863" max="4863" width="0.6640625" style="53" customWidth="1"/>
    <col min="4864" max="5105" width="11.44140625" style="53"/>
    <col min="5106" max="5106" width="0.6640625" style="53" customWidth="1"/>
    <col min="5107" max="5107" width="15.109375" style="53" customWidth="1"/>
    <col min="5108" max="5108" width="0.6640625" style="53" customWidth="1"/>
    <col min="5109" max="5109" width="56.109375" style="53" customWidth="1"/>
    <col min="5110" max="5110" width="0.6640625" style="53" customWidth="1"/>
    <col min="5111" max="5111" width="9.109375" style="53" customWidth="1"/>
    <col min="5112" max="5112" width="6" style="53" customWidth="1"/>
    <col min="5113" max="5113" width="0.6640625" style="53" customWidth="1"/>
    <col min="5114" max="5114" width="7.109375" style="53" customWidth="1"/>
    <col min="5115" max="5115" width="6.5546875" style="53" customWidth="1"/>
    <col min="5116" max="5116" width="0.6640625" style="53" customWidth="1"/>
    <col min="5117" max="5117" width="7.88671875" style="53" customWidth="1"/>
    <col min="5118" max="5118" width="10.5546875" style="53" customWidth="1"/>
    <col min="5119" max="5119" width="0.6640625" style="53" customWidth="1"/>
    <col min="5120" max="5361" width="11.44140625" style="53"/>
    <col min="5362" max="5362" width="0.6640625" style="53" customWidth="1"/>
    <col min="5363" max="5363" width="15.109375" style="53" customWidth="1"/>
    <col min="5364" max="5364" width="0.6640625" style="53" customWidth="1"/>
    <col min="5365" max="5365" width="56.109375" style="53" customWidth="1"/>
    <col min="5366" max="5366" width="0.6640625" style="53" customWidth="1"/>
    <col min="5367" max="5367" width="9.109375" style="53" customWidth="1"/>
    <col min="5368" max="5368" width="6" style="53" customWidth="1"/>
    <col min="5369" max="5369" width="0.6640625" style="53" customWidth="1"/>
    <col min="5370" max="5370" width="7.109375" style="53" customWidth="1"/>
    <col min="5371" max="5371" width="6.5546875" style="53" customWidth="1"/>
    <col min="5372" max="5372" width="0.6640625" style="53" customWidth="1"/>
    <col min="5373" max="5373" width="7.88671875" style="53" customWidth="1"/>
    <col min="5374" max="5374" width="10.5546875" style="53" customWidth="1"/>
    <col min="5375" max="5375" width="0.6640625" style="53" customWidth="1"/>
    <col min="5376" max="5617" width="11.44140625" style="53"/>
    <col min="5618" max="5618" width="0.6640625" style="53" customWidth="1"/>
    <col min="5619" max="5619" width="15.109375" style="53" customWidth="1"/>
    <col min="5620" max="5620" width="0.6640625" style="53" customWidth="1"/>
    <col min="5621" max="5621" width="56.109375" style="53" customWidth="1"/>
    <col min="5622" max="5622" width="0.6640625" style="53" customWidth="1"/>
    <col min="5623" max="5623" width="9.109375" style="53" customWidth="1"/>
    <col min="5624" max="5624" width="6" style="53" customWidth="1"/>
    <col min="5625" max="5625" width="0.6640625" style="53" customWidth="1"/>
    <col min="5626" max="5626" width="7.109375" style="53" customWidth="1"/>
    <col min="5627" max="5627" width="6.5546875" style="53" customWidth="1"/>
    <col min="5628" max="5628" width="0.6640625" style="53" customWidth="1"/>
    <col min="5629" max="5629" width="7.88671875" style="53" customWidth="1"/>
    <col min="5630" max="5630" width="10.5546875" style="53" customWidth="1"/>
    <col min="5631" max="5631" width="0.6640625" style="53" customWidth="1"/>
    <col min="5632" max="5873" width="11.44140625" style="53"/>
    <col min="5874" max="5874" width="0.6640625" style="53" customWidth="1"/>
    <col min="5875" max="5875" width="15.109375" style="53" customWidth="1"/>
    <col min="5876" max="5876" width="0.6640625" style="53" customWidth="1"/>
    <col min="5877" max="5877" width="56.109375" style="53" customWidth="1"/>
    <col min="5878" max="5878" width="0.6640625" style="53" customWidth="1"/>
    <col min="5879" max="5879" width="9.109375" style="53" customWidth="1"/>
    <col min="5880" max="5880" width="6" style="53" customWidth="1"/>
    <col min="5881" max="5881" width="0.6640625" style="53" customWidth="1"/>
    <col min="5882" max="5882" width="7.109375" style="53" customWidth="1"/>
    <col min="5883" max="5883" width="6.5546875" style="53" customWidth="1"/>
    <col min="5884" max="5884" width="0.6640625" style="53" customWidth="1"/>
    <col min="5885" max="5885" width="7.88671875" style="53" customWidth="1"/>
    <col min="5886" max="5886" width="10.5546875" style="53" customWidth="1"/>
    <col min="5887" max="5887" width="0.6640625" style="53" customWidth="1"/>
    <col min="5888" max="6129" width="11.44140625" style="53"/>
    <col min="6130" max="6130" width="0.6640625" style="53" customWidth="1"/>
    <col min="6131" max="6131" width="15.109375" style="53" customWidth="1"/>
    <col min="6132" max="6132" width="0.6640625" style="53" customWidth="1"/>
    <col min="6133" max="6133" width="56.109375" style="53" customWidth="1"/>
    <col min="6134" max="6134" width="0.6640625" style="53" customWidth="1"/>
    <col min="6135" max="6135" width="9.109375" style="53" customWidth="1"/>
    <col min="6136" max="6136" width="6" style="53" customWidth="1"/>
    <col min="6137" max="6137" width="0.6640625" style="53" customWidth="1"/>
    <col min="6138" max="6138" width="7.109375" style="53" customWidth="1"/>
    <col min="6139" max="6139" width="6.5546875" style="53" customWidth="1"/>
    <col min="6140" max="6140" width="0.6640625" style="53" customWidth="1"/>
    <col min="6141" max="6141" width="7.88671875" style="53" customWidth="1"/>
    <col min="6142" max="6142" width="10.5546875" style="53" customWidth="1"/>
    <col min="6143" max="6143" width="0.6640625" style="53" customWidth="1"/>
    <col min="6144" max="6385" width="11.44140625" style="53"/>
    <col min="6386" max="6386" width="0.6640625" style="53" customWidth="1"/>
    <col min="6387" max="6387" width="15.109375" style="53" customWidth="1"/>
    <col min="6388" max="6388" width="0.6640625" style="53" customWidth="1"/>
    <col min="6389" max="6389" width="56.109375" style="53" customWidth="1"/>
    <col min="6390" max="6390" width="0.6640625" style="53" customWidth="1"/>
    <col min="6391" max="6391" width="9.109375" style="53" customWidth="1"/>
    <col min="6392" max="6392" width="6" style="53" customWidth="1"/>
    <col min="6393" max="6393" width="0.6640625" style="53" customWidth="1"/>
    <col min="6394" max="6394" width="7.109375" style="53" customWidth="1"/>
    <col min="6395" max="6395" width="6.5546875" style="53" customWidth="1"/>
    <col min="6396" max="6396" width="0.6640625" style="53" customWidth="1"/>
    <col min="6397" max="6397" width="7.88671875" style="53" customWidth="1"/>
    <col min="6398" max="6398" width="10.5546875" style="53" customWidth="1"/>
    <col min="6399" max="6399" width="0.6640625" style="53" customWidth="1"/>
    <col min="6400" max="6641" width="11.44140625" style="53"/>
    <col min="6642" max="6642" width="0.6640625" style="53" customWidth="1"/>
    <col min="6643" max="6643" width="15.109375" style="53" customWidth="1"/>
    <col min="6644" max="6644" width="0.6640625" style="53" customWidth="1"/>
    <col min="6645" max="6645" width="56.109375" style="53" customWidth="1"/>
    <col min="6646" max="6646" width="0.6640625" style="53" customWidth="1"/>
    <col min="6647" max="6647" width="9.109375" style="53" customWidth="1"/>
    <col min="6648" max="6648" width="6" style="53" customWidth="1"/>
    <col min="6649" max="6649" width="0.6640625" style="53" customWidth="1"/>
    <col min="6650" max="6650" width="7.109375" style="53" customWidth="1"/>
    <col min="6651" max="6651" width="6.5546875" style="53" customWidth="1"/>
    <col min="6652" max="6652" width="0.6640625" style="53" customWidth="1"/>
    <col min="6653" max="6653" width="7.88671875" style="53" customWidth="1"/>
    <col min="6654" max="6654" width="10.5546875" style="53" customWidth="1"/>
    <col min="6655" max="6655" width="0.6640625" style="53" customWidth="1"/>
    <col min="6656" max="6897" width="11.44140625" style="53"/>
    <col min="6898" max="6898" width="0.6640625" style="53" customWidth="1"/>
    <col min="6899" max="6899" width="15.109375" style="53" customWidth="1"/>
    <col min="6900" max="6900" width="0.6640625" style="53" customWidth="1"/>
    <col min="6901" max="6901" width="56.109375" style="53" customWidth="1"/>
    <col min="6902" max="6902" width="0.6640625" style="53" customWidth="1"/>
    <col min="6903" max="6903" width="9.109375" style="53" customWidth="1"/>
    <col min="6904" max="6904" width="6" style="53" customWidth="1"/>
    <col min="6905" max="6905" width="0.6640625" style="53" customWidth="1"/>
    <col min="6906" max="6906" width="7.109375" style="53" customWidth="1"/>
    <col min="6907" max="6907" width="6.5546875" style="53" customWidth="1"/>
    <col min="6908" max="6908" width="0.6640625" style="53" customWidth="1"/>
    <col min="6909" max="6909" width="7.88671875" style="53" customWidth="1"/>
    <col min="6910" max="6910" width="10.5546875" style="53" customWidth="1"/>
    <col min="6911" max="6911" width="0.6640625" style="53" customWidth="1"/>
    <col min="6912" max="7153" width="11.44140625" style="53"/>
    <col min="7154" max="7154" width="0.6640625" style="53" customWidth="1"/>
    <col min="7155" max="7155" width="15.109375" style="53" customWidth="1"/>
    <col min="7156" max="7156" width="0.6640625" style="53" customWidth="1"/>
    <col min="7157" max="7157" width="56.109375" style="53" customWidth="1"/>
    <col min="7158" max="7158" width="0.6640625" style="53" customWidth="1"/>
    <col min="7159" max="7159" width="9.109375" style="53" customWidth="1"/>
    <col min="7160" max="7160" width="6" style="53" customWidth="1"/>
    <col min="7161" max="7161" width="0.6640625" style="53" customWidth="1"/>
    <col min="7162" max="7162" width="7.109375" style="53" customWidth="1"/>
    <col min="7163" max="7163" width="6.5546875" style="53" customWidth="1"/>
    <col min="7164" max="7164" width="0.6640625" style="53" customWidth="1"/>
    <col min="7165" max="7165" width="7.88671875" style="53" customWidth="1"/>
    <col min="7166" max="7166" width="10.5546875" style="53" customWidth="1"/>
    <col min="7167" max="7167" width="0.6640625" style="53" customWidth="1"/>
    <col min="7168" max="7409" width="11.44140625" style="53"/>
    <col min="7410" max="7410" width="0.6640625" style="53" customWidth="1"/>
    <col min="7411" max="7411" width="15.109375" style="53" customWidth="1"/>
    <col min="7412" max="7412" width="0.6640625" style="53" customWidth="1"/>
    <col min="7413" max="7413" width="56.109375" style="53" customWidth="1"/>
    <col min="7414" max="7414" width="0.6640625" style="53" customWidth="1"/>
    <col min="7415" max="7415" width="9.109375" style="53" customWidth="1"/>
    <col min="7416" max="7416" width="6" style="53" customWidth="1"/>
    <col min="7417" max="7417" width="0.6640625" style="53" customWidth="1"/>
    <col min="7418" max="7418" width="7.109375" style="53" customWidth="1"/>
    <col min="7419" max="7419" width="6.5546875" style="53" customWidth="1"/>
    <col min="7420" max="7420" width="0.6640625" style="53" customWidth="1"/>
    <col min="7421" max="7421" width="7.88671875" style="53" customWidth="1"/>
    <col min="7422" max="7422" width="10.5546875" style="53" customWidth="1"/>
    <col min="7423" max="7423" width="0.6640625" style="53" customWidth="1"/>
    <col min="7424" max="7665" width="11.44140625" style="53"/>
    <col min="7666" max="7666" width="0.6640625" style="53" customWidth="1"/>
    <col min="7667" max="7667" width="15.109375" style="53" customWidth="1"/>
    <col min="7668" max="7668" width="0.6640625" style="53" customWidth="1"/>
    <col min="7669" max="7669" width="56.109375" style="53" customWidth="1"/>
    <col min="7670" max="7670" width="0.6640625" style="53" customWidth="1"/>
    <col min="7671" max="7671" width="9.109375" style="53" customWidth="1"/>
    <col min="7672" max="7672" width="6" style="53" customWidth="1"/>
    <col min="7673" max="7673" width="0.6640625" style="53" customWidth="1"/>
    <col min="7674" max="7674" width="7.109375" style="53" customWidth="1"/>
    <col min="7675" max="7675" width="6.5546875" style="53" customWidth="1"/>
    <col min="7676" max="7676" width="0.6640625" style="53" customWidth="1"/>
    <col min="7677" max="7677" width="7.88671875" style="53" customWidth="1"/>
    <col min="7678" max="7678" width="10.5546875" style="53" customWidth="1"/>
    <col min="7679" max="7679" width="0.6640625" style="53" customWidth="1"/>
    <col min="7680" max="7921" width="11.44140625" style="53"/>
    <col min="7922" max="7922" width="0.6640625" style="53" customWidth="1"/>
    <col min="7923" max="7923" width="15.109375" style="53" customWidth="1"/>
    <col min="7924" max="7924" width="0.6640625" style="53" customWidth="1"/>
    <col min="7925" max="7925" width="56.109375" style="53" customWidth="1"/>
    <col min="7926" max="7926" width="0.6640625" style="53" customWidth="1"/>
    <col min="7927" max="7927" width="9.109375" style="53" customWidth="1"/>
    <col min="7928" max="7928" width="6" style="53" customWidth="1"/>
    <col min="7929" max="7929" width="0.6640625" style="53" customWidth="1"/>
    <col min="7930" max="7930" width="7.109375" style="53" customWidth="1"/>
    <col min="7931" max="7931" width="6.5546875" style="53" customWidth="1"/>
    <col min="7932" max="7932" width="0.6640625" style="53" customWidth="1"/>
    <col min="7933" max="7933" width="7.88671875" style="53" customWidth="1"/>
    <col min="7934" max="7934" width="10.5546875" style="53" customWidth="1"/>
    <col min="7935" max="7935" width="0.6640625" style="53" customWidth="1"/>
    <col min="7936" max="8177" width="11.44140625" style="53"/>
    <col min="8178" max="8178" width="0.6640625" style="53" customWidth="1"/>
    <col min="8179" max="8179" width="15.109375" style="53" customWidth="1"/>
    <col min="8180" max="8180" width="0.6640625" style="53" customWidth="1"/>
    <col min="8181" max="8181" width="56.109375" style="53" customWidth="1"/>
    <col min="8182" max="8182" width="0.6640625" style="53" customWidth="1"/>
    <col min="8183" max="8183" width="9.109375" style="53" customWidth="1"/>
    <col min="8184" max="8184" width="6" style="53" customWidth="1"/>
    <col min="8185" max="8185" width="0.6640625" style="53" customWidth="1"/>
    <col min="8186" max="8186" width="7.109375" style="53" customWidth="1"/>
    <col min="8187" max="8187" width="6.5546875" style="53" customWidth="1"/>
    <col min="8188" max="8188" width="0.6640625" style="53" customWidth="1"/>
    <col min="8189" max="8189" width="7.88671875" style="53" customWidth="1"/>
    <col min="8190" max="8190" width="10.5546875" style="53" customWidth="1"/>
    <col min="8191" max="8191" width="0.6640625" style="53" customWidth="1"/>
    <col min="8192" max="8433" width="11.44140625" style="53"/>
    <col min="8434" max="8434" width="0.6640625" style="53" customWidth="1"/>
    <col min="8435" max="8435" width="15.109375" style="53" customWidth="1"/>
    <col min="8436" max="8436" width="0.6640625" style="53" customWidth="1"/>
    <col min="8437" max="8437" width="56.109375" style="53" customWidth="1"/>
    <col min="8438" max="8438" width="0.6640625" style="53" customWidth="1"/>
    <col min="8439" max="8439" width="9.109375" style="53" customWidth="1"/>
    <col min="8440" max="8440" width="6" style="53" customWidth="1"/>
    <col min="8441" max="8441" width="0.6640625" style="53" customWidth="1"/>
    <col min="8442" max="8442" width="7.109375" style="53" customWidth="1"/>
    <col min="8443" max="8443" width="6.5546875" style="53" customWidth="1"/>
    <col min="8444" max="8444" width="0.6640625" style="53" customWidth="1"/>
    <col min="8445" max="8445" width="7.88671875" style="53" customWidth="1"/>
    <col min="8446" max="8446" width="10.5546875" style="53" customWidth="1"/>
    <col min="8447" max="8447" width="0.6640625" style="53" customWidth="1"/>
    <col min="8448" max="8689" width="11.44140625" style="53"/>
    <col min="8690" max="8690" width="0.6640625" style="53" customWidth="1"/>
    <col min="8691" max="8691" width="15.109375" style="53" customWidth="1"/>
    <col min="8692" max="8692" width="0.6640625" style="53" customWidth="1"/>
    <col min="8693" max="8693" width="56.109375" style="53" customWidth="1"/>
    <col min="8694" max="8694" width="0.6640625" style="53" customWidth="1"/>
    <col min="8695" max="8695" width="9.109375" style="53" customWidth="1"/>
    <col min="8696" max="8696" width="6" style="53" customWidth="1"/>
    <col min="8697" max="8697" width="0.6640625" style="53" customWidth="1"/>
    <col min="8698" max="8698" width="7.109375" style="53" customWidth="1"/>
    <col min="8699" max="8699" width="6.5546875" style="53" customWidth="1"/>
    <col min="8700" max="8700" width="0.6640625" style="53" customWidth="1"/>
    <col min="8701" max="8701" width="7.88671875" style="53" customWidth="1"/>
    <col min="8702" max="8702" width="10.5546875" style="53" customWidth="1"/>
    <col min="8703" max="8703" width="0.6640625" style="53" customWidth="1"/>
    <col min="8704" max="8945" width="11.44140625" style="53"/>
    <col min="8946" max="8946" width="0.6640625" style="53" customWidth="1"/>
    <col min="8947" max="8947" width="15.109375" style="53" customWidth="1"/>
    <col min="8948" max="8948" width="0.6640625" style="53" customWidth="1"/>
    <col min="8949" max="8949" width="56.109375" style="53" customWidth="1"/>
    <col min="8950" max="8950" width="0.6640625" style="53" customWidth="1"/>
    <col min="8951" max="8951" width="9.109375" style="53" customWidth="1"/>
    <col min="8952" max="8952" width="6" style="53" customWidth="1"/>
    <col min="8953" max="8953" width="0.6640625" style="53" customWidth="1"/>
    <col min="8954" max="8954" width="7.109375" style="53" customWidth="1"/>
    <col min="8955" max="8955" width="6.5546875" style="53" customWidth="1"/>
    <col min="8956" max="8956" width="0.6640625" style="53" customWidth="1"/>
    <col min="8957" max="8957" width="7.88671875" style="53" customWidth="1"/>
    <col min="8958" max="8958" width="10.5546875" style="53" customWidth="1"/>
    <col min="8959" max="8959" width="0.6640625" style="53" customWidth="1"/>
    <col min="8960" max="9201" width="11.44140625" style="53"/>
    <col min="9202" max="9202" width="0.6640625" style="53" customWidth="1"/>
    <col min="9203" max="9203" width="15.109375" style="53" customWidth="1"/>
    <col min="9204" max="9204" width="0.6640625" style="53" customWidth="1"/>
    <col min="9205" max="9205" width="56.109375" style="53" customWidth="1"/>
    <col min="9206" max="9206" width="0.6640625" style="53" customWidth="1"/>
    <col min="9207" max="9207" width="9.109375" style="53" customWidth="1"/>
    <col min="9208" max="9208" width="6" style="53" customWidth="1"/>
    <col min="9209" max="9209" width="0.6640625" style="53" customWidth="1"/>
    <col min="9210" max="9210" width="7.109375" style="53" customWidth="1"/>
    <col min="9211" max="9211" width="6.5546875" style="53" customWidth="1"/>
    <col min="9212" max="9212" width="0.6640625" style="53" customWidth="1"/>
    <col min="9213" max="9213" width="7.88671875" style="53" customWidth="1"/>
    <col min="9214" max="9214" width="10.5546875" style="53" customWidth="1"/>
    <col min="9215" max="9215" width="0.6640625" style="53" customWidth="1"/>
    <col min="9216" max="9457" width="11.44140625" style="53"/>
    <col min="9458" max="9458" width="0.6640625" style="53" customWidth="1"/>
    <col min="9459" max="9459" width="15.109375" style="53" customWidth="1"/>
    <col min="9460" max="9460" width="0.6640625" style="53" customWidth="1"/>
    <col min="9461" max="9461" width="56.109375" style="53" customWidth="1"/>
    <col min="9462" max="9462" width="0.6640625" style="53" customWidth="1"/>
    <col min="9463" max="9463" width="9.109375" style="53" customWidth="1"/>
    <col min="9464" max="9464" width="6" style="53" customWidth="1"/>
    <col min="9465" max="9465" width="0.6640625" style="53" customWidth="1"/>
    <col min="9466" max="9466" width="7.109375" style="53" customWidth="1"/>
    <col min="9467" max="9467" width="6.5546875" style="53" customWidth="1"/>
    <col min="9468" max="9468" width="0.6640625" style="53" customWidth="1"/>
    <col min="9469" max="9469" width="7.88671875" style="53" customWidth="1"/>
    <col min="9470" max="9470" width="10.5546875" style="53" customWidth="1"/>
    <col min="9471" max="9471" width="0.6640625" style="53" customWidth="1"/>
    <col min="9472" max="9713" width="11.44140625" style="53"/>
    <col min="9714" max="9714" width="0.6640625" style="53" customWidth="1"/>
    <col min="9715" max="9715" width="15.109375" style="53" customWidth="1"/>
    <col min="9716" max="9716" width="0.6640625" style="53" customWidth="1"/>
    <col min="9717" max="9717" width="56.109375" style="53" customWidth="1"/>
    <col min="9718" max="9718" width="0.6640625" style="53" customWidth="1"/>
    <col min="9719" max="9719" width="9.109375" style="53" customWidth="1"/>
    <col min="9720" max="9720" width="6" style="53" customWidth="1"/>
    <col min="9721" max="9721" width="0.6640625" style="53" customWidth="1"/>
    <col min="9722" max="9722" width="7.109375" style="53" customWidth="1"/>
    <col min="9723" max="9723" width="6.5546875" style="53" customWidth="1"/>
    <col min="9724" max="9724" width="0.6640625" style="53" customWidth="1"/>
    <col min="9725" max="9725" width="7.88671875" style="53" customWidth="1"/>
    <col min="9726" max="9726" width="10.5546875" style="53" customWidth="1"/>
    <col min="9727" max="9727" width="0.6640625" style="53" customWidth="1"/>
    <col min="9728" max="9969" width="11.44140625" style="53"/>
    <col min="9970" max="9970" width="0.6640625" style="53" customWidth="1"/>
    <col min="9971" max="9971" width="15.109375" style="53" customWidth="1"/>
    <col min="9972" max="9972" width="0.6640625" style="53" customWidth="1"/>
    <col min="9973" max="9973" width="56.109375" style="53" customWidth="1"/>
    <col min="9974" max="9974" width="0.6640625" style="53" customWidth="1"/>
    <col min="9975" max="9975" width="9.109375" style="53" customWidth="1"/>
    <col min="9976" max="9976" width="6" style="53" customWidth="1"/>
    <col min="9977" max="9977" width="0.6640625" style="53" customWidth="1"/>
    <col min="9978" max="9978" width="7.109375" style="53" customWidth="1"/>
    <col min="9979" max="9979" width="6.5546875" style="53" customWidth="1"/>
    <col min="9980" max="9980" width="0.6640625" style="53" customWidth="1"/>
    <col min="9981" max="9981" width="7.88671875" style="53" customWidth="1"/>
    <col min="9982" max="9982" width="10.5546875" style="53" customWidth="1"/>
    <col min="9983" max="9983" width="0.6640625" style="53" customWidth="1"/>
    <col min="9984" max="10225" width="11.44140625" style="53"/>
    <col min="10226" max="10226" width="0.6640625" style="53" customWidth="1"/>
    <col min="10227" max="10227" width="15.109375" style="53" customWidth="1"/>
    <col min="10228" max="10228" width="0.6640625" style="53" customWidth="1"/>
    <col min="10229" max="10229" width="56.109375" style="53" customWidth="1"/>
    <col min="10230" max="10230" width="0.6640625" style="53" customWidth="1"/>
    <col min="10231" max="10231" width="9.109375" style="53" customWidth="1"/>
    <col min="10232" max="10232" width="6" style="53" customWidth="1"/>
    <col min="10233" max="10233" width="0.6640625" style="53" customWidth="1"/>
    <col min="10234" max="10234" width="7.109375" style="53" customWidth="1"/>
    <col min="10235" max="10235" width="6.5546875" style="53" customWidth="1"/>
    <col min="10236" max="10236" width="0.6640625" style="53" customWidth="1"/>
    <col min="10237" max="10237" width="7.88671875" style="53" customWidth="1"/>
    <col min="10238" max="10238" width="10.5546875" style="53" customWidth="1"/>
    <col min="10239" max="10239" width="0.6640625" style="53" customWidth="1"/>
    <col min="10240" max="10481" width="11.44140625" style="53"/>
    <col min="10482" max="10482" width="0.6640625" style="53" customWidth="1"/>
    <col min="10483" max="10483" width="15.109375" style="53" customWidth="1"/>
    <col min="10484" max="10484" width="0.6640625" style="53" customWidth="1"/>
    <col min="10485" max="10485" width="56.109375" style="53" customWidth="1"/>
    <col min="10486" max="10486" width="0.6640625" style="53" customWidth="1"/>
    <col min="10487" max="10487" width="9.109375" style="53" customWidth="1"/>
    <col min="10488" max="10488" width="6" style="53" customWidth="1"/>
    <col min="10489" max="10489" width="0.6640625" style="53" customWidth="1"/>
    <col min="10490" max="10490" width="7.109375" style="53" customWidth="1"/>
    <col min="10491" max="10491" width="6.5546875" style="53" customWidth="1"/>
    <col min="10492" max="10492" width="0.6640625" style="53" customWidth="1"/>
    <col min="10493" max="10493" width="7.88671875" style="53" customWidth="1"/>
    <col min="10494" max="10494" width="10.5546875" style="53" customWidth="1"/>
    <col min="10495" max="10495" width="0.6640625" style="53" customWidth="1"/>
    <col min="10496" max="10737" width="11.44140625" style="53"/>
    <col min="10738" max="10738" width="0.6640625" style="53" customWidth="1"/>
    <col min="10739" max="10739" width="15.109375" style="53" customWidth="1"/>
    <col min="10740" max="10740" width="0.6640625" style="53" customWidth="1"/>
    <col min="10741" max="10741" width="56.109375" style="53" customWidth="1"/>
    <col min="10742" max="10742" width="0.6640625" style="53" customWidth="1"/>
    <col min="10743" max="10743" width="9.109375" style="53" customWidth="1"/>
    <col min="10744" max="10744" width="6" style="53" customWidth="1"/>
    <col min="10745" max="10745" width="0.6640625" style="53" customWidth="1"/>
    <col min="10746" max="10746" width="7.109375" style="53" customWidth="1"/>
    <col min="10747" max="10747" width="6.5546875" style="53" customWidth="1"/>
    <col min="10748" max="10748" width="0.6640625" style="53" customWidth="1"/>
    <col min="10749" max="10749" width="7.88671875" style="53" customWidth="1"/>
    <col min="10750" max="10750" width="10.5546875" style="53" customWidth="1"/>
    <col min="10751" max="10751" width="0.6640625" style="53" customWidth="1"/>
    <col min="10752" max="10993" width="11.44140625" style="53"/>
    <col min="10994" max="10994" width="0.6640625" style="53" customWidth="1"/>
    <col min="10995" max="10995" width="15.109375" style="53" customWidth="1"/>
    <col min="10996" max="10996" width="0.6640625" style="53" customWidth="1"/>
    <col min="10997" max="10997" width="56.109375" style="53" customWidth="1"/>
    <col min="10998" max="10998" width="0.6640625" style="53" customWidth="1"/>
    <col min="10999" max="10999" width="9.109375" style="53" customWidth="1"/>
    <col min="11000" max="11000" width="6" style="53" customWidth="1"/>
    <col min="11001" max="11001" width="0.6640625" style="53" customWidth="1"/>
    <col min="11002" max="11002" width="7.109375" style="53" customWidth="1"/>
    <col min="11003" max="11003" width="6.5546875" style="53" customWidth="1"/>
    <col min="11004" max="11004" width="0.6640625" style="53" customWidth="1"/>
    <col min="11005" max="11005" width="7.88671875" style="53" customWidth="1"/>
    <col min="11006" max="11006" width="10.5546875" style="53" customWidth="1"/>
    <col min="11007" max="11007" width="0.6640625" style="53" customWidth="1"/>
    <col min="11008" max="11249" width="11.44140625" style="53"/>
    <col min="11250" max="11250" width="0.6640625" style="53" customWidth="1"/>
    <col min="11251" max="11251" width="15.109375" style="53" customWidth="1"/>
    <col min="11252" max="11252" width="0.6640625" style="53" customWidth="1"/>
    <col min="11253" max="11253" width="56.109375" style="53" customWidth="1"/>
    <col min="11254" max="11254" width="0.6640625" style="53" customWidth="1"/>
    <col min="11255" max="11255" width="9.109375" style="53" customWidth="1"/>
    <col min="11256" max="11256" width="6" style="53" customWidth="1"/>
    <col min="11257" max="11257" width="0.6640625" style="53" customWidth="1"/>
    <col min="11258" max="11258" width="7.109375" style="53" customWidth="1"/>
    <col min="11259" max="11259" width="6.5546875" style="53" customWidth="1"/>
    <col min="11260" max="11260" width="0.6640625" style="53" customWidth="1"/>
    <col min="11261" max="11261" width="7.88671875" style="53" customWidth="1"/>
    <col min="11262" max="11262" width="10.5546875" style="53" customWidth="1"/>
    <col min="11263" max="11263" width="0.6640625" style="53" customWidth="1"/>
    <col min="11264" max="11505" width="11.44140625" style="53"/>
    <col min="11506" max="11506" width="0.6640625" style="53" customWidth="1"/>
    <col min="11507" max="11507" width="15.109375" style="53" customWidth="1"/>
    <col min="11508" max="11508" width="0.6640625" style="53" customWidth="1"/>
    <col min="11509" max="11509" width="56.109375" style="53" customWidth="1"/>
    <col min="11510" max="11510" width="0.6640625" style="53" customWidth="1"/>
    <col min="11511" max="11511" width="9.109375" style="53" customWidth="1"/>
    <col min="11512" max="11512" width="6" style="53" customWidth="1"/>
    <col min="11513" max="11513" width="0.6640625" style="53" customWidth="1"/>
    <col min="11514" max="11514" width="7.109375" style="53" customWidth="1"/>
    <col min="11515" max="11515" width="6.5546875" style="53" customWidth="1"/>
    <col min="11516" max="11516" width="0.6640625" style="53" customWidth="1"/>
    <col min="11517" max="11517" width="7.88671875" style="53" customWidth="1"/>
    <col min="11518" max="11518" width="10.5546875" style="53" customWidth="1"/>
    <col min="11519" max="11519" width="0.6640625" style="53" customWidth="1"/>
    <col min="11520" max="11761" width="11.44140625" style="53"/>
    <col min="11762" max="11762" width="0.6640625" style="53" customWidth="1"/>
    <col min="11763" max="11763" width="15.109375" style="53" customWidth="1"/>
    <col min="11764" max="11764" width="0.6640625" style="53" customWidth="1"/>
    <col min="11765" max="11765" width="56.109375" style="53" customWidth="1"/>
    <col min="11766" max="11766" width="0.6640625" style="53" customWidth="1"/>
    <col min="11767" max="11767" width="9.109375" style="53" customWidth="1"/>
    <col min="11768" max="11768" width="6" style="53" customWidth="1"/>
    <col min="11769" max="11769" width="0.6640625" style="53" customWidth="1"/>
    <col min="11770" max="11770" width="7.109375" style="53" customWidth="1"/>
    <col min="11771" max="11771" width="6.5546875" style="53" customWidth="1"/>
    <col min="11772" max="11772" width="0.6640625" style="53" customWidth="1"/>
    <col min="11773" max="11773" width="7.88671875" style="53" customWidth="1"/>
    <col min="11774" max="11774" width="10.5546875" style="53" customWidth="1"/>
    <col min="11775" max="11775" width="0.6640625" style="53" customWidth="1"/>
    <col min="11776" max="12017" width="11.44140625" style="53"/>
    <col min="12018" max="12018" width="0.6640625" style="53" customWidth="1"/>
    <col min="12019" max="12019" width="15.109375" style="53" customWidth="1"/>
    <col min="12020" max="12020" width="0.6640625" style="53" customWidth="1"/>
    <col min="12021" max="12021" width="56.109375" style="53" customWidth="1"/>
    <col min="12022" max="12022" width="0.6640625" style="53" customWidth="1"/>
    <col min="12023" max="12023" width="9.109375" style="53" customWidth="1"/>
    <col min="12024" max="12024" width="6" style="53" customWidth="1"/>
    <col min="12025" max="12025" width="0.6640625" style="53" customWidth="1"/>
    <col min="12026" max="12026" width="7.109375" style="53" customWidth="1"/>
    <col min="12027" max="12027" width="6.5546875" style="53" customWidth="1"/>
    <col min="12028" max="12028" width="0.6640625" style="53" customWidth="1"/>
    <col min="12029" max="12029" width="7.88671875" style="53" customWidth="1"/>
    <col min="12030" max="12030" width="10.5546875" style="53" customWidth="1"/>
    <col min="12031" max="12031" width="0.6640625" style="53" customWidth="1"/>
    <col min="12032" max="12273" width="11.44140625" style="53"/>
    <col min="12274" max="12274" width="0.6640625" style="53" customWidth="1"/>
    <col min="12275" max="12275" width="15.109375" style="53" customWidth="1"/>
    <col min="12276" max="12276" width="0.6640625" style="53" customWidth="1"/>
    <col min="12277" max="12277" width="56.109375" style="53" customWidth="1"/>
    <col min="12278" max="12278" width="0.6640625" style="53" customWidth="1"/>
    <col min="12279" max="12279" width="9.109375" style="53" customWidth="1"/>
    <col min="12280" max="12280" width="6" style="53" customWidth="1"/>
    <col min="12281" max="12281" width="0.6640625" style="53" customWidth="1"/>
    <col min="12282" max="12282" width="7.109375" style="53" customWidth="1"/>
    <col min="12283" max="12283" width="6.5546875" style="53" customWidth="1"/>
    <col min="12284" max="12284" width="0.6640625" style="53" customWidth="1"/>
    <col min="12285" max="12285" width="7.88671875" style="53" customWidth="1"/>
    <col min="12286" max="12286" width="10.5546875" style="53" customWidth="1"/>
    <col min="12287" max="12287" width="0.6640625" style="53" customWidth="1"/>
    <col min="12288" max="12529" width="11.44140625" style="53"/>
    <col min="12530" max="12530" width="0.6640625" style="53" customWidth="1"/>
    <col min="12531" max="12531" width="15.109375" style="53" customWidth="1"/>
    <col min="12532" max="12532" width="0.6640625" style="53" customWidth="1"/>
    <col min="12533" max="12533" width="56.109375" style="53" customWidth="1"/>
    <col min="12534" max="12534" width="0.6640625" style="53" customWidth="1"/>
    <col min="12535" max="12535" width="9.109375" style="53" customWidth="1"/>
    <col min="12536" max="12536" width="6" style="53" customWidth="1"/>
    <col min="12537" max="12537" width="0.6640625" style="53" customWidth="1"/>
    <col min="12538" max="12538" width="7.109375" style="53" customWidth="1"/>
    <col min="12539" max="12539" width="6.5546875" style="53" customWidth="1"/>
    <col min="12540" max="12540" width="0.6640625" style="53" customWidth="1"/>
    <col min="12541" max="12541" width="7.88671875" style="53" customWidth="1"/>
    <col min="12542" max="12542" width="10.5546875" style="53" customWidth="1"/>
    <col min="12543" max="12543" width="0.6640625" style="53" customWidth="1"/>
    <col min="12544" max="12785" width="11.44140625" style="53"/>
    <col min="12786" max="12786" width="0.6640625" style="53" customWidth="1"/>
    <col min="12787" max="12787" width="15.109375" style="53" customWidth="1"/>
    <col min="12788" max="12788" width="0.6640625" style="53" customWidth="1"/>
    <col min="12789" max="12789" width="56.109375" style="53" customWidth="1"/>
    <col min="12790" max="12790" width="0.6640625" style="53" customWidth="1"/>
    <col min="12791" max="12791" width="9.109375" style="53" customWidth="1"/>
    <col min="12792" max="12792" width="6" style="53" customWidth="1"/>
    <col min="12793" max="12793" width="0.6640625" style="53" customWidth="1"/>
    <col min="12794" max="12794" width="7.109375" style="53" customWidth="1"/>
    <col min="12795" max="12795" width="6.5546875" style="53" customWidth="1"/>
    <col min="12796" max="12796" width="0.6640625" style="53" customWidth="1"/>
    <col min="12797" max="12797" width="7.88671875" style="53" customWidth="1"/>
    <col min="12798" max="12798" width="10.5546875" style="53" customWidth="1"/>
    <col min="12799" max="12799" width="0.6640625" style="53" customWidth="1"/>
    <col min="12800" max="13041" width="11.44140625" style="53"/>
    <col min="13042" max="13042" width="0.6640625" style="53" customWidth="1"/>
    <col min="13043" max="13043" width="15.109375" style="53" customWidth="1"/>
    <col min="13044" max="13044" width="0.6640625" style="53" customWidth="1"/>
    <col min="13045" max="13045" width="56.109375" style="53" customWidth="1"/>
    <col min="13046" max="13046" width="0.6640625" style="53" customWidth="1"/>
    <col min="13047" max="13047" width="9.109375" style="53" customWidth="1"/>
    <col min="13048" max="13048" width="6" style="53" customWidth="1"/>
    <col min="13049" max="13049" width="0.6640625" style="53" customWidth="1"/>
    <col min="13050" max="13050" width="7.109375" style="53" customWidth="1"/>
    <col min="13051" max="13051" width="6.5546875" style="53" customWidth="1"/>
    <col min="13052" max="13052" width="0.6640625" style="53" customWidth="1"/>
    <col min="13053" max="13053" width="7.88671875" style="53" customWidth="1"/>
    <col min="13054" max="13054" width="10.5546875" style="53" customWidth="1"/>
    <col min="13055" max="13055" width="0.6640625" style="53" customWidth="1"/>
    <col min="13056" max="13297" width="11.44140625" style="53"/>
    <col min="13298" max="13298" width="0.6640625" style="53" customWidth="1"/>
    <col min="13299" max="13299" width="15.109375" style="53" customWidth="1"/>
    <col min="13300" max="13300" width="0.6640625" style="53" customWidth="1"/>
    <col min="13301" max="13301" width="56.109375" style="53" customWidth="1"/>
    <col min="13302" max="13302" width="0.6640625" style="53" customWidth="1"/>
    <col min="13303" max="13303" width="9.109375" style="53" customWidth="1"/>
    <col min="13304" max="13304" width="6" style="53" customWidth="1"/>
    <col min="13305" max="13305" width="0.6640625" style="53" customWidth="1"/>
    <col min="13306" max="13306" width="7.109375" style="53" customWidth="1"/>
    <col min="13307" max="13307" width="6.5546875" style="53" customWidth="1"/>
    <col min="13308" max="13308" width="0.6640625" style="53" customWidth="1"/>
    <col min="13309" max="13309" width="7.88671875" style="53" customWidth="1"/>
    <col min="13310" max="13310" width="10.5546875" style="53" customWidth="1"/>
    <col min="13311" max="13311" width="0.6640625" style="53" customWidth="1"/>
    <col min="13312" max="13553" width="11.44140625" style="53"/>
    <col min="13554" max="13554" width="0.6640625" style="53" customWidth="1"/>
    <col min="13555" max="13555" width="15.109375" style="53" customWidth="1"/>
    <col min="13556" max="13556" width="0.6640625" style="53" customWidth="1"/>
    <col min="13557" max="13557" width="56.109375" style="53" customWidth="1"/>
    <col min="13558" max="13558" width="0.6640625" style="53" customWidth="1"/>
    <col min="13559" max="13559" width="9.109375" style="53" customWidth="1"/>
    <col min="13560" max="13560" width="6" style="53" customWidth="1"/>
    <col min="13561" max="13561" width="0.6640625" style="53" customWidth="1"/>
    <col min="13562" max="13562" width="7.109375" style="53" customWidth="1"/>
    <col min="13563" max="13563" width="6.5546875" style="53" customWidth="1"/>
    <col min="13564" max="13564" width="0.6640625" style="53" customWidth="1"/>
    <col min="13565" max="13565" width="7.88671875" style="53" customWidth="1"/>
    <col min="13566" max="13566" width="10.5546875" style="53" customWidth="1"/>
    <col min="13567" max="13567" width="0.6640625" style="53" customWidth="1"/>
    <col min="13568" max="16384" width="11.44140625" style="53"/>
  </cols>
  <sheetData>
    <row r="1" spans="1:17" ht="20.100000000000001" customHeight="1" x14ac:dyDescent="0.25">
      <c r="A1" s="1"/>
      <c r="B1" s="2"/>
      <c r="C1" s="111"/>
      <c r="D1" s="111"/>
      <c r="E1" s="111"/>
      <c r="F1" s="111"/>
      <c r="G1" s="111"/>
      <c r="H1" s="111"/>
      <c r="I1" s="111"/>
      <c r="J1" s="111"/>
      <c r="K1" s="111"/>
      <c r="L1" s="112"/>
      <c r="M1" s="111"/>
      <c r="N1" s="112"/>
      <c r="Q1" s="113" t="s">
        <v>0</v>
      </c>
    </row>
    <row r="2" spans="1:17" ht="20.100000000000001" customHeight="1" x14ac:dyDescent="0.25">
      <c r="A2" s="8"/>
      <c r="B2" s="9"/>
      <c r="L2" s="114"/>
      <c r="N2" s="114"/>
      <c r="Q2" s="115" t="s">
        <v>1</v>
      </c>
    </row>
    <row r="3" spans="1:17" ht="20.100000000000001" customHeight="1" x14ac:dyDescent="0.3">
      <c r="A3" s="8"/>
      <c r="B3" s="9"/>
      <c r="L3" s="114"/>
      <c r="N3" s="114"/>
      <c r="Q3" s="113" t="s">
        <v>2</v>
      </c>
    </row>
    <row r="4" spans="1:17" ht="20.100000000000001" customHeight="1" x14ac:dyDescent="0.25">
      <c r="A4" s="14"/>
      <c r="B4" s="15"/>
      <c r="C4" s="116"/>
      <c r="D4" s="116"/>
      <c r="E4" s="116"/>
      <c r="F4" s="116"/>
      <c r="G4" s="116"/>
      <c r="H4" s="116"/>
      <c r="I4" s="116"/>
      <c r="J4" s="116"/>
      <c r="K4" s="116"/>
      <c r="L4" s="117"/>
      <c r="M4" s="116"/>
      <c r="N4" s="117"/>
      <c r="Q4" s="113" t="s">
        <v>3</v>
      </c>
    </row>
    <row r="5" spans="1:17" ht="30" customHeight="1" x14ac:dyDescent="0.25">
      <c r="A5" s="1037" t="str">
        <f>CONCATENATE("COMPOSIÇÃO DE CUSTO UNITÁRIO - ",ORÇAMENTO!P2)</f>
        <v>COMPOSIÇÃO DE CUSTO UNITÁRIO - NÃO DESONERADO</v>
      </c>
      <c r="B5" s="1038"/>
      <c r="C5" s="1038"/>
      <c r="D5" s="1038"/>
      <c r="E5" s="1038"/>
      <c r="F5" s="1038"/>
      <c r="G5" s="1038"/>
      <c r="H5" s="1038"/>
      <c r="I5" s="1038"/>
      <c r="J5" s="1038"/>
      <c r="K5" s="1038"/>
      <c r="L5" s="1038"/>
      <c r="M5" s="1038"/>
      <c r="N5" s="1039"/>
      <c r="Q5" s="113" t="s">
        <v>8</v>
      </c>
    </row>
    <row r="6" spans="1:17" ht="30" customHeight="1" x14ac:dyDescent="0.3">
      <c r="A6" s="118" t="s">
        <v>5</v>
      </c>
      <c r="B6" s="118" t="s">
        <v>7</v>
      </c>
      <c r="C6" s="119" t="s">
        <v>6</v>
      </c>
      <c r="D6" s="114"/>
      <c r="E6" s="120" t="s">
        <v>56</v>
      </c>
      <c r="F6" s="121" t="str">
        <f>ÍNDICE!$D$8</f>
        <v>BARRA DO GARÇAS</v>
      </c>
      <c r="G6" s="122"/>
      <c r="J6" s="1040" t="s">
        <v>57</v>
      </c>
      <c r="K6" s="1041"/>
      <c r="L6" s="1044" t="s">
        <v>58</v>
      </c>
      <c r="M6" s="1045"/>
      <c r="N6" s="123">
        <f>ÍNDICE!$D$9</f>
        <v>325</v>
      </c>
      <c r="Q6" s="113" t="s">
        <v>8</v>
      </c>
    </row>
    <row r="7" spans="1:17" ht="30" customHeight="1" x14ac:dyDescent="0.3">
      <c r="A7" s="124" t="s">
        <v>59</v>
      </c>
      <c r="B7" s="125" t="s">
        <v>11</v>
      </c>
      <c r="C7" s="64" t="s">
        <v>60</v>
      </c>
      <c r="D7" s="117"/>
      <c r="E7" s="126" t="s">
        <v>61</v>
      </c>
      <c r="F7" s="127" t="str">
        <f>ÍNDICE!$B$8</f>
        <v>CANARANA</v>
      </c>
      <c r="G7" s="128"/>
      <c r="J7" s="1042"/>
      <c r="K7" s="1043"/>
      <c r="L7" s="1046" t="s">
        <v>62</v>
      </c>
      <c r="M7" s="1047"/>
      <c r="N7" s="129">
        <f>ÍNDICE!$D$10</f>
        <v>0.35</v>
      </c>
      <c r="Q7" s="130" t="s">
        <v>14</v>
      </c>
    </row>
    <row r="8" spans="1:17" ht="36" customHeight="1" x14ac:dyDescent="0.3">
      <c r="A8" s="1030" t="s">
        <v>5</v>
      </c>
      <c r="B8" s="1031" t="s">
        <v>15</v>
      </c>
      <c r="C8" s="1033" t="s">
        <v>63</v>
      </c>
      <c r="D8" s="1029" t="s">
        <v>64</v>
      </c>
      <c r="E8" s="1035" t="s">
        <v>58</v>
      </c>
      <c r="F8" s="1036"/>
      <c r="G8" s="1035" t="s">
        <v>65</v>
      </c>
      <c r="H8" s="1036"/>
      <c r="I8" s="1029" t="s">
        <v>66</v>
      </c>
      <c r="J8" s="1029" t="s">
        <v>67</v>
      </c>
      <c r="K8" s="1029" t="s">
        <v>68</v>
      </c>
      <c r="L8" s="1029" t="s">
        <v>69</v>
      </c>
      <c r="M8" s="1029" t="s">
        <v>33</v>
      </c>
      <c r="N8" s="1029" t="s">
        <v>70</v>
      </c>
      <c r="Q8" s="53" t="s">
        <v>12</v>
      </c>
    </row>
    <row r="9" spans="1:17" ht="36" customHeight="1" x14ac:dyDescent="0.3">
      <c r="A9" s="1030"/>
      <c r="B9" s="1032"/>
      <c r="C9" s="1034"/>
      <c r="D9" s="1029"/>
      <c r="E9" s="131" t="s">
        <v>71</v>
      </c>
      <c r="F9" s="131" t="s">
        <v>72</v>
      </c>
      <c r="G9" s="131" t="s">
        <v>71</v>
      </c>
      <c r="H9" s="131" t="s">
        <v>72</v>
      </c>
      <c r="I9" s="1029"/>
      <c r="J9" s="1029"/>
      <c r="K9" s="1029"/>
      <c r="L9" s="1029"/>
      <c r="M9" s="1029"/>
      <c r="N9" s="1029"/>
      <c r="Q9" s="53" t="s">
        <v>45</v>
      </c>
    </row>
    <row r="10" spans="1:17" ht="28.8" x14ac:dyDescent="0.3">
      <c r="A10" s="79" t="s">
        <v>73</v>
      </c>
      <c r="B10" s="76" t="s">
        <v>3</v>
      </c>
      <c r="C10" s="132" t="s">
        <v>1132</v>
      </c>
      <c r="D10" s="133">
        <v>2</v>
      </c>
      <c r="E10" s="79">
        <f>$N$6</f>
        <v>325</v>
      </c>
      <c r="F10" s="133">
        <v>60</v>
      </c>
      <c r="G10" s="79">
        <f>$N$7</f>
        <v>0.35</v>
      </c>
      <c r="H10" s="133">
        <v>50</v>
      </c>
      <c r="I10" s="133">
        <v>1</v>
      </c>
      <c r="J10" s="133">
        <v>0.5</v>
      </c>
      <c r="K10" s="79"/>
      <c r="L10" s="79">
        <f>TRUNC(((((E10*D10*J10)/F10)*K10)*I10)+((((G10*D10*J10)/H10)*K10)*I10),2)</f>
        <v>0</v>
      </c>
      <c r="M10" s="79" t="s">
        <v>1225</v>
      </c>
      <c r="N10" s="132" t="s">
        <v>1139</v>
      </c>
    </row>
    <row r="11" spans="1:17" ht="28.8" x14ac:dyDescent="0.3">
      <c r="A11" s="79" t="s">
        <v>74</v>
      </c>
      <c r="B11" s="76" t="s">
        <v>3</v>
      </c>
      <c r="C11" s="132" t="s">
        <v>1133</v>
      </c>
      <c r="D11" s="133">
        <v>2</v>
      </c>
      <c r="E11" s="79">
        <f t="shared" ref="E11:E16" si="0">$N$6</f>
        <v>325</v>
      </c>
      <c r="F11" s="133">
        <v>60</v>
      </c>
      <c r="G11" s="79">
        <f t="shared" ref="G11:G16" si="1">$N$7</f>
        <v>0.35</v>
      </c>
      <c r="H11" s="133">
        <v>50</v>
      </c>
      <c r="I11" s="133">
        <v>1</v>
      </c>
      <c r="J11" s="133">
        <v>0.5</v>
      </c>
      <c r="K11" s="79"/>
      <c r="L11" s="79">
        <f t="shared" ref="L11:L16" si="2">TRUNC(((((E11*D11*J11)/F11)*K11)*I11)+((((G11*D11*J11)/H11)*K11)*I11),2)</f>
        <v>0</v>
      </c>
      <c r="M11" s="79" t="s">
        <v>1225</v>
      </c>
      <c r="N11" s="132" t="s">
        <v>1139</v>
      </c>
    </row>
    <row r="12" spans="1:17" ht="28.8" x14ac:dyDescent="0.3">
      <c r="A12" s="134" t="s">
        <v>75</v>
      </c>
      <c r="B12" s="76" t="s">
        <v>3</v>
      </c>
      <c r="C12" s="132" t="s">
        <v>1134</v>
      </c>
      <c r="D12" s="133">
        <v>2</v>
      </c>
      <c r="E12" s="79">
        <f t="shared" si="0"/>
        <v>325</v>
      </c>
      <c r="F12" s="133">
        <v>60</v>
      </c>
      <c r="G12" s="79">
        <f t="shared" si="1"/>
        <v>0.35</v>
      </c>
      <c r="H12" s="133">
        <v>50</v>
      </c>
      <c r="I12" s="133">
        <v>1</v>
      </c>
      <c r="J12" s="133">
        <v>1</v>
      </c>
      <c r="K12" s="79"/>
      <c r="L12" s="79">
        <f t="shared" si="2"/>
        <v>0</v>
      </c>
      <c r="M12" s="79" t="s">
        <v>1226</v>
      </c>
      <c r="N12" s="132" t="s">
        <v>1140</v>
      </c>
    </row>
    <row r="13" spans="1:17" ht="28.8" x14ac:dyDescent="0.3">
      <c r="A13" s="79" t="s">
        <v>76</v>
      </c>
      <c r="B13" s="76" t="s">
        <v>3</v>
      </c>
      <c r="C13" s="132" t="s">
        <v>1135</v>
      </c>
      <c r="D13" s="133">
        <v>2</v>
      </c>
      <c r="E13" s="79">
        <f t="shared" si="0"/>
        <v>325</v>
      </c>
      <c r="F13" s="133">
        <v>60</v>
      </c>
      <c r="G13" s="79">
        <f t="shared" si="1"/>
        <v>0.35</v>
      </c>
      <c r="H13" s="133">
        <v>50</v>
      </c>
      <c r="I13" s="133">
        <v>1</v>
      </c>
      <c r="J13" s="133">
        <v>0.5</v>
      </c>
      <c r="K13" s="79"/>
      <c r="L13" s="79">
        <f t="shared" si="2"/>
        <v>0</v>
      </c>
      <c r="M13" s="79" t="s">
        <v>1226</v>
      </c>
      <c r="N13" s="132" t="s">
        <v>1140</v>
      </c>
    </row>
    <row r="14" spans="1:17" ht="28.8" x14ac:dyDescent="0.3">
      <c r="A14" s="79" t="s">
        <v>77</v>
      </c>
      <c r="B14" s="76" t="s">
        <v>3</v>
      </c>
      <c r="C14" s="132" t="s">
        <v>1136</v>
      </c>
      <c r="D14" s="133">
        <v>2</v>
      </c>
      <c r="E14" s="79">
        <f t="shared" si="0"/>
        <v>325</v>
      </c>
      <c r="F14" s="133">
        <v>60</v>
      </c>
      <c r="G14" s="79">
        <f t="shared" si="1"/>
        <v>0.35</v>
      </c>
      <c r="H14" s="133">
        <v>50</v>
      </c>
      <c r="I14" s="133">
        <v>1</v>
      </c>
      <c r="J14" s="133">
        <v>1</v>
      </c>
      <c r="K14" s="79"/>
      <c r="L14" s="79">
        <f t="shared" si="2"/>
        <v>0</v>
      </c>
      <c r="M14" s="79" t="s">
        <v>1226</v>
      </c>
      <c r="N14" s="132" t="s">
        <v>1140</v>
      </c>
    </row>
    <row r="15" spans="1:17" ht="28.8" x14ac:dyDescent="0.3">
      <c r="A15" s="79" t="s">
        <v>78</v>
      </c>
      <c r="B15" s="76" t="s">
        <v>3</v>
      </c>
      <c r="C15" s="132" t="s">
        <v>1137</v>
      </c>
      <c r="D15" s="133">
        <v>2</v>
      </c>
      <c r="E15" s="79">
        <f t="shared" si="0"/>
        <v>325</v>
      </c>
      <c r="F15" s="133">
        <v>60</v>
      </c>
      <c r="G15" s="79">
        <f t="shared" si="1"/>
        <v>0.35</v>
      </c>
      <c r="H15" s="133">
        <v>50</v>
      </c>
      <c r="I15" s="133">
        <v>2</v>
      </c>
      <c r="J15" s="133">
        <v>1</v>
      </c>
      <c r="K15" s="79"/>
      <c r="L15" s="79">
        <f t="shared" si="2"/>
        <v>0</v>
      </c>
      <c r="M15" s="79" t="s">
        <v>1226</v>
      </c>
      <c r="N15" s="132" t="s">
        <v>1140</v>
      </c>
    </row>
    <row r="16" spans="1:17" ht="28.8" x14ac:dyDescent="0.3">
      <c r="A16" s="79" t="s">
        <v>79</v>
      </c>
      <c r="B16" s="76" t="s">
        <v>3</v>
      </c>
      <c r="C16" s="132" t="s">
        <v>1138</v>
      </c>
      <c r="D16" s="133">
        <v>2</v>
      </c>
      <c r="E16" s="79">
        <f t="shared" si="0"/>
        <v>325</v>
      </c>
      <c r="F16" s="133">
        <v>60</v>
      </c>
      <c r="G16" s="79">
        <f t="shared" si="1"/>
        <v>0.35</v>
      </c>
      <c r="H16" s="133">
        <v>50</v>
      </c>
      <c r="I16" s="133">
        <v>2</v>
      </c>
      <c r="J16" s="133">
        <v>1</v>
      </c>
      <c r="K16" s="135"/>
      <c r="L16" s="79">
        <f t="shared" si="2"/>
        <v>0</v>
      </c>
      <c r="M16" s="79" t="s">
        <v>1225</v>
      </c>
      <c r="N16" s="132" t="s">
        <v>1139</v>
      </c>
    </row>
    <row r="17" spans="1:18" x14ac:dyDescent="0.3">
      <c r="A17" s="136"/>
      <c r="B17" s="137"/>
      <c r="C17" s="138" t="s">
        <v>80</v>
      </c>
      <c r="D17" s="137"/>
      <c r="E17" s="137"/>
      <c r="F17" s="137"/>
      <c r="G17" s="137"/>
      <c r="H17" s="137"/>
      <c r="I17" s="137"/>
      <c r="J17" s="137"/>
      <c r="K17" s="139"/>
      <c r="L17" s="140"/>
      <c r="M17" s="139"/>
      <c r="N17" s="140"/>
    </row>
    <row r="18" spans="1:18" x14ac:dyDescent="0.3">
      <c r="A18" s="1030" t="s">
        <v>5</v>
      </c>
      <c r="B18" s="1031" t="s">
        <v>15</v>
      </c>
      <c r="C18" s="1033" t="s">
        <v>63</v>
      </c>
      <c r="D18" s="1029" t="s">
        <v>64</v>
      </c>
      <c r="E18" s="1035" t="s">
        <v>58</v>
      </c>
      <c r="F18" s="1036"/>
      <c r="G18" s="1035" t="s">
        <v>65</v>
      </c>
      <c r="H18" s="1036"/>
      <c r="I18" s="1029" t="s">
        <v>66</v>
      </c>
      <c r="J18" s="1029" t="s">
        <v>67</v>
      </c>
      <c r="K18" s="1029" t="s">
        <v>68</v>
      </c>
      <c r="L18" s="1029" t="s">
        <v>69</v>
      </c>
      <c r="M18" s="1029" t="s">
        <v>33</v>
      </c>
      <c r="N18" s="1029" t="s">
        <v>70</v>
      </c>
    </row>
    <row r="19" spans="1:18" ht="27.6" x14ac:dyDescent="0.3">
      <c r="A19" s="1030"/>
      <c r="B19" s="1032"/>
      <c r="C19" s="1034"/>
      <c r="D19" s="1029"/>
      <c r="E19" s="131" t="s">
        <v>71</v>
      </c>
      <c r="F19" s="131" t="s">
        <v>72</v>
      </c>
      <c r="G19" s="131" t="s">
        <v>71</v>
      </c>
      <c r="H19" s="131" t="s">
        <v>72</v>
      </c>
      <c r="I19" s="1029"/>
      <c r="J19" s="1029"/>
      <c r="K19" s="1029"/>
      <c r="L19" s="1029"/>
      <c r="M19" s="1029"/>
      <c r="N19" s="1029"/>
    </row>
    <row r="20" spans="1:18" ht="57.6" x14ac:dyDescent="0.3">
      <c r="A20" s="141">
        <v>83362</v>
      </c>
      <c r="B20" s="76" t="s">
        <v>0</v>
      </c>
      <c r="C20" s="132" t="s">
        <v>1141</v>
      </c>
      <c r="D20" s="133">
        <v>1</v>
      </c>
      <c r="E20" s="79">
        <f t="shared" ref="E20:E23" si="3">$N$6</f>
        <v>325</v>
      </c>
      <c r="F20" s="133">
        <v>60</v>
      </c>
      <c r="G20" s="79">
        <f t="shared" ref="G20:G23" si="4">$N$7</f>
        <v>0.35</v>
      </c>
      <c r="H20" s="133">
        <v>50</v>
      </c>
      <c r="I20" s="133">
        <v>1</v>
      </c>
      <c r="J20" s="133">
        <v>1</v>
      </c>
      <c r="K20" s="79"/>
      <c r="L20" s="79">
        <f t="shared" ref="L20:L23" si="5">TRUNC(((((E20*D20*J20)/F20)*K20)*I20)+((((G20*D20*J20)/H20)*K20)*I20),2)</f>
        <v>0</v>
      </c>
      <c r="M20" s="63">
        <f>A20</f>
        <v>83362</v>
      </c>
      <c r="N20" s="142" t="s">
        <v>81</v>
      </c>
    </row>
    <row r="21" spans="1:18" ht="43.2" x14ac:dyDescent="0.3">
      <c r="A21" s="141">
        <v>96035</v>
      </c>
      <c r="B21" s="76" t="s">
        <v>0</v>
      </c>
      <c r="C21" s="132" t="s">
        <v>1142</v>
      </c>
      <c r="D21" s="133">
        <v>1</v>
      </c>
      <c r="E21" s="79">
        <f t="shared" si="3"/>
        <v>325</v>
      </c>
      <c r="F21" s="133">
        <v>60</v>
      </c>
      <c r="G21" s="79">
        <f t="shared" si="4"/>
        <v>0.35</v>
      </c>
      <c r="H21" s="133">
        <v>50</v>
      </c>
      <c r="I21" s="133">
        <v>1</v>
      </c>
      <c r="J21" s="133">
        <v>1</v>
      </c>
      <c r="K21" s="79"/>
      <c r="L21" s="79">
        <f t="shared" si="5"/>
        <v>0</v>
      </c>
      <c r="M21" s="63">
        <f t="shared" ref="M21:M23" si="6">A21</f>
        <v>96035</v>
      </c>
      <c r="N21" s="142" t="s">
        <v>81</v>
      </c>
    </row>
    <row r="22" spans="1:18" ht="43.2" x14ac:dyDescent="0.25">
      <c r="A22" s="143">
        <v>89883</v>
      </c>
      <c r="B22" s="76" t="s">
        <v>0</v>
      </c>
      <c r="C22" s="132" t="s">
        <v>1143</v>
      </c>
      <c r="D22" s="133">
        <v>1</v>
      </c>
      <c r="E22" s="79">
        <f t="shared" si="3"/>
        <v>325</v>
      </c>
      <c r="F22" s="133">
        <v>60</v>
      </c>
      <c r="G22" s="79">
        <f t="shared" si="4"/>
        <v>0.35</v>
      </c>
      <c r="H22" s="133">
        <v>50</v>
      </c>
      <c r="I22" s="133">
        <v>1</v>
      </c>
      <c r="J22" s="133">
        <v>1</v>
      </c>
      <c r="K22" s="79"/>
      <c r="L22" s="79">
        <f t="shared" si="5"/>
        <v>0</v>
      </c>
      <c r="M22" s="63">
        <f t="shared" si="6"/>
        <v>89883</v>
      </c>
      <c r="N22" s="142" t="s">
        <v>81</v>
      </c>
      <c r="Q22" s="144"/>
    </row>
    <row r="23" spans="1:18" ht="43.2" x14ac:dyDescent="0.25">
      <c r="A23" s="141">
        <v>89876</v>
      </c>
      <c r="B23" s="76" t="s">
        <v>0</v>
      </c>
      <c r="C23" s="132" t="s">
        <v>1144</v>
      </c>
      <c r="D23" s="133">
        <v>1</v>
      </c>
      <c r="E23" s="79">
        <f t="shared" si="3"/>
        <v>325</v>
      </c>
      <c r="F23" s="133">
        <v>60</v>
      </c>
      <c r="G23" s="79">
        <f t="shared" si="4"/>
        <v>0.35</v>
      </c>
      <c r="H23" s="133">
        <v>50</v>
      </c>
      <c r="I23" s="133">
        <v>1</v>
      </c>
      <c r="J23" s="133">
        <v>1</v>
      </c>
      <c r="K23" s="79"/>
      <c r="L23" s="79">
        <f t="shared" si="5"/>
        <v>0</v>
      </c>
      <c r="M23" s="63">
        <f t="shared" si="6"/>
        <v>89876</v>
      </c>
      <c r="N23" s="142" t="s">
        <v>81</v>
      </c>
      <c r="Q23" s="144"/>
    </row>
    <row r="24" spans="1:18" ht="30" customHeight="1" x14ac:dyDescent="0.25">
      <c r="A24" s="1021" t="s">
        <v>82</v>
      </c>
      <c r="B24" s="1022"/>
      <c r="C24" s="1022"/>
      <c r="D24" s="1022"/>
      <c r="E24" s="1022"/>
      <c r="F24" s="1022"/>
      <c r="G24" s="1022"/>
      <c r="H24" s="1022"/>
      <c r="I24" s="1022"/>
      <c r="J24" s="1022"/>
      <c r="K24" s="1023"/>
      <c r="L24" s="81">
        <f>SUM(L10:L23)</f>
        <v>0</v>
      </c>
      <c r="M24" s="1024"/>
      <c r="N24" s="1025"/>
      <c r="Q24" s="144"/>
    </row>
    <row r="25" spans="1:18" ht="30" customHeight="1" x14ac:dyDescent="0.25">
      <c r="A25" s="1021" t="s">
        <v>83</v>
      </c>
      <c r="B25" s="1022"/>
      <c r="C25" s="1022"/>
      <c r="D25" s="1022"/>
      <c r="E25" s="1022"/>
      <c r="F25" s="1022"/>
      <c r="G25" s="1022"/>
      <c r="H25" s="1022"/>
      <c r="I25" s="1022"/>
      <c r="J25" s="1022"/>
      <c r="K25" s="1023"/>
      <c r="L25" s="81">
        <f>L24</f>
        <v>0</v>
      </c>
      <c r="M25" s="1026"/>
      <c r="N25" s="1027"/>
      <c r="Q25" s="144"/>
    </row>
    <row r="26" spans="1:18" s="144" customFormat="1" ht="25.5" customHeight="1" x14ac:dyDescent="0.25">
      <c r="A26" s="145" t="s">
        <v>84</v>
      </c>
      <c r="B26" s="146"/>
      <c r="C26" s="147"/>
      <c r="D26" s="147"/>
      <c r="E26" s="147"/>
      <c r="F26" s="147"/>
      <c r="G26" s="147"/>
      <c r="H26" s="147"/>
      <c r="I26" s="147"/>
      <c r="J26" s="147"/>
      <c r="K26" s="147"/>
      <c r="L26" s="147"/>
      <c r="M26" s="147"/>
      <c r="N26" s="148"/>
      <c r="R26" s="86"/>
    </row>
    <row r="27" spans="1:18" s="144" customFormat="1" ht="14.25" customHeight="1" x14ac:dyDescent="0.25">
      <c r="A27" s="149"/>
      <c r="B27" s="150" t="s">
        <v>85</v>
      </c>
      <c r="C27" s="151"/>
      <c r="D27" s="151"/>
      <c r="E27" s="151"/>
      <c r="F27" s="151"/>
      <c r="G27" s="151"/>
      <c r="H27" s="151"/>
      <c r="I27" s="151"/>
      <c r="J27" s="151"/>
      <c r="K27" s="151"/>
      <c r="L27" s="151"/>
      <c r="M27" s="151"/>
      <c r="N27" s="152"/>
      <c r="R27" s="53"/>
    </row>
    <row r="28" spans="1:18" s="144" customFormat="1" ht="15" customHeight="1" x14ac:dyDescent="0.25">
      <c r="A28" s="149"/>
      <c r="B28" s="150" t="s">
        <v>86</v>
      </c>
      <c r="C28" s="151"/>
      <c r="D28" s="151"/>
      <c r="E28" s="151"/>
      <c r="F28" s="151"/>
      <c r="G28" s="151"/>
      <c r="H28" s="151"/>
      <c r="I28" s="151"/>
      <c r="J28" s="151"/>
      <c r="K28" s="151"/>
      <c r="L28" s="151"/>
      <c r="M28" s="151"/>
      <c r="N28" s="152"/>
      <c r="R28" s="53"/>
    </row>
    <row r="29" spans="1:18" s="144" customFormat="1" ht="15" customHeight="1" x14ac:dyDescent="0.25">
      <c r="A29" s="153"/>
      <c r="B29" s="150" t="s">
        <v>87</v>
      </c>
      <c r="C29" s="151"/>
      <c r="D29" s="151"/>
      <c r="E29" s="151"/>
      <c r="F29" s="151"/>
      <c r="G29" s="151"/>
      <c r="H29" s="151"/>
      <c r="I29" s="151"/>
      <c r="J29" s="151"/>
      <c r="K29" s="151"/>
      <c r="L29" s="151"/>
      <c r="M29" s="151"/>
      <c r="N29" s="152"/>
      <c r="R29" s="53"/>
    </row>
    <row r="30" spans="1:18" s="144" customFormat="1" ht="15" customHeight="1" x14ac:dyDescent="0.25">
      <c r="A30" s="153"/>
      <c r="B30" s="150" t="s">
        <v>88</v>
      </c>
      <c r="C30" s="151"/>
      <c r="D30" s="151"/>
      <c r="E30" s="151"/>
      <c r="F30" s="151"/>
      <c r="G30" s="151"/>
      <c r="H30" s="151"/>
      <c r="I30" s="151"/>
      <c r="J30" s="151"/>
      <c r="K30" s="154"/>
      <c r="L30" s="151"/>
      <c r="M30" s="154"/>
      <c r="N30" s="152"/>
      <c r="R30" s="53"/>
    </row>
    <row r="31" spans="1:18" s="144" customFormat="1" ht="15" customHeight="1" x14ac:dyDescent="0.25">
      <c r="A31" s="153"/>
      <c r="B31" s="150" t="s">
        <v>89</v>
      </c>
      <c r="C31" s="151"/>
      <c r="D31" s="151"/>
      <c r="E31" s="151"/>
      <c r="F31" s="151"/>
      <c r="G31" s="151"/>
      <c r="H31" s="151"/>
      <c r="I31" s="151"/>
      <c r="J31" s="151"/>
      <c r="K31" s="154"/>
      <c r="L31" s="151"/>
      <c r="M31" s="154"/>
      <c r="N31" s="152"/>
      <c r="Q31" s="53"/>
      <c r="R31" s="53"/>
    </row>
    <row r="32" spans="1:18" s="144" customFormat="1" ht="15" customHeight="1" x14ac:dyDescent="0.25">
      <c r="A32" s="153"/>
      <c r="B32" s="150" t="s">
        <v>90</v>
      </c>
      <c r="C32" s="151"/>
      <c r="D32" s="151"/>
      <c r="E32" s="151"/>
      <c r="F32" s="151"/>
      <c r="G32" s="151"/>
      <c r="H32" s="151"/>
      <c r="I32" s="151"/>
      <c r="J32" s="151"/>
      <c r="K32" s="154"/>
      <c r="L32" s="151"/>
      <c r="M32" s="154"/>
      <c r="N32" s="152"/>
      <c r="Q32" s="53"/>
      <c r="R32" s="53"/>
    </row>
    <row r="33" spans="1:26" s="144" customFormat="1" x14ac:dyDescent="0.25">
      <c r="A33" s="153"/>
      <c r="B33" s="150" t="s">
        <v>91</v>
      </c>
      <c r="C33" s="150"/>
      <c r="D33" s="150"/>
      <c r="E33" s="151"/>
      <c r="F33" s="151"/>
      <c r="G33" s="151"/>
      <c r="H33" s="151"/>
      <c r="I33" s="151"/>
      <c r="J33" s="151"/>
      <c r="K33" s="154"/>
      <c r="L33" s="151"/>
      <c r="M33" s="154"/>
      <c r="N33" s="152"/>
      <c r="Q33" s="53"/>
      <c r="R33" s="53"/>
    </row>
    <row r="34" spans="1:26" s="144" customFormat="1" x14ac:dyDescent="0.25">
      <c r="A34" s="153"/>
      <c r="B34" s="150" t="s">
        <v>92</v>
      </c>
      <c r="C34" s="150"/>
      <c r="D34" s="150"/>
      <c r="E34" s="151"/>
      <c r="F34" s="151"/>
      <c r="G34" s="151"/>
      <c r="H34" s="151"/>
      <c r="I34" s="151"/>
      <c r="J34" s="151"/>
      <c r="K34" s="154"/>
      <c r="L34" s="151"/>
      <c r="M34" s="154"/>
      <c r="N34" s="152"/>
      <c r="Q34" s="53"/>
      <c r="R34" s="53"/>
    </row>
    <row r="35" spans="1:26" s="144" customFormat="1" x14ac:dyDescent="0.25">
      <c r="A35" s="155"/>
      <c r="B35" s="156"/>
      <c r="C35" s="157"/>
      <c r="D35" s="157"/>
      <c r="E35" s="157"/>
      <c r="F35" s="157"/>
      <c r="G35" s="157"/>
      <c r="H35" s="157"/>
      <c r="I35" s="157"/>
      <c r="J35" s="157"/>
      <c r="K35" s="158"/>
      <c r="L35" s="157"/>
      <c r="M35" s="158"/>
      <c r="N35" s="159"/>
      <c r="Q35" s="53"/>
      <c r="R35" s="53"/>
    </row>
    <row r="48" spans="1:26" x14ac:dyDescent="0.3">
      <c r="H48" s="1028"/>
      <c r="I48" s="1028"/>
      <c r="J48" s="1028"/>
      <c r="K48" s="1028"/>
      <c r="L48" s="1028"/>
      <c r="M48" s="1028"/>
      <c r="N48" s="1028"/>
      <c r="O48" s="1028"/>
      <c r="P48" s="1028"/>
      <c r="Q48" s="1028"/>
      <c r="R48" s="1028"/>
      <c r="S48" s="1028"/>
      <c r="T48" s="1028"/>
      <c r="U48" s="1028"/>
      <c r="V48" s="1028"/>
      <c r="W48" s="1028"/>
      <c r="X48" s="1028"/>
      <c r="Y48" s="1028"/>
      <c r="Z48" s="1028"/>
    </row>
    <row r="49" spans="8:26" x14ac:dyDescent="0.3">
      <c r="H49" s="1028" t="s">
        <v>82</v>
      </c>
      <c r="I49" s="1028"/>
      <c r="J49" s="1028"/>
      <c r="K49" s="1028"/>
      <c r="L49" s="1028"/>
      <c r="M49" s="1028"/>
      <c r="N49" s="1028"/>
      <c r="O49" s="1028"/>
      <c r="P49" s="1028"/>
      <c r="Q49" s="1028"/>
      <c r="R49" s="1028"/>
      <c r="S49" s="1028"/>
      <c r="T49" s="1028"/>
      <c r="U49" s="1028"/>
      <c r="V49" s="1028"/>
      <c r="W49" s="1028"/>
      <c r="X49" s="1028"/>
      <c r="Y49" s="1028"/>
      <c r="Z49" s="1028"/>
    </row>
    <row r="50" spans="8:26" x14ac:dyDescent="0.3">
      <c r="H50" s="1028" t="s">
        <v>83</v>
      </c>
      <c r="I50" s="1028"/>
      <c r="J50" s="1028"/>
      <c r="K50" s="1028"/>
      <c r="L50" s="1028"/>
      <c r="M50" s="1028"/>
      <c r="N50" s="1028"/>
      <c r="O50" s="1028"/>
      <c r="P50" s="1028"/>
      <c r="Q50" s="1028"/>
      <c r="R50" s="1028"/>
      <c r="S50" s="1028"/>
      <c r="T50" s="1028"/>
      <c r="U50" s="1028"/>
      <c r="V50" s="1028"/>
      <c r="W50" s="1028"/>
      <c r="X50" s="1028"/>
      <c r="Y50" s="1028"/>
      <c r="Z50" s="1028"/>
    </row>
  </sheetData>
  <mergeCells count="34">
    <mergeCell ref="N8:N9"/>
    <mergeCell ref="A5:N5"/>
    <mergeCell ref="J6:K7"/>
    <mergeCell ref="L6:M6"/>
    <mergeCell ref="L7:M7"/>
    <mergeCell ref="A8:A9"/>
    <mergeCell ref="B8:B9"/>
    <mergeCell ref="C8:C9"/>
    <mergeCell ref="D8:D9"/>
    <mergeCell ref="E8:F8"/>
    <mergeCell ref="G8:H8"/>
    <mergeCell ref="I8:I9"/>
    <mergeCell ref="J8:J9"/>
    <mergeCell ref="K8:K9"/>
    <mergeCell ref="L8:L9"/>
    <mergeCell ref="M8:M9"/>
    <mergeCell ref="A18:A19"/>
    <mergeCell ref="B18:B19"/>
    <mergeCell ref="C18:C19"/>
    <mergeCell ref="D18:D19"/>
    <mergeCell ref="E18:F18"/>
    <mergeCell ref="H50:Z50"/>
    <mergeCell ref="I18:I19"/>
    <mergeCell ref="J18:J19"/>
    <mergeCell ref="K18:K19"/>
    <mergeCell ref="L18:L19"/>
    <mergeCell ref="M18:M19"/>
    <mergeCell ref="N18:N19"/>
    <mergeCell ref="G18:H18"/>
    <mergeCell ref="A24:K24"/>
    <mergeCell ref="M24:N25"/>
    <mergeCell ref="A25:K25"/>
    <mergeCell ref="H48:Z48"/>
    <mergeCell ref="H49:Z49"/>
  </mergeCells>
  <dataValidations count="1">
    <dataValidation type="list" allowBlank="1" showInputMessage="1" showErrorMessage="1" sqref="B10:B16 B20:B23">
      <formula1>$Q$1:$Q$9</formula1>
    </dataValidation>
  </dataValidations>
  <printOptions horizontalCentered="1"/>
  <pageMargins left="0.59055118110236227" right="0.59055118110236227" top="1.7716535433070868" bottom="0.78740157480314965" header="0" footer="0"/>
  <pageSetup paperSize="9" scale="42" fitToHeight="100" orientation="landscape" r:id="rId1"/>
  <headerFooter scaleWithDoc="0">
    <oddHeader>&amp;L&amp;G</oddHead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Q39"/>
  <sheetViews>
    <sheetView showGridLines="0" view="pageBreakPreview" topLeftCell="A10" zoomScaleNormal="95" zoomScaleSheetLayoutView="100" workbookViewId="0">
      <selection activeCell="J11" sqref="J11"/>
    </sheetView>
  </sheetViews>
  <sheetFormatPr defaultRowHeight="13.2" x14ac:dyDescent="0.25"/>
  <cols>
    <col min="1" max="1" width="15.88671875" style="160" customWidth="1"/>
    <col min="2" max="2" width="28.88671875" style="160" customWidth="1"/>
    <col min="3" max="3" width="15.33203125" style="160" customWidth="1"/>
    <col min="4" max="4" width="10" style="160" customWidth="1"/>
    <col min="5" max="5" width="12" style="160" customWidth="1"/>
    <col min="6" max="8" width="12.88671875" style="160" customWidth="1"/>
    <col min="9" max="9" width="11.88671875" style="160" customWidth="1"/>
    <col min="10" max="10" width="13.33203125" style="160" customWidth="1"/>
    <col min="11" max="11" width="14.5546875" style="160" customWidth="1"/>
    <col min="12" max="12" width="12.44140625" style="160" customWidth="1"/>
    <col min="13" max="13" width="2.6640625" style="160" customWidth="1"/>
    <col min="14" max="256" width="9.109375" style="160"/>
    <col min="257" max="257" width="15.88671875" style="160" customWidth="1"/>
    <col min="258" max="258" width="28.88671875" style="160" customWidth="1"/>
    <col min="259" max="259" width="10.44140625" style="160" customWidth="1"/>
    <col min="260" max="260" width="10" style="160" customWidth="1"/>
    <col min="261" max="261" width="12" style="160" customWidth="1"/>
    <col min="262" max="264" width="12.88671875" style="160" customWidth="1"/>
    <col min="265" max="265" width="11.88671875" style="160" customWidth="1"/>
    <col min="266" max="266" width="13.33203125" style="160" customWidth="1"/>
    <col min="267" max="267" width="14.5546875" style="160" customWidth="1"/>
    <col min="268" max="268" width="12.44140625" style="160" customWidth="1"/>
    <col min="269" max="269" width="2.6640625" style="160" customWidth="1"/>
    <col min="270" max="512" width="9.109375" style="160"/>
    <col min="513" max="513" width="15.88671875" style="160" customWidth="1"/>
    <col min="514" max="514" width="28.88671875" style="160" customWidth="1"/>
    <col min="515" max="515" width="10.44140625" style="160" customWidth="1"/>
    <col min="516" max="516" width="10" style="160" customWidth="1"/>
    <col min="517" max="517" width="12" style="160" customWidth="1"/>
    <col min="518" max="520" width="12.88671875" style="160" customWidth="1"/>
    <col min="521" max="521" width="11.88671875" style="160" customWidth="1"/>
    <col min="522" max="522" width="13.33203125" style="160" customWidth="1"/>
    <col min="523" max="523" width="14.5546875" style="160" customWidth="1"/>
    <col min="524" max="524" width="12.44140625" style="160" customWidth="1"/>
    <col min="525" max="525" width="2.6640625" style="160" customWidth="1"/>
    <col min="526" max="768" width="9.109375" style="160"/>
    <col min="769" max="769" width="15.88671875" style="160" customWidth="1"/>
    <col min="770" max="770" width="28.88671875" style="160" customWidth="1"/>
    <col min="771" max="771" width="10.44140625" style="160" customWidth="1"/>
    <col min="772" max="772" width="10" style="160" customWidth="1"/>
    <col min="773" max="773" width="12" style="160" customWidth="1"/>
    <col min="774" max="776" width="12.88671875" style="160" customWidth="1"/>
    <col min="777" max="777" width="11.88671875" style="160" customWidth="1"/>
    <col min="778" max="778" width="13.33203125" style="160" customWidth="1"/>
    <col min="779" max="779" width="14.5546875" style="160" customWidth="1"/>
    <col min="780" max="780" width="12.44140625" style="160" customWidth="1"/>
    <col min="781" max="781" width="2.6640625" style="160" customWidth="1"/>
    <col min="782" max="1024" width="9.109375" style="160"/>
    <col min="1025" max="1025" width="15.88671875" style="160" customWidth="1"/>
    <col min="1026" max="1026" width="28.88671875" style="160" customWidth="1"/>
    <col min="1027" max="1027" width="10.44140625" style="160" customWidth="1"/>
    <col min="1028" max="1028" width="10" style="160" customWidth="1"/>
    <col min="1029" max="1029" width="12" style="160" customWidth="1"/>
    <col min="1030" max="1032" width="12.88671875" style="160" customWidth="1"/>
    <col min="1033" max="1033" width="11.88671875" style="160" customWidth="1"/>
    <col min="1034" max="1034" width="13.33203125" style="160" customWidth="1"/>
    <col min="1035" max="1035" width="14.5546875" style="160" customWidth="1"/>
    <col min="1036" max="1036" width="12.44140625" style="160" customWidth="1"/>
    <col min="1037" max="1037" width="2.6640625" style="160" customWidth="1"/>
    <col min="1038" max="1280" width="9.109375" style="160"/>
    <col min="1281" max="1281" width="15.88671875" style="160" customWidth="1"/>
    <col min="1282" max="1282" width="28.88671875" style="160" customWidth="1"/>
    <col min="1283" max="1283" width="10.44140625" style="160" customWidth="1"/>
    <col min="1284" max="1284" width="10" style="160" customWidth="1"/>
    <col min="1285" max="1285" width="12" style="160" customWidth="1"/>
    <col min="1286" max="1288" width="12.88671875" style="160" customWidth="1"/>
    <col min="1289" max="1289" width="11.88671875" style="160" customWidth="1"/>
    <col min="1290" max="1290" width="13.33203125" style="160" customWidth="1"/>
    <col min="1291" max="1291" width="14.5546875" style="160" customWidth="1"/>
    <col min="1292" max="1292" width="12.44140625" style="160" customWidth="1"/>
    <col min="1293" max="1293" width="2.6640625" style="160" customWidth="1"/>
    <col min="1294" max="1536" width="9.109375" style="160"/>
    <col min="1537" max="1537" width="15.88671875" style="160" customWidth="1"/>
    <col min="1538" max="1538" width="28.88671875" style="160" customWidth="1"/>
    <col min="1539" max="1539" width="10.44140625" style="160" customWidth="1"/>
    <col min="1540" max="1540" width="10" style="160" customWidth="1"/>
    <col min="1541" max="1541" width="12" style="160" customWidth="1"/>
    <col min="1542" max="1544" width="12.88671875" style="160" customWidth="1"/>
    <col min="1545" max="1545" width="11.88671875" style="160" customWidth="1"/>
    <col min="1546" max="1546" width="13.33203125" style="160" customWidth="1"/>
    <col min="1547" max="1547" width="14.5546875" style="160" customWidth="1"/>
    <col min="1548" max="1548" width="12.44140625" style="160" customWidth="1"/>
    <col min="1549" max="1549" width="2.6640625" style="160" customWidth="1"/>
    <col min="1550" max="1792" width="9.109375" style="160"/>
    <col min="1793" max="1793" width="15.88671875" style="160" customWidth="1"/>
    <col min="1794" max="1794" width="28.88671875" style="160" customWidth="1"/>
    <col min="1795" max="1795" width="10.44140625" style="160" customWidth="1"/>
    <col min="1796" max="1796" width="10" style="160" customWidth="1"/>
    <col min="1797" max="1797" width="12" style="160" customWidth="1"/>
    <col min="1798" max="1800" width="12.88671875" style="160" customWidth="1"/>
    <col min="1801" max="1801" width="11.88671875" style="160" customWidth="1"/>
    <col min="1802" max="1802" width="13.33203125" style="160" customWidth="1"/>
    <col min="1803" max="1803" width="14.5546875" style="160" customWidth="1"/>
    <col min="1804" max="1804" width="12.44140625" style="160" customWidth="1"/>
    <col min="1805" max="1805" width="2.6640625" style="160" customWidth="1"/>
    <col min="1806" max="2048" width="9.109375" style="160"/>
    <col min="2049" max="2049" width="15.88671875" style="160" customWidth="1"/>
    <col min="2050" max="2050" width="28.88671875" style="160" customWidth="1"/>
    <col min="2051" max="2051" width="10.44140625" style="160" customWidth="1"/>
    <col min="2052" max="2052" width="10" style="160" customWidth="1"/>
    <col min="2053" max="2053" width="12" style="160" customWidth="1"/>
    <col min="2054" max="2056" width="12.88671875" style="160" customWidth="1"/>
    <col min="2057" max="2057" width="11.88671875" style="160" customWidth="1"/>
    <col min="2058" max="2058" width="13.33203125" style="160" customWidth="1"/>
    <col min="2059" max="2059" width="14.5546875" style="160" customWidth="1"/>
    <col min="2060" max="2060" width="12.44140625" style="160" customWidth="1"/>
    <col min="2061" max="2061" width="2.6640625" style="160" customWidth="1"/>
    <col min="2062" max="2304" width="9.109375" style="160"/>
    <col min="2305" max="2305" width="15.88671875" style="160" customWidth="1"/>
    <col min="2306" max="2306" width="28.88671875" style="160" customWidth="1"/>
    <col min="2307" max="2307" width="10.44140625" style="160" customWidth="1"/>
    <col min="2308" max="2308" width="10" style="160" customWidth="1"/>
    <col min="2309" max="2309" width="12" style="160" customWidth="1"/>
    <col min="2310" max="2312" width="12.88671875" style="160" customWidth="1"/>
    <col min="2313" max="2313" width="11.88671875" style="160" customWidth="1"/>
    <col min="2314" max="2314" width="13.33203125" style="160" customWidth="1"/>
    <col min="2315" max="2315" width="14.5546875" style="160" customWidth="1"/>
    <col min="2316" max="2316" width="12.44140625" style="160" customWidth="1"/>
    <col min="2317" max="2317" width="2.6640625" style="160" customWidth="1"/>
    <col min="2318" max="2560" width="9.109375" style="160"/>
    <col min="2561" max="2561" width="15.88671875" style="160" customWidth="1"/>
    <col min="2562" max="2562" width="28.88671875" style="160" customWidth="1"/>
    <col min="2563" max="2563" width="10.44140625" style="160" customWidth="1"/>
    <col min="2564" max="2564" width="10" style="160" customWidth="1"/>
    <col min="2565" max="2565" width="12" style="160" customWidth="1"/>
    <col min="2566" max="2568" width="12.88671875" style="160" customWidth="1"/>
    <col min="2569" max="2569" width="11.88671875" style="160" customWidth="1"/>
    <col min="2570" max="2570" width="13.33203125" style="160" customWidth="1"/>
    <col min="2571" max="2571" width="14.5546875" style="160" customWidth="1"/>
    <col min="2572" max="2572" width="12.44140625" style="160" customWidth="1"/>
    <col min="2573" max="2573" width="2.6640625" style="160" customWidth="1"/>
    <col min="2574" max="2816" width="9.109375" style="160"/>
    <col min="2817" max="2817" width="15.88671875" style="160" customWidth="1"/>
    <col min="2818" max="2818" width="28.88671875" style="160" customWidth="1"/>
    <col min="2819" max="2819" width="10.44140625" style="160" customWidth="1"/>
    <col min="2820" max="2820" width="10" style="160" customWidth="1"/>
    <col min="2821" max="2821" width="12" style="160" customWidth="1"/>
    <col min="2822" max="2824" width="12.88671875" style="160" customWidth="1"/>
    <col min="2825" max="2825" width="11.88671875" style="160" customWidth="1"/>
    <col min="2826" max="2826" width="13.33203125" style="160" customWidth="1"/>
    <col min="2827" max="2827" width="14.5546875" style="160" customWidth="1"/>
    <col min="2828" max="2828" width="12.44140625" style="160" customWidth="1"/>
    <col min="2829" max="2829" width="2.6640625" style="160" customWidth="1"/>
    <col min="2830" max="3072" width="9.109375" style="160"/>
    <col min="3073" max="3073" width="15.88671875" style="160" customWidth="1"/>
    <col min="3074" max="3074" width="28.88671875" style="160" customWidth="1"/>
    <col min="3075" max="3075" width="10.44140625" style="160" customWidth="1"/>
    <col min="3076" max="3076" width="10" style="160" customWidth="1"/>
    <col min="3077" max="3077" width="12" style="160" customWidth="1"/>
    <col min="3078" max="3080" width="12.88671875" style="160" customWidth="1"/>
    <col min="3081" max="3081" width="11.88671875" style="160" customWidth="1"/>
    <col min="3082" max="3082" width="13.33203125" style="160" customWidth="1"/>
    <col min="3083" max="3083" width="14.5546875" style="160" customWidth="1"/>
    <col min="3084" max="3084" width="12.44140625" style="160" customWidth="1"/>
    <col min="3085" max="3085" width="2.6640625" style="160" customWidth="1"/>
    <col min="3086" max="3328" width="9.109375" style="160"/>
    <col min="3329" max="3329" width="15.88671875" style="160" customWidth="1"/>
    <col min="3330" max="3330" width="28.88671875" style="160" customWidth="1"/>
    <col min="3331" max="3331" width="10.44140625" style="160" customWidth="1"/>
    <col min="3332" max="3332" width="10" style="160" customWidth="1"/>
    <col min="3333" max="3333" width="12" style="160" customWidth="1"/>
    <col min="3334" max="3336" width="12.88671875" style="160" customWidth="1"/>
    <col min="3337" max="3337" width="11.88671875" style="160" customWidth="1"/>
    <col min="3338" max="3338" width="13.33203125" style="160" customWidth="1"/>
    <col min="3339" max="3339" width="14.5546875" style="160" customWidth="1"/>
    <col min="3340" max="3340" width="12.44140625" style="160" customWidth="1"/>
    <col min="3341" max="3341" width="2.6640625" style="160" customWidth="1"/>
    <col min="3342" max="3584" width="9.109375" style="160"/>
    <col min="3585" max="3585" width="15.88671875" style="160" customWidth="1"/>
    <col min="3586" max="3586" width="28.88671875" style="160" customWidth="1"/>
    <col min="3587" max="3587" width="10.44140625" style="160" customWidth="1"/>
    <col min="3588" max="3588" width="10" style="160" customWidth="1"/>
    <col min="3589" max="3589" width="12" style="160" customWidth="1"/>
    <col min="3590" max="3592" width="12.88671875" style="160" customWidth="1"/>
    <col min="3593" max="3593" width="11.88671875" style="160" customWidth="1"/>
    <col min="3594" max="3594" width="13.33203125" style="160" customWidth="1"/>
    <col min="3595" max="3595" width="14.5546875" style="160" customWidth="1"/>
    <col min="3596" max="3596" width="12.44140625" style="160" customWidth="1"/>
    <col min="3597" max="3597" width="2.6640625" style="160" customWidth="1"/>
    <col min="3598" max="3840" width="9.109375" style="160"/>
    <col min="3841" max="3841" width="15.88671875" style="160" customWidth="1"/>
    <col min="3842" max="3842" width="28.88671875" style="160" customWidth="1"/>
    <col min="3843" max="3843" width="10.44140625" style="160" customWidth="1"/>
    <col min="3844" max="3844" width="10" style="160" customWidth="1"/>
    <col min="3845" max="3845" width="12" style="160" customWidth="1"/>
    <col min="3846" max="3848" width="12.88671875" style="160" customWidth="1"/>
    <col min="3849" max="3849" width="11.88671875" style="160" customWidth="1"/>
    <col min="3850" max="3850" width="13.33203125" style="160" customWidth="1"/>
    <col min="3851" max="3851" width="14.5546875" style="160" customWidth="1"/>
    <col min="3852" max="3852" width="12.44140625" style="160" customWidth="1"/>
    <col min="3853" max="3853" width="2.6640625" style="160" customWidth="1"/>
    <col min="3854" max="4096" width="9.109375" style="160"/>
    <col min="4097" max="4097" width="15.88671875" style="160" customWidth="1"/>
    <col min="4098" max="4098" width="28.88671875" style="160" customWidth="1"/>
    <col min="4099" max="4099" width="10.44140625" style="160" customWidth="1"/>
    <col min="4100" max="4100" width="10" style="160" customWidth="1"/>
    <col min="4101" max="4101" width="12" style="160" customWidth="1"/>
    <col min="4102" max="4104" width="12.88671875" style="160" customWidth="1"/>
    <col min="4105" max="4105" width="11.88671875" style="160" customWidth="1"/>
    <col min="4106" max="4106" width="13.33203125" style="160" customWidth="1"/>
    <col min="4107" max="4107" width="14.5546875" style="160" customWidth="1"/>
    <col min="4108" max="4108" width="12.44140625" style="160" customWidth="1"/>
    <col min="4109" max="4109" width="2.6640625" style="160" customWidth="1"/>
    <col min="4110" max="4352" width="9.109375" style="160"/>
    <col min="4353" max="4353" width="15.88671875" style="160" customWidth="1"/>
    <col min="4354" max="4354" width="28.88671875" style="160" customWidth="1"/>
    <col min="4355" max="4355" width="10.44140625" style="160" customWidth="1"/>
    <col min="4356" max="4356" width="10" style="160" customWidth="1"/>
    <col min="4357" max="4357" width="12" style="160" customWidth="1"/>
    <col min="4358" max="4360" width="12.88671875" style="160" customWidth="1"/>
    <col min="4361" max="4361" width="11.88671875" style="160" customWidth="1"/>
    <col min="4362" max="4362" width="13.33203125" style="160" customWidth="1"/>
    <col min="4363" max="4363" width="14.5546875" style="160" customWidth="1"/>
    <col min="4364" max="4364" width="12.44140625" style="160" customWidth="1"/>
    <col min="4365" max="4365" width="2.6640625" style="160" customWidth="1"/>
    <col min="4366" max="4608" width="9.109375" style="160"/>
    <col min="4609" max="4609" width="15.88671875" style="160" customWidth="1"/>
    <col min="4610" max="4610" width="28.88671875" style="160" customWidth="1"/>
    <col min="4611" max="4611" width="10.44140625" style="160" customWidth="1"/>
    <col min="4612" max="4612" width="10" style="160" customWidth="1"/>
    <col min="4613" max="4613" width="12" style="160" customWidth="1"/>
    <col min="4614" max="4616" width="12.88671875" style="160" customWidth="1"/>
    <col min="4617" max="4617" width="11.88671875" style="160" customWidth="1"/>
    <col min="4618" max="4618" width="13.33203125" style="160" customWidth="1"/>
    <col min="4619" max="4619" width="14.5546875" style="160" customWidth="1"/>
    <col min="4620" max="4620" width="12.44140625" style="160" customWidth="1"/>
    <col min="4621" max="4621" width="2.6640625" style="160" customWidth="1"/>
    <col min="4622" max="4864" width="9.109375" style="160"/>
    <col min="4865" max="4865" width="15.88671875" style="160" customWidth="1"/>
    <col min="4866" max="4866" width="28.88671875" style="160" customWidth="1"/>
    <col min="4867" max="4867" width="10.44140625" style="160" customWidth="1"/>
    <col min="4868" max="4868" width="10" style="160" customWidth="1"/>
    <col min="4869" max="4869" width="12" style="160" customWidth="1"/>
    <col min="4870" max="4872" width="12.88671875" style="160" customWidth="1"/>
    <col min="4873" max="4873" width="11.88671875" style="160" customWidth="1"/>
    <col min="4874" max="4874" width="13.33203125" style="160" customWidth="1"/>
    <col min="4875" max="4875" width="14.5546875" style="160" customWidth="1"/>
    <col min="4876" max="4876" width="12.44140625" style="160" customWidth="1"/>
    <col min="4877" max="4877" width="2.6640625" style="160" customWidth="1"/>
    <col min="4878" max="5120" width="9.109375" style="160"/>
    <col min="5121" max="5121" width="15.88671875" style="160" customWidth="1"/>
    <col min="5122" max="5122" width="28.88671875" style="160" customWidth="1"/>
    <col min="5123" max="5123" width="10.44140625" style="160" customWidth="1"/>
    <col min="5124" max="5124" width="10" style="160" customWidth="1"/>
    <col min="5125" max="5125" width="12" style="160" customWidth="1"/>
    <col min="5126" max="5128" width="12.88671875" style="160" customWidth="1"/>
    <col min="5129" max="5129" width="11.88671875" style="160" customWidth="1"/>
    <col min="5130" max="5130" width="13.33203125" style="160" customWidth="1"/>
    <col min="5131" max="5131" width="14.5546875" style="160" customWidth="1"/>
    <col min="5132" max="5132" width="12.44140625" style="160" customWidth="1"/>
    <col min="5133" max="5133" width="2.6640625" style="160" customWidth="1"/>
    <col min="5134" max="5376" width="9.109375" style="160"/>
    <col min="5377" max="5377" width="15.88671875" style="160" customWidth="1"/>
    <col min="5378" max="5378" width="28.88671875" style="160" customWidth="1"/>
    <col min="5379" max="5379" width="10.44140625" style="160" customWidth="1"/>
    <col min="5380" max="5380" width="10" style="160" customWidth="1"/>
    <col min="5381" max="5381" width="12" style="160" customWidth="1"/>
    <col min="5382" max="5384" width="12.88671875" style="160" customWidth="1"/>
    <col min="5385" max="5385" width="11.88671875" style="160" customWidth="1"/>
    <col min="5386" max="5386" width="13.33203125" style="160" customWidth="1"/>
    <col min="5387" max="5387" width="14.5546875" style="160" customWidth="1"/>
    <col min="5388" max="5388" width="12.44140625" style="160" customWidth="1"/>
    <col min="5389" max="5389" width="2.6640625" style="160" customWidth="1"/>
    <col min="5390" max="5632" width="9.109375" style="160"/>
    <col min="5633" max="5633" width="15.88671875" style="160" customWidth="1"/>
    <col min="5634" max="5634" width="28.88671875" style="160" customWidth="1"/>
    <col min="5635" max="5635" width="10.44140625" style="160" customWidth="1"/>
    <col min="5636" max="5636" width="10" style="160" customWidth="1"/>
    <col min="5637" max="5637" width="12" style="160" customWidth="1"/>
    <col min="5638" max="5640" width="12.88671875" style="160" customWidth="1"/>
    <col min="5641" max="5641" width="11.88671875" style="160" customWidth="1"/>
    <col min="5642" max="5642" width="13.33203125" style="160" customWidth="1"/>
    <col min="5643" max="5643" width="14.5546875" style="160" customWidth="1"/>
    <col min="5644" max="5644" width="12.44140625" style="160" customWidth="1"/>
    <col min="5645" max="5645" width="2.6640625" style="160" customWidth="1"/>
    <col min="5646" max="5888" width="9.109375" style="160"/>
    <col min="5889" max="5889" width="15.88671875" style="160" customWidth="1"/>
    <col min="5890" max="5890" width="28.88671875" style="160" customWidth="1"/>
    <col min="5891" max="5891" width="10.44140625" style="160" customWidth="1"/>
    <col min="5892" max="5892" width="10" style="160" customWidth="1"/>
    <col min="5893" max="5893" width="12" style="160" customWidth="1"/>
    <col min="5894" max="5896" width="12.88671875" style="160" customWidth="1"/>
    <col min="5897" max="5897" width="11.88671875" style="160" customWidth="1"/>
    <col min="5898" max="5898" width="13.33203125" style="160" customWidth="1"/>
    <col min="5899" max="5899" width="14.5546875" style="160" customWidth="1"/>
    <col min="5900" max="5900" width="12.44140625" style="160" customWidth="1"/>
    <col min="5901" max="5901" width="2.6640625" style="160" customWidth="1"/>
    <col min="5902" max="6144" width="9.109375" style="160"/>
    <col min="6145" max="6145" width="15.88671875" style="160" customWidth="1"/>
    <col min="6146" max="6146" width="28.88671875" style="160" customWidth="1"/>
    <col min="6147" max="6147" width="10.44140625" style="160" customWidth="1"/>
    <col min="6148" max="6148" width="10" style="160" customWidth="1"/>
    <col min="6149" max="6149" width="12" style="160" customWidth="1"/>
    <col min="6150" max="6152" width="12.88671875" style="160" customWidth="1"/>
    <col min="6153" max="6153" width="11.88671875" style="160" customWidth="1"/>
    <col min="6154" max="6154" width="13.33203125" style="160" customWidth="1"/>
    <col min="6155" max="6155" width="14.5546875" style="160" customWidth="1"/>
    <col min="6156" max="6156" width="12.44140625" style="160" customWidth="1"/>
    <col min="6157" max="6157" width="2.6640625" style="160" customWidth="1"/>
    <col min="6158" max="6400" width="9.109375" style="160"/>
    <col min="6401" max="6401" width="15.88671875" style="160" customWidth="1"/>
    <col min="6402" max="6402" width="28.88671875" style="160" customWidth="1"/>
    <col min="6403" max="6403" width="10.44140625" style="160" customWidth="1"/>
    <col min="6404" max="6404" width="10" style="160" customWidth="1"/>
    <col min="6405" max="6405" width="12" style="160" customWidth="1"/>
    <col min="6406" max="6408" width="12.88671875" style="160" customWidth="1"/>
    <col min="6409" max="6409" width="11.88671875" style="160" customWidth="1"/>
    <col min="6410" max="6410" width="13.33203125" style="160" customWidth="1"/>
    <col min="6411" max="6411" width="14.5546875" style="160" customWidth="1"/>
    <col min="6412" max="6412" width="12.44140625" style="160" customWidth="1"/>
    <col min="6413" max="6413" width="2.6640625" style="160" customWidth="1"/>
    <col min="6414" max="6656" width="9.109375" style="160"/>
    <col min="6657" max="6657" width="15.88671875" style="160" customWidth="1"/>
    <col min="6658" max="6658" width="28.88671875" style="160" customWidth="1"/>
    <col min="6659" max="6659" width="10.44140625" style="160" customWidth="1"/>
    <col min="6660" max="6660" width="10" style="160" customWidth="1"/>
    <col min="6661" max="6661" width="12" style="160" customWidth="1"/>
    <col min="6662" max="6664" width="12.88671875" style="160" customWidth="1"/>
    <col min="6665" max="6665" width="11.88671875" style="160" customWidth="1"/>
    <col min="6666" max="6666" width="13.33203125" style="160" customWidth="1"/>
    <col min="6667" max="6667" width="14.5546875" style="160" customWidth="1"/>
    <col min="6668" max="6668" width="12.44140625" style="160" customWidth="1"/>
    <col min="6669" max="6669" width="2.6640625" style="160" customWidth="1"/>
    <col min="6670" max="6912" width="9.109375" style="160"/>
    <col min="6913" max="6913" width="15.88671875" style="160" customWidth="1"/>
    <col min="6914" max="6914" width="28.88671875" style="160" customWidth="1"/>
    <col min="6915" max="6915" width="10.44140625" style="160" customWidth="1"/>
    <col min="6916" max="6916" width="10" style="160" customWidth="1"/>
    <col min="6917" max="6917" width="12" style="160" customWidth="1"/>
    <col min="6918" max="6920" width="12.88671875" style="160" customWidth="1"/>
    <col min="6921" max="6921" width="11.88671875" style="160" customWidth="1"/>
    <col min="6922" max="6922" width="13.33203125" style="160" customWidth="1"/>
    <col min="6923" max="6923" width="14.5546875" style="160" customWidth="1"/>
    <col min="6924" max="6924" width="12.44140625" style="160" customWidth="1"/>
    <col min="6925" max="6925" width="2.6640625" style="160" customWidth="1"/>
    <col min="6926" max="7168" width="9.109375" style="160"/>
    <col min="7169" max="7169" width="15.88671875" style="160" customWidth="1"/>
    <col min="7170" max="7170" width="28.88671875" style="160" customWidth="1"/>
    <col min="7171" max="7171" width="10.44140625" style="160" customWidth="1"/>
    <col min="7172" max="7172" width="10" style="160" customWidth="1"/>
    <col min="7173" max="7173" width="12" style="160" customWidth="1"/>
    <col min="7174" max="7176" width="12.88671875" style="160" customWidth="1"/>
    <col min="7177" max="7177" width="11.88671875" style="160" customWidth="1"/>
    <col min="7178" max="7178" width="13.33203125" style="160" customWidth="1"/>
    <col min="7179" max="7179" width="14.5546875" style="160" customWidth="1"/>
    <col min="7180" max="7180" width="12.44140625" style="160" customWidth="1"/>
    <col min="7181" max="7181" width="2.6640625" style="160" customWidth="1"/>
    <col min="7182" max="7424" width="9.109375" style="160"/>
    <col min="7425" max="7425" width="15.88671875" style="160" customWidth="1"/>
    <col min="7426" max="7426" width="28.88671875" style="160" customWidth="1"/>
    <col min="7427" max="7427" width="10.44140625" style="160" customWidth="1"/>
    <col min="7428" max="7428" width="10" style="160" customWidth="1"/>
    <col min="7429" max="7429" width="12" style="160" customWidth="1"/>
    <col min="7430" max="7432" width="12.88671875" style="160" customWidth="1"/>
    <col min="7433" max="7433" width="11.88671875" style="160" customWidth="1"/>
    <col min="7434" max="7434" width="13.33203125" style="160" customWidth="1"/>
    <col min="7435" max="7435" width="14.5546875" style="160" customWidth="1"/>
    <col min="7436" max="7436" width="12.44140625" style="160" customWidth="1"/>
    <col min="7437" max="7437" width="2.6640625" style="160" customWidth="1"/>
    <col min="7438" max="7680" width="9.109375" style="160"/>
    <col min="7681" max="7681" width="15.88671875" style="160" customWidth="1"/>
    <col min="7682" max="7682" width="28.88671875" style="160" customWidth="1"/>
    <col min="7683" max="7683" width="10.44140625" style="160" customWidth="1"/>
    <col min="7684" max="7684" width="10" style="160" customWidth="1"/>
    <col min="7685" max="7685" width="12" style="160" customWidth="1"/>
    <col min="7686" max="7688" width="12.88671875" style="160" customWidth="1"/>
    <col min="7689" max="7689" width="11.88671875" style="160" customWidth="1"/>
    <col min="7690" max="7690" width="13.33203125" style="160" customWidth="1"/>
    <col min="7691" max="7691" width="14.5546875" style="160" customWidth="1"/>
    <col min="7692" max="7692" width="12.44140625" style="160" customWidth="1"/>
    <col min="7693" max="7693" width="2.6640625" style="160" customWidth="1"/>
    <col min="7694" max="7936" width="9.109375" style="160"/>
    <col min="7937" max="7937" width="15.88671875" style="160" customWidth="1"/>
    <col min="7938" max="7938" width="28.88671875" style="160" customWidth="1"/>
    <col min="7939" max="7939" width="10.44140625" style="160" customWidth="1"/>
    <col min="7940" max="7940" width="10" style="160" customWidth="1"/>
    <col min="7941" max="7941" width="12" style="160" customWidth="1"/>
    <col min="7942" max="7944" width="12.88671875" style="160" customWidth="1"/>
    <col min="7945" max="7945" width="11.88671875" style="160" customWidth="1"/>
    <col min="7946" max="7946" width="13.33203125" style="160" customWidth="1"/>
    <col min="7947" max="7947" width="14.5546875" style="160" customWidth="1"/>
    <col min="7948" max="7948" width="12.44140625" style="160" customWidth="1"/>
    <col min="7949" max="7949" width="2.6640625" style="160" customWidth="1"/>
    <col min="7950" max="8192" width="9.109375" style="160"/>
    <col min="8193" max="8193" width="15.88671875" style="160" customWidth="1"/>
    <col min="8194" max="8194" width="28.88671875" style="160" customWidth="1"/>
    <col min="8195" max="8195" width="10.44140625" style="160" customWidth="1"/>
    <col min="8196" max="8196" width="10" style="160" customWidth="1"/>
    <col min="8197" max="8197" width="12" style="160" customWidth="1"/>
    <col min="8198" max="8200" width="12.88671875" style="160" customWidth="1"/>
    <col min="8201" max="8201" width="11.88671875" style="160" customWidth="1"/>
    <col min="8202" max="8202" width="13.33203125" style="160" customWidth="1"/>
    <col min="8203" max="8203" width="14.5546875" style="160" customWidth="1"/>
    <col min="8204" max="8204" width="12.44140625" style="160" customWidth="1"/>
    <col min="8205" max="8205" width="2.6640625" style="160" customWidth="1"/>
    <col min="8206" max="8448" width="9.109375" style="160"/>
    <col min="8449" max="8449" width="15.88671875" style="160" customWidth="1"/>
    <col min="8450" max="8450" width="28.88671875" style="160" customWidth="1"/>
    <col min="8451" max="8451" width="10.44140625" style="160" customWidth="1"/>
    <col min="8452" max="8452" width="10" style="160" customWidth="1"/>
    <col min="8453" max="8453" width="12" style="160" customWidth="1"/>
    <col min="8454" max="8456" width="12.88671875" style="160" customWidth="1"/>
    <col min="8457" max="8457" width="11.88671875" style="160" customWidth="1"/>
    <col min="8458" max="8458" width="13.33203125" style="160" customWidth="1"/>
    <col min="8459" max="8459" width="14.5546875" style="160" customWidth="1"/>
    <col min="8460" max="8460" width="12.44140625" style="160" customWidth="1"/>
    <col min="8461" max="8461" width="2.6640625" style="160" customWidth="1"/>
    <col min="8462" max="8704" width="9.109375" style="160"/>
    <col min="8705" max="8705" width="15.88671875" style="160" customWidth="1"/>
    <col min="8706" max="8706" width="28.88671875" style="160" customWidth="1"/>
    <col min="8707" max="8707" width="10.44140625" style="160" customWidth="1"/>
    <col min="8708" max="8708" width="10" style="160" customWidth="1"/>
    <col min="8709" max="8709" width="12" style="160" customWidth="1"/>
    <col min="8710" max="8712" width="12.88671875" style="160" customWidth="1"/>
    <col min="8713" max="8713" width="11.88671875" style="160" customWidth="1"/>
    <col min="8714" max="8714" width="13.33203125" style="160" customWidth="1"/>
    <col min="8715" max="8715" width="14.5546875" style="160" customWidth="1"/>
    <col min="8716" max="8716" width="12.44140625" style="160" customWidth="1"/>
    <col min="8717" max="8717" width="2.6640625" style="160" customWidth="1"/>
    <col min="8718" max="8960" width="9.109375" style="160"/>
    <col min="8961" max="8961" width="15.88671875" style="160" customWidth="1"/>
    <col min="8962" max="8962" width="28.88671875" style="160" customWidth="1"/>
    <col min="8963" max="8963" width="10.44140625" style="160" customWidth="1"/>
    <col min="8964" max="8964" width="10" style="160" customWidth="1"/>
    <col min="8965" max="8965" width="12" style="160" customWidth="1"/>
    <col min="8966" max="8968" width="12.88671875" style="160" customWidth="1"/>
    <col min="8969" max="8969" width="11.88671875" style="160" customWidth="1"/>
    <col min="8970" max="8970" width="13.33203125" style="160" customWidth="1"/>
    <col min="8971" max="8971" width="14.5546875" style="160" customWidth="1"/>
    <col min="8972" max="8972" width="12.44140625" style="160" customWidth="1"/>
    <col min="8973" max="8973" width="2.6640625" style="160" customWidth="1"/>
    <col min="8974" max="9216" width="9.109375" style="160"/>
    <col min="9217" max="9217" width="15.88671875" style="160" customWidth="1"/>
    <col min="9218" max="9218" width="28.88671875" style="160" customWidth="1"/>
    <col min="9219" max="9219" width="10.44140625" style="160" customWidth="1"/>
    <col min="9220" max="9220" width="10" style="160" customWidth="1"/>
    <col min="9221" max="9221" width="12" style="160" customWidth="1"/>
    <col min="9222" max="9224" width="12.88671875" style="160" customWidth="1"/>
    <col min="9225" max="9225" width="11.88671875" style="160" customWidth="1"/>
    <col min="9226" max="9226" width="13.33203125" style="160" customWidth="1"/>
    <col min="9227" max="9227" width="14.5546875" style="160" customWidth="1"/>
    <col min="9228" max="9228" width="12.44140625" style="160" customWidth="1"/>
    <col min="9229" max="9229" width="2.6640625" style="160" customWidth="1"/>
    <col min="9230" max="9472" width="9.109375" style="160"/>
    <col min="9473" max="9473" width="15.88671875" style="160" customWidth="1"/>
    <col min="9474" max="9474" width="28.88671875" style="160" customWidth="1"/>
    <col min="9475" max="9475" width="10.44140625" style="160" customWidth="1"/>
    <col min="9476" max="9476" width="10" style="160" customWidth="1"/>
    <col min="9477" max="9477" width="12" style="160" customWidth="1"/>
    <col min="9478" max="9480" width="12.88671875" style="160" customWidth="1"/>
    <col min="9481" max="9481" width="11.88671875" style="160" customWidth="1"/>
    <col min="9482" max="9482" width="13.33203125" style="160" customWidth="1"/>
    <col min="9483" max="9483" width="14.5546875" style="160" customWidth="1"/>
    <col min="9484" max="9484" width="12.44140625" style="160" customWidth="1"/>
    <col min="9485" max="9485" width="2.6640625" style="160" customWidth="1"/>
    <col min="9486" max="9728" width="9.109375" style="160"/>
    <col min="9729" max="9729" width="15.88671875" style="160" customWidth="1"/>
    <col min="9730" max="9730" width="28.88671875" style="160" customWidth="1"/>
    <col min="9731" max="9731" width="10.44140625" style="160" customWidth="1"/>
    <col min="9732" max="9732" width="10" style="160" customWidth="1"/>
    <col min="9733" max="9733" width="12" style="160" customWidth="1"/>
    <col min="9734" max="9736" width="12.88671875" style="160" customWidth="1"/>
    <col min="9737" max="9737" width="11.88671875" style="160" customWidth="1"/>
    <col min="9738" max="9738" width="13.33203125" style="160" customWidth="1"/>
    <col min="9739" max="9739" width="14.5546875" style="160" customWidth="1"/>
    <col min="9740" max="9740" width="12.44140625" style="160" customWidth="1"/>
    <col min="9741" max="9741" width="2.6640625" style="160" customWidth="1"/>
    <col min="9742" max="9984" width="9.109375" style="160"/>
    <col min="9985" max="9985" width="15.88671875" style="160" customWidth="1"/>
    <col min="9986" max="9986" width="28.88671875" style="160" customWidth="1"/>
    <col min="9987" max="9987" width="10.44140625" style="160" customWidth="1"/>
    <col min="9988" max="9988" width="10" style="160" customWidth="1"/>
    <col min="9989" max="9989" width="12" style="160" customWidth="1"/>
    <col min="9990" max="9992" width="12.88671875" style="160" customWidth="1"/>
    <col min="9993" max="9993" width="11.88671875" style="160" customWidth="1"/>
    <col min="9994" max="9994" width="13.33203125" style="160" customWidth="1"/>
    <col min="9995" max="9995" width="14.5546875" style="160" customWidth="1"/>
    <col min="9996" max="9996" width="12.44140625" style="160" customWidth="1"/>
    <col min="9997" max="9997" width="2.6640625" style="160" customWidth="1"/>
    <col min="9998" max="10240" width="9.109375" style="160"/>
    <col min="10241" max="10241" width="15.88671875" style="160" customWidth="1"/>
    <col min="10242" max="10242" width="28.88671875" style="160" customWidth="1"/>
    <col min="10243" max="10243" width="10.44140625" style="160" customWidth="1"/>
    <col min="10244" max="10244" width="10" style="160" customWidth="1"/>
    <col min="10245" max="10245" width="12" style="160" customWidth="1"/>
    <col min="10246" max="10248" width="12.88671875" style="160" customWidth="1"/>
    <col min="10249" max="10249" width="11.88671875" style="160" customWidth="1"/>
    <col min="10250" max="10250" width="13.33203125" style="160" customWidth="1"/>
    <col min="10251" max="10251" width="14.5546875" style="160" customWidth="1"/>
    <col min="10252" max="10252" width="12.44140625" style="160" customWidth="1"/>
    <col min="10253" max="10253" width="2.6640625" style="160" customWidth="1"/>
    <col min="10254" max="10496" width="9.109375" style="160"/>
    <col min="10497" max="10497" width="15.88671875" style="160" customWidth="1"/>
    <col min="10498" max="10498" width="28.88671875" style="160" customWidth="1"/>
    <col min="10499" max="10499" width="10.44140625" style="160" customWidth="1"/>
    <col min="10500" max="10500" width="10" style="160" customWidth="1"/>
    <col min="10501" max="10501" width="12" style="160" customWidth="1"/>
    <col min="10502" max="10504" width="12.88671875" style="160" customWidth="1"/>
    <col min="10505" max="10505" width="11.88671875" style="160" customWidth="1"/>
    <col min="10506" max="10506" width="13.33203125" style="160" customWidth="1"/>
    <col min="10507" max="10507" width="14.5546875" style="160" customWidth="1"/>
    <col min="10508" max="10508" width="12.44140625" style="160" customWidth="1"/>
    <col min="10509" max="10509" width="2.6640625" style="160" customWidth="1"/>
    <col min="10510" max="10752" width="9.109375" style="160"/>
    <col min="10753" max="10753" width="15.88671875" style="160" customWidth="1"/>
    <col min="10754" max="10754" width="28.88671875" style="160" customWidth="1"/>
    <col min="10755" max="10755" width="10.44140625" style="160" customWidth="1"/>
    <col min="10756" max="10756" width="10" style="160" customWidth="1"/>
    <col min="10757" max="10757" width="12" style="160" customWidth="1"/>
    <col min="10758" max="10760" width="12.88671875" style="160" customWidth="1"/>
    <col min="10761" max="10761" width="11.88671875" style="160" customWidth="1"/>
    <col min="10762" max="10762" width="13.33203125" style="160" customWidth="1"/>
    <col min="10763" max="10763" width="14.5546875" style="160" customWidth="1"/>
    <col min="10764" max="10764" width="12.44140625" style="160" customWidth="1"/>
    <col min="10765" max="10765" width="2.6640625" style="160" customWidth="1"/>
    <col min="10766" max="11008" width="9.109375" style="160"/>
    <col min="11009" max="11009" width="15.88671875" style="160" customWidth="1"/>
    <col min="11010" max="11010" width="28.88671875" style="160" customWidth="1"/>
    <col min="11011" max="11011" width="10.44140625" style="160" customWidth="1"/>
    <col min="11012" max="11012" width="10" style="160" customWidth="1"/>
    <col min="11013" max="11013" width="12" style="160" customWidth="1"/>
    <col min="11014" max="11016" width="12.88671875" style="160" customWidth="1"/>
    <col min="11017" max="11017" width="11.88671875" style="160" customWidth="1"/>
    <col min="11018" max="11018" width="13.33203125" style="160" customWidth="1"/>
    <col min="11019" max="11019" width="14.5546875" style="160" customWidth="1"/>
    <col min="11020" max="11020" width="12.44140625" style="160" customWidth="1"/>
    <col min="11021" max="11021" width="2.6640625" style="160" customWidth="1"/>
    <col min="11022" max="11264" width="9.109375" style="160"/>
    <col min="11265" max="11265" width="15.88671875" style="160" customWidth="1"/>
    <col min="11266" max="11266" width="28.88671875" style="160" customWidth="1"/>
    <col min="11267" max="11267" width="10.44140625" style="160" customWidth="1"/>
    <col min="11268" max="11268" width="10" style="160" customWidth="1"/>
    <col min="11269" max="11269" width="12" style="160" customWidth="1"/>
    <col min="11270" max="11272" width="12.88671875" style="160" customWidth="1"/>
    <col min="11273" max="11273" width="11.88671875" style="160" customWidth="1"/>
    <col min="11274" max="11274" width="13.33203125" style="160" customWidth="1"/>
    <col min="11275" max="11275" width="14.5546875" style="160" customWidth="1"/>
    <col min="11276" max="11276" width="12.44140625" style="160" customWidth="1"/>
    <col min="11277" max="11277" width="2.6640625" style="160" customWidth="1"/>
    <col min="11278" max="11520" width="9.109375" style="160"/>
    <col min="11521" max="11521" width="15.88671875" style="160" customWidth="1"/>
    <col min="11522" max="11522" width="28.88671875" style="160" customWidth="1"/>
    <col min="11523" max="11523" width="10.44140625" style="160" customWidth="1"/>
    <col min="11524" max="11524" width="10" style="160" customWidth="1"/>
    <col min="11525" max="11525" width="12" style="160" customWidth="1"/>
    <col min="11526" max="11528" width="12.88671875" style="160" customWidth="1"/>
    <col min="11529" max="11529" width="11.88671875" style="160" customWidth="1"/>
    <col min="11530" max="11530" width="13.33203125" style="160" customWidth="1"/>
    <col min="11531" max="11531" width="14.5546875" style="160" customWidth="1"/>
    <col min="11532" max="11532" width="12.44140625" style="160" customWidth="1"/>
    <col min="11533" max="11533" width="2.6640625" style="160" customWidth="1"/>
    <col min="11534" max="11776" width="9.109375" style="160"/>
    <col min="11777" max="11777" width="15.88671875" style="160" customWidth="1"/>
    <col min="11778" max="11778" width="28.88671875" style="160" customWidth="1"/>
    <col min="11779" max="11779" width="10.44140625" style="160" customWidth="1"/>
    <col min="11780" max="11780" width="10" style="160" customWidth="1"/>
    <col min="11781" max="11781" width="12" style="160" customWidth="1"/>
    <col min="11782" max="11784" width="12.88671875" style="160" customWidth="1"/>
    <col min="11785" max="11785" width="11.88671875" style="160" customWidth="1"/>
    <col min="11786" max="11786" width="13.33203125" style="160" customWidth="1"/>
    <col min="11787" max="11787" width="14.5546875" style="160" customWidth="1"/>
    <col min="11788" max="11788" width="12.44140625" style="160" customWidth="1"/>
    <col min="11789" max="11789" width="2.6640625" style="160" customWidth="1"/>
    <col min="11790" max="12032" width="9.109375" style="160"/>
    <col min="12033" max="12033" width="15.88671875" style="160" customWidth="1"/>
    <col min="12034" max="12034" width="28.88671875" style="160" customWidth="1"/>
    <col min="12035" max="12035" width="10.44140625" style="160" customWidth="1"/>
    <col min="12036" max="12036" width="10" style="160" customWidth="1"/>
    <col min="12037" max="12037" width="12" style="160" customWidth="1"/>
    <col min="12038" max="12040" width="12.88671875" style="160" customWidth="1"/>
    <col min="12041" max="12041" width="11.88671875" style="160" customWidth="1"/>
    <col min="12042" max="12042" width="13.33203125" style="160" customWidth="1"/>
    <col min="12043" max="12043" width="14.5546875" style="160" customWidth="1"/>
    <col min="12044" max="12044" width="12.44140625" style="160" customWidth="1"/>
    <col min="12045" max="12045" width="2.6640625" style="160" customWidth="1"/>
    <col min="12046" max="12288" width="9.109375" style="160"/>
    <col min="12289" max="12289" width="15.88671875" style="160" customWidth="1"/>
    <col min="12290" max="12290" width="28.88671875" style="160" customWidth="1"/>
    <col min="12291" max="12291" width="10.44140625" style="160" customWidth="1"/>
    <col min="12292" max="12292" width="10" style="160" customWidth="1"/>
    <col min="12293" max="12293" width="12" style="160" customWidth="1"/>
    <col min="12294" max="12296" width="12.88671875" style="160" customWidth="1"/>
    <col min="12297" max="12297" width="11.88671875" style="160" customWidth="1"/>
    <col min="12298" max="12298" width="13.33203125" style="160" customWidth="1"/>
    <col min="12299" max="12299" width="14.5546875" style="160" customWidth="1"/>
    <col min="12300" max="12300" width="12.44140625" style="160" customWidth="1"/>
    <col min="12301" max="12301" width="2.6640625" style="160" customWidth="1"/>
    <col min="12302" max="12544" width="9.109375" style="160"/>
    <col min="12545" max="12545" width="15.88671875" style="160" customWidth="1"/>
    <col min="12546" max="12546" width="28.88671875" style="160" customWidth="1"/>
    <col min="12547" max="12547" width="10.44140625" style="160" customWidth="1"/>
    <col min="12548" max="12548" width="10" style="160" customWidth="1"/>
    <col min="12549" max="12549" width="12" style="160" customWidth="1"/>
    <col min="12550" max="12552" width="12.88671875" style="160" customWidth="1"/>
    <col min="12553" max="12553" width="11.88671875" style="160" customWidth="1"/>
    <col min="12554" max="12554" width="13.33203125" style="160" customWidth="1"/>
    <col min="12555" max="12555" width="14.5546875" style="160" customWidth="1"/>
    <col min="12556" max="12556" width="12.44140625" style="160" customWidth="1"/>
    <col min="12557" max="12557" width="2.6640625" style="160" customWidth="1"/>
    <col min="12558" max="12800" width="9.109375" style="160"/>
    <col min="12801" max="12801" width="15.88671875" style="160" customWidth="1"/>
    <col min="12802" max="12802" width="28.88671875" style="160" customWidth="1"/>
    <col min="12803" max="12803" width="10.44140625" style="160" customWidth="1"/>
    <col min="12804" max="12804" width="10" style="160" customWidth="1"/>
    <col min="12805" max="12805" width="12" style="160" customWidth="1"/>
    <col min="12806" max="12808" width="12.88671875" style="160" customWidth="1"/>
    <col min="12809" max="12809" width="11.88671875" style="160" customWidth="1"/>
    <col min="12810" max="12810" width="13.33203125" style="160" customWidth="1"/>
    <col min="12811" max="12811" width="14.5546875" style="160" customWidth="1"/>
    <col min="12812" max="12812" width="12.44140625" style="160" customWidth="1"/>
    <col min="12813" max="12813" width="2.6640625" style="160" customWidth="1"/>
    <col min="12814" max="13056" width="9.109375" style="160"/>
    <col min="13057" max="13057" width="15.88671875" style="160" customWidth="1"/>
    <col min="13058" max="13058" width="28.88671875" style="160" customWidth="1"/>
    <col min="13059" max="13059" width="10.44140625" style="160" customWidth="1"/>
    <col min="13060" max="13060" width="10" style="160" customWidth="1"/>
    <col min="13061" max="13061" width="12" style="160" customWidth="1"/>
    <col min="13062" max="13064" width="12.88671875" style="160" customWidth="1"/>
    <col min="13065" max="13065" width="11.88671875" style="160" customWidth="1"/>
    <col min="13066" max="13066" width="13.33203125" style="160" customWidth="1"/>
    <col min="13067" max="13067" width="14.5546875" style="160" customWidth="1"/>
    <col min="13068" max="13068" width="12.44140625" style="160" customWidth="1"/>
    <col min="13069" max="13069" width="2.6640625" style="160" customWidth="1"/>
    <col min="13070" max="13312" width="9.109375" style="160"/>
    <col min="13313" max="13313" width="15.88671875" style="160" customWidth="1"/>
    <col min="13314" max="13314" width="28.88671875" style="160" customWidth="1"/>
    <col min="13315" max="13315" width="10.44140625" style="160" customWidth="1"/>
    <col min="13316" max="13316" width="10" style="160" customWidth="1"/>
    <col min="13317" max="13317" width="12" style="160" customWidth="1"/>
    <col min="13318" max="13320" width="12.88671875" style="160" customWidth="1"/>
    <col min="13321" max="13321" width="11.88671875" style="160" customWidth="1"/>
    <col min="13322" max="13322" width="13.33203125" style="160" customWidth="1"/>
    <col min="13323" max="13323" width="14.5546875" style="160" customWidth="1"/>
    <col min="13324" max="13324" width="12.44140625" style="160" customWidth="1"/>
    <col min="13325" max="13325" width="2.6640625" style="160" customWidth="1"/>
    <col min="13326" max="13568" width="9.109375" style="160"/>
    <col min="13569" max="13569" width="15.88671875" style="160" customWidth="1"/>
    <col min="13570" max="13570" width="28.88671875" style="160" customWidth="1"/>
    <col min="13571" max="13571" width="10.44140625" style="160" customWidth="1"/>
    <col min="13572" max="13572" width="10" style="160" customWidth="1"/>
    <col min="13573" max="13573" width="12" style="160" customWidth="1"/>
    <col min="13574" max="13576" width="12.88671875" style="160" customWidth="1"/>
    <col min="13577" max="13577" width="11.88671875" style="160" customWidth="1"/>
    <col min="13578" max="13578" width="13.33203125" style="160" customWidth="1"/>
    <col min="13579" max="13579" width="14.5546875" style="160" customWidth="1"/>
    <col min="13580" max="13580" width="12.44140625" style="160" customWidth="1"/>
    <col min="13581" max="13581" width="2.6640625" style="160" customWidth="1"/>
    <col min="13582" max="13824" width="9.109375" style="160"/>
    <col min="13825" max="13825" width="15.88671875" style="160" customWidth="1"/>
    <col min="13826" max="13826" width="28.88671875" style="160" customWidth="1"/>
    <col min="13827" max="13827" width="10.44140625" style="160" customWidth="1"/>
    <col min="13828" max="13828" width="10" style="160" customWidth="1"/>
    <col min="13829" max="13829" width="12" style="160" customWidth="1"/>
    <col min="13830" max="13832" width="12.88671875" style="160" customWidth="1"/>
    <col min="13833" max="13833" width="11.88671875" style="160" customWidth="1"/>
    <col min="13834" max="13834" width="13.33203125" style="160" customWidth="1"/>
    <col min="13835" max="13835" width="14.5546875" style="160" customWidth="1"/>
    <col min="13836" max="13836" width="12.44140625" style="160" customWidth="1"/>
    <col min="13837" max="13837" width="2.6640625" style="160" customWidth="1"/>
    <col min="13838" max="14080" width="9.109375" style="160"/>
    <col min="14081" max="14081" width="15.88671875" style="160" customWidth="1"/>
    <col min="14082" max="14082" width="28.88671875" style="160" customWidth="1"/>
    <col min="14083" max="14083" width="10.44140625" style="160" customWidth="1"/>
    <col min="14084" max="14084" width="10" style="160" customWidth="1"/>
    <col min="14085" max="14085" width="12" style="160" customWidth="1"/>
    <col min="14086" max="14088" width="12.88671875" style="160" customWidth="1"/>
    <col min="14089" max="14089" width="11.88671875" style="160" customWidth="1"/>
    <col min="14090" max="14090" width="13.33203125" style="160" customWidth="1"/>
    <col min="14091" max="14091" width="14.5546875" style="160" customWidth="1"/>
    <col min="14092" max="14092" width="12.44140625" style="160" customWidth="1"/>
    <col min="14093" max="14093" width="2.6640625" style="160" customWidth="1"/>
    <col min="14094" max="14336" width="9.109375" style="160"/>
    <col min="14337" max="14337" width="15.88671875" style="160" customWidth="1"/>
    <col min="14338" max="14338" width="28.88671875" style="160" customWidth="1"/>
    <col min="14339" max="14339" width="10.44140625" style="160" customWidth="1"/>
    <col min="14340" max="14340" width="10" style="160" customWidth="1"/>
    <col min="14341" max="14341" width="12" style="160" customWidth="1"/>
    <col min="14342" max="14344" width="12.88671875" style="160" customWidth="1"/>
    <col min="14345" max="14345" width="11.88671875" style="160" customWidth="1"/>
    <col min="14346" max="14346" width="13.33203125" style="160" customWidth="1"/>
    <col min="14347" max="14347" width="14.5546875" style="160" customWidth="1"/>
    <col min="14348" max="14348" width="12.44140625" style="160" customWidth="1"/>
    <col min="14349" max="14349" width="2.6640625" style="160" customWidth="1"/>
    <col min="14350" max="14592" width="9.109375" style="160"/>
    <col min="14593" max="14593" width="15.88671875" style="160" customWidth="1"/>
    <col min="14594" max="14594" width="28.88671875" style="160" customWidth="1"/>
    <col min="14595" max="14595" width="10.44140625" style="160" customWidth="1"/>
    <col min="14596" max="14596" width="10" style="160" customWidth="1"/>
    <col min="14597" max="14597" width="12" style="160" customWidth="1"/>
    <col min="14598" max="14600" width="12.88671875" style="160" customWidth="1"/>
    <col min="14601" max="14601" width="11.88671875" style="160" customWidth="1"/>
    <col min="14602" max="14602" width="13.33203125" style="160" customWidth="1"/>
    <col min="14603" max="14603" width="14.5546875" style="160" customWidth="1"/>
    <col min="14604" max="14604" width="12.44140625" style="160" customWidth="1"/>
    <col min="14605" max="14605" width="2.6640625" style="160" customWidth="1"/>
    <col min="14606" max="14848" width="9.109375" style="160"/>
    <col min="14849" max="14849" width="15.88671875" style="160" customWidth="1"/>
    <col min="14850" max="14850" width="28.88671875" style="160" customWidth="1"/>
    <col min="14851" max="14851" width="10.44140625" style="160" customWidth="1"/>
    <col min="14852" max="14852" width="10" style="160" customWidth="1"/>
    <col min="14853" max="14853" width="12" style="160" customWidth="1"/>
    <col min="14854" max="14856" width="12.88671875" style="160" customWidth="1"/>
    <col min="14857" max="14857" width="11.88671875" style="160" customWidth="1"/>
    <col min="14858" max="14858" width="13.33203125" style="160" customWidth="1"/>
    <col min="14859" max="14859" width="14.5546875" style="160" customWidth="1"/>
    <col min="14860" max="14860" width="12.44140625" style="160" customWidth="1"/>
    <col min="14861" max="14861" width="2.6640625" style="160" customWidth="1"/>
    <col min="14862" max="15104" width="9.109375" style="160"/>
    <col min="15105" max="15105" width="15.88671875" style="160" customWidth="1"/>
    <col min="15106" max="15106" width="28.88671875" style="160" customWidth="1"/>
    <col min="15107" max="15107" width="10.44140625" style="160" customWidth="1"/>
    <col min="15108" max="15108" width="10" style="160" customWidth="1"/>
    <col min="15109" max="15109" width="12" style="160" customWidth="1"/>
    <col min="15110" max="15112" width="12.88671875" style="160" customWidth="1"/>
    <col min="15113" max="15113" width="11.88671875" style="160" customWidth="1"/>
    <col min="15114" max="15114" width="13.33203125" style="160" customWidth="1"/>
    <col min="15115" max="15115" width="14.5546875" style="160" customWidth="1"/>
    <col min="15116" max="15116" width="12.44140625" style="160" customWidth="1"/>
    <col min="15117" max="15117" width="2.6640625" style="160" customWidth="1"/>
    <col min="15118" max="15360" width="9.109375" style="160"/>
    <col min="15361" max="15361" width="15.88671875" style="160" customWidth="1"/>
    <col min="15362" max="15362" width="28.88671875" style="160" customWidth="1"/>
    <col min="15363" max="15363" width="10.44140625" style="160" customWidth="1"/>
    <col min="15364" max="15364" width="10" style="160" customWidth="1"/>
    <col min="15365" max="15365" width="12" style="160" customWidth="1"/>
    <col min="15366" max="15368" width="12.88671875" style="160" customWidth="1"/>
    <col min="15369" max="15369" width="11.88671875" style="160" customWidth="1"/>
    <col min="15370" max="15370" width="13.33203125" style="160" customWidth="1"/>
    <col min="15371" max="15371" width="14.5546875" style="160" customWidth="1"/>
    <col min="15372" max="15372" width="12.44140625" style="160" customWidth="1"/>
    <col min="15373" max="15373" width="2.6640625" style="160" customWidth="1"/>
    <col min="15374" max="15616" width="9.109375" style="160"/>
    <col min="15617" max="15617" width="15.88671875" style="160" customWidth="1"/>
    <col min="15618" max="15618" width="28.88671875" style="160" customWidth="1"/>
    <col min="15619" max="15619" width="10.44140625" style="160" customWidth="1"/>
    <col min="15620" max="15620" width="10" style="160" customWidth="1"/>
    <col min="15621" max="15621" width="12" style="160" customWidth="1"/>
    <col min="15622" max="15624" width="12.88671875" style="160" customWidth="1"/>
    <col min="15625" max="15625" width="11.88671875" style="160" customWidth="1"/>
    <col min="15626" max="15626" width="13.33203125" style="160" customWidth="1"/>
    <col min="15627" max="15627" width="14.5546875" style="160" customWidth="1"/>
    <col min="15628" max="15628" width="12.44140625" style="160" customWidth="1"/>
    <col min="15629" max="15629" width="2.6640625" style="160" customWidth="1"/>
    <col min="15630" max="15872" width="9.109375" style="160"/>
    <col min="15873" max="15873" width="15.88671875" style="160" customWidth="1"/>
    <col min="15874" max="15874" width="28.88671875" style="160" customWidth="1"/>
    <col min="15875" max="15875" width="10.44140625" style="160" customWidth="1"/>
    <col min="15876" max="15876" width="10" style="160" customWidth="1"/>
    <col min="15877" max="15877" width="12" style="160" customWidth="1"/>
    <col min="15878" max="15880" width="12.88671875" style="160" customWidth="1"/>
    <col min="15881" max="15881" width="11.88671875" style="160" customWidth="1"/>
    <col min="15882" max="15882" width="13.33203125" style="160" customWidth="1"/>
    <col min="15883" max="15883" width="14.5546875" style="160" customWidth="1"/>
    <col min="15884" max="15884" width="12.44140625" style="160" customWidth="1"/>
    <col min="15885" max="15885" width="2.6640625" style="160" customWidth="1"/>
    <col min="15886" max="16128" width="9.109375" style="160"/>
    <col min="16129" max="16129" width="15.88671875" style="160" customWidth="1"/>
    <col min="16130" max="16130" width="28.88671875" style="160" customWidth="1"/>
    <col min="16131" max="16131" width="10.44140625" style="160" customWidth="1"/>
    <col min="16132" max="16132" width="10" style="160" customWidth="1"/>
    <col min="16133" max="16133" width="12" style="160" customWidth="1"/>
    <col min="16134" max="16136" width="12.88671875" style="160" customWidth="1"/>
    <col min="16137" max="16137" width="11.88671875" style="160" customWidth="1"/>
    <col min="16138" max="16138" width="13.33203125" style="160" customWidth="1"/>
    <col min="16139" max="16139" width="14.5546875" style="160" customWidth="1"/>
    <col min="16140" max="16140" width="12.44140625" style="160" customWidth="1"/>
    <col min="16141" max="16141" width="2.6640625" style="160" customWidth="1"/>
    <col min="16142" max="16384" width="9.109375" style="160"/>
  </cols>
  <sheetData>
    <row r="1" spans="1:16" ht="21" customHeight="1" x14ac:dyDescent="0.25">
      <c r="A1" s="1122" t="s">
        <v>93</v>
      </c>
      <c r="B1" s="1123"/>
      <c r="C1" s="1123"/>
      <c r="D1" s="1123"/>
      <c r="E1" s="1123"/>
      <c r="F1" s="1123"/>
      <c r="G1" s="1123"/>
      <c r="H1" s="1123"/>
      <c r="I1" s="1123"/>
      <c r="J1" s="1123"/>
      <c r="K1" s="1123"/>
      <c r="L1" s="1124"/>
    </row>
    <row r="2" spans="1:16" ht="19.5" customHeight="1" x14ac:dyDescent="0.2">
      <c r="A2" s="161" t="s">
        <v>94</v>
      </c>
      <c r="B2" s="162"/>
      <c r="C2" s="162"/>
      <c r="D2" s="162"/>
      <c r="E2" s="163" t="s">
        <v>95</v>
      </c>
      <c r="F2" s="162" t="s">
        <v>96</v>
      </c>
      <c r="G2" s="162"/>
      <c r="H2" s="163" t="s">
        <v>97</v>
      </c>
      <c r="I2" s="164">
        <v>0.16414000000000001</v>
      </c>
      <c r="J2" s="163"/>
      <c r="K2" s="165"/>
      <c r="L2" s="166"/>
    </row>
    <row r="3" spans="1:16" ht="21" customHeight="1" x14ac:dyDescent="0.25">
      <c r="A3" s="167" t="s">
        <v>98</v>
      </c>
      <c r="B3" s="168" t="s">
        <v>99</v>
      </c>
      <c r="C3" s="169"/>
      <c r="D3" s="169"/>
      <c r="E3" s="169"/>
      <c r="F3" s="169"/>
      <c r="G3" s="169"/>
      <c r="H3" s="169"/>
      <c r="I3" s="169"/>
      <c r="J3" s="170" t="s">
        <v>100</v>
      </c>
      <c r="K3" s="171">
        <v>230.19</v>
      </c>
      <c r="L3" s="172" t="s">
        <v>101</v>
      </c>
    </row>
    <row r="4" spans="1:16" ht="14.25" customHeight="1" x14ac:dyDescent="0.25">
      <c r="A4" s="1068" t="s">
        <v>102</v>
      </c>
      <c r="B4" s="1070" t="s">
        <v>103</v>
      </c>
      <c r="C4" s="173"/>
      <c r="D4" s="1070" t="s">
        <v>104</v>
      </c>
      <c r="E4" s="1070" t="s">
        <v>105</v>
      </c>
      <c r="F4" s="1073"/>
      <c r="G4" s="1075" t="s">
        <v>106</v>
      </c>
      <c r="H4" s="1072"/>
      <c r="I4" s="1076"/>
      <c r="J4" s="1075" t="s">
        <v>107</v>
      </c>
      <c r="K4" s="1072"/>
      <c r="L4" s="1076"/>
    </row>
    <row r="5" spans="1:16" ht="12.75" customHeight="1" x14ac:dyDescent="0.25">
      <c r="A5" s="1125"/>
      <c r="B5" s="1126"/>
      <c r="C5" s="174"/>
      <c r="D5" s="1126"/>
      <c r="E5" s="1071"/>
      <c r="F5" s="1074"/>
      <c r="G5" s="1075" t="s">
        <v>108</v>
      </c>
      <c r="H5" s="1076"/>
      <c r="I5" s="175" t="s">
        <v>22</v>
      </c>
      <c r="J5" s="1075" t="s">
        <v>108</v>
      </c>
      <c r="K5" s="1072"/>
      <c r="L5" s="176" t="s">
        <v>22</v>
      </c>
    </row>
    <row r="6" spans="1:16" ht="12.75" customHeight="1" x14ac:dyDescent="0.25">
      <c r="A6" s="1069"/>
      <c r="B6" s="1071"/>
      <c r="C6" s="177"/>
      <c r="D6" s="1071"/>
      <c r="E6" s="178" t="s">
        <v>109</v>
      </c>
      <c r="F6" s="178" t="s">
        <v>110</v>
      </c>
      <c r="G6" s="179" t="s">
        <v>111</v>
      </c>
      <c r="H6" s="178" t="s">
        <v>112</v>
      </c>
      <c r="I6" s="180" t="s">
        <v>23</v>
      </c>
      <c r="J6" s="179" t="s">
        <v>111</v>
      </c>
      <c r="K6" s="178" t="s">
        <v>112</v>
      </c>
      <c r="L6" s="181" t="s">
        <v>23</v>
      </c>
    </row>
    <row r="7" spans="1:16" ht="26.25" customHeight="1" x14ac:dyDescent="0.25">
      <c r="A7" s="182" t="s">
        <v>79</v>
      </c>
      <c r="B7" s="1094" t="s">
        <v>1138</v>
      </c>
      <c r="C7" s="1094"/>
      <c r="D7" s="183">
        <v>1</v>
      </c>
      <c r="E7" s="184">
        <v>1</v>
      </c>
      <c r="F7" s="184">
        <v>0</v>
      </c>
      <c r="G7" s="182"/>
      <c r="H7" s="185"/>
      <c r="I7" s="186"/>
      <c r="J7" s="182"/>
      <c r="K7" s="187"/>
      <c r="L7" s="188">
        <f>ROUND(D7*((E7*J7)+(K7*F7)),4)</f>
        <v>0</v>
      </c>
      <c r="P7" s="160" t="s">
        <v>113</v>
      </c>
    </row>
    <row r="8" spans="1:16" ht="15" customHeight="1" x14ac:dyDescent="0.25">
      <c r="A8" s="1064" t="s">
        <v>114</v>
      </c>
      <c r="B8" s="1065"/>
      <c r="C8" s="1065"/>
      <c r="D8" s="1065"/>
      <c r="E8" s="1065"/>
      <c r="F8" s="1065"/>
      <c r="G8" s="1065"/>
      <c r="H8" s="1121"/>
      <c r="I8" s="189">
        <f>SUM(I7:I7)</f>
        <v>0</v>
      </c>
      <c r="J8" s="190"/>
      <c r="K8" s="191"/>
      <c r="L8" s="192">
        <f>SUM(L7:L7)</f>
        <v>0</v>
      </c>
      <c r="N8" s="193"/>
    </row>
    <row r="9" spans="1:16" ht="15" customHeight="1" x14ac:dyDescent="0.25">
      <c r="A9" s="1068" t="s">
        <v>115</v>
      </c>
      <c r="B9" s="1070" t="s">
        <v>116</v>
      </c>
      <c r="C9" s="194"/>
      <c r="D9" s="1070" t="s">
        <v>104</v>
      </c>
      <c r="E9" s="1070" t="s">
        <v>21</v>
      </c>
      <c r="F9" s="194"/>
      <c r="G9" s="1075" t="s">
        <v>106</v>
      </c>
      <c r="H9" s="1072"/>
      <c r="I9" s="1076"/>
      <c r="J9" s="1075" t="s">
        <v>107</v>
      </c>
      <c r="K9" s="1072"/>
      <c r="L9" s="1076"/>
      <c r="N9" s="193"/>
    </row>
    <row r="10" spans="1:16" ht="15" customHeight="1" x14ac:dyDescent="0.25">
      <c r="A10" s="1069"/>
      <c r="B10" s="1071"/>
      <c r="C10" s="177"/>
      <c r="D10" s="1071"/>
      <c r="E10" s="1071"/>
      <c r="F10" s="195"/>
      <c r="G10" s="179" t="s">
        <v>117</v>
      </c>
      <c r="H10" s="1071" t="s">
        <v>118</v>
      </c>
      <c r="I10" s="1074"/>
      <c r="J10" s="179" t="s">
        <v>117</v>
      </c>
      <c r="K10" s="1071" t="s">
        <v>118</v>
      </c>
      <c r="L10" s="1074"/>
    </row>
    <row r="11" spans="1:16" ht="15" customHeight="1" x14ac:dyDescent="0.2">
      <c r="A11" s="196" t="s">
        <v>119</v>
      </c>
      <c r="B11" s="197" t="s">
        <v>1224</v>
      </c>
      <c r="C11" s="198"/>
      <c r="D11" s="199">
        <v>1</v>
      </c>
      <c r="E11" s="200" t="s">
        <v>1101</v>
      </c>
      <c r="F11" s="201"/>
      <c r="G11" s="202">
        <v>24.822099999999999</v>
      </c>
      <c r="H11" s="1107"/>
      <c r="I11" s="1108"/>
      <c r="J11" s="202"/>
      <c r="K11" s="1107">
        <f>ROUND(J11*D11,4)</f>
        <v>0</v>
      </c>
      <c r="L11" s="1108"/>
    </row>
    <row r="12" spans="1:16" ht="15" customHeight="1" x14ac:dyDescent="0.25">
      <c r="A12" s="1117" t="s">
        <v>120</v>
      </c>
      <c r="B12" s="1118"/>
      <c r="C12" s="1118"/>
      <c r="D12" s="1118"/>
      <c r="E12" s="1118"/>
      <c r="F12" s="1118"/>
      <c r="G12" s="1118"/>
      <c r="H12" s="1119">
        <f>SUM(H11:I11)</f>
        <v>0</v>
      </c>
      <c r="I12" s="1119"/>
      <c r="J12" s="203"/>
      <c r="K12" s="1119">
        <f>SUM(K11:L11)</f>
        <v>0</v>
      </c>
      <c r="L12" s="1120"/>
    </row>
    <row r="13" spans="1:16" ht="15" customHeight="1" x14ac:dyDescent="0.25">
      <c r="A13" s="1109" t="s">
        <v>121</v>
      </c>
      <c r="B13" s="1110"/>
      <c r="C13" s="1110"/>
      <c r="D13" s="1110"/>
      <c r="E13" s="1110"/>
      <c r="F13" s="1110"/>
      <c r="G13" s="1110"/>
      <c r="H13" s="1111">
        <f>H12+I8</f>
        <v>0</v>
      </c>
      <c r="I13" s="1111"/>
      <c r="J13" s="204"/>
      <c r="K13" s="1111">
        <f>K12+L8</f>
        <v>0</v>
      </c>
      <c r="L13" s="1112"/>
    </row>
    <row r="14" spans="1:16" ht="15" customHeight="1" x14ac:dyDescent="0.25">
      <c r="A14" s="1113" t="s">
        <v>122</v>
      </c>
      <c r="B14" s="1114"/>
      <c r="C14" s="1114"/>
      <c r="D14" s="1114"/>
      <c r="E14" s="1114"/>
      <c r="F14" s="1114"/>
      <c r="G14" s="1114"/>
      <c r="H14" s="1115">
        <f>(H12+I8)/K3</f>
        <v>0</v>
      </c>
      <c r="I14" s="1116"/>
      <c r="J14" s="205"/>
      <c r="K14" s="1115">
        <f>(K12+L8)/K3</f>
        <v>0</v>
      </c>
      <c r="L14" s="1116"/>
    </row>
    <row r="15" spans="1:16" ht="15" customHeight="1" x14ac:dyDescent="0.2">
      <c r="A15" s="1102" t="s">
        <v>123</v>
      </c>
      <c r="B15" s="1103"/>
      <c r="C15" s="1103"/>
      <c r="D15" s="1103"/>
      <c r="E15" s="1103"/>
      <c r="F15" s="1103"/>
      <c r="G15" s="1103"/>
      <c r="H15" s="1104">
        <f>((H11+($D$7*H7))/$K$3)*$I$2</f>
        <v>0</v>
      </c>
      <c r="I15" s="1105"/>
      <c r="J15" s="206"/>
      <c r="K15" s="1104">
        <f>((K11+($D$7*K7))/$K$3)*$I$2</f>
        <v>0</v>
      </c>
      <c r="L15" s="1105"/>
    </row>
    <row r="16" spans="1:16" ht="15" customHeight="1" x14ac:dyDescent="0.25">
      <c r="A16" s="207" t="s">
        <v>124</v>
      </c>
      <c r="B16" s="208" t="s">
        <v>125</v>
      </c>
      <c r="C16" s="209"/>
      <c r="D16" s="208" t="s">
        <v>104</v>
      </c>
      <c r="E16" s="208" t="s">
        <v>126</v>
      </c>
      <c r="F16" s="209"/>
      <c r="G16" s="210"/>
      <c r="H16" s="210" t="s">
        <v>127</v>
      </c>
      <c r="I16" s="210"/>
      <c r="J16" s="208"/>
      <c r="K16" s="1072" t="s">
        <v>128</v>
      </c>
      <c r="L16" s="1076"/>
      <c r="M16" s="211"/>
    </row>
    <row r="17" spans="1:17" ht="12" customHeight="1" x14ac:dyDescent="0.2">
      <c r="A17" s="212"/>
      <c r="B17" s="197"/>
      <c r="C17" s="213"/>
      <c r="D17" s="214"/>
      <c r="E17" s="215"/>
      <c r="F17" s="213"/>
      <c r="G17" s="1106"/>
      <c r="H17" s="1106"/>
      <c r="I17" s="1106"/>
      <c r="J17" s="216"/>
      <c r="K17" s="1107"/>
      <c r="L17" s="1108"/>
      <c r="M17" s="211"/>
      <c r="O17" s="160" t="s">
        <v>129</v>
      </c>
    </row>
    <row r="18" spans="1:17" ht="12" hidden="1" customHeight="1" x14ac:dyDescent="0.2">
      <c r="A18" s="217"/>
      <c r="B18" s="218"/>
      <c r="C18" s="219"/>
      <c r="D18" s="183"/>
      <c r="E18" s="185"/>
      <c r="F18" s="219"/>
      <c r="G18" s="1097"/>
      <c r="H18" s="1097"/>
      <c r="I18" s="1097"/>
      <c r="J18" s="220"/>
      <c r="K18" s="1098"/>
      <c r="L18" s="1099"/>
      <c r="M18" s="211"/>
    </row>
    <row r="19" spans="1:17" ht="12" customHeight="1" x14ac:dyDescent="0.2">
      <c r="A19" s="217"/>
      <c r="B19" s="218"/>
      <c r="C19" s="219"/>
      <c r="D19" s="183"/>
      <c r="E19" s="185"/>
      <c r="F19" s="219"/>
      <c r="G19" s="1097"/>
      <c r="H19" s="1097"/>
      <c r="I19" s="1097"/>
      <c r="J19" s="220"/>
      <c r="K19" s="1098"/>
      <c r="L19" s="1099"/>
      <c r="M19" s="211"/>
    </row>
    <row r="20" spans="1:17" ht="15" customHeight="1" x14ac:dyDescent="0.2">
      <c r="A20" s="1064" t="s">
        <v>130</v>
      </c>
      <c r="B20" s="1065"/>
      <c r="C20" s="1065"/>
      <c r="D20" s="1065"/>
      <c r="E20" s="1065"/>
      <c r="F20" s="1065"/>
      <c r="G20" s="1065"/>
      <c r="H20" s="1065"/>
      <c r="I20" s="1065"/>
      <c r="J20" s="1065"/>
      <c r="K20" s="1100">
        <f>SUM(K17:L19)</f>
        <v>0</v>
      </c>
      <c r="L20" s="1101"/>
      <c r="M20" s="221"/>
    </row>
    <row r="21" spans="1:17" ht="12" customHeight="1" x14ac:dyDescent="0.25">
      <c r="A21" s="1068" t="s">
        <v>131</v>
      </c>
      <c r="B21" s="1070" t="s">
        <v>132</v>
      </c>
      <c r="C21" s="194"/>
      <c r="D21" s="1070"/>
      <c r="E21" s="1070" t="s">
        <v>104</v>
      </c>
      <c r="F21" s="1073" t="s">
        <v>126</v>
      </c>
      <c r="G21" s="1075" t="s">
        <v>106</v>
      </c>
      <c r="H21" s="1072"/>
      <c r="I21" s="1076"/>
      <c r="J21" s="1075" t="s">
        <v>107</v>
      </c>
      <c r="K21" s="1072"/>
      <c r="L21" s="1076"/>
      <c r="M21" s="221"/>
    </row>
    <row r="22" spans="1:17" ht="15" customHeight="1" x14ac:dyDescent="0.25">
      <c r="A22" s="1069"/>
      <c r="B22" s="1071"/>
      <c r="C22" s="177"/>
      <c r="D22" s="1071"/>
      <c r="E22" s="1071"/>
      <c r="F22" s="1074"/>
      <c r="G22" s="179" t="s">
        <v>128</v>
      </c>
      <c r="H22" s="1071" t="s">
        <v>133</v>
      </c>
      <c r="I22" s="1074"/>
      <c r="J22" s="179" t="s">
        <v>128</v>
      </c>
      <c r="K22" s="1071" t="s">
        <v>133</v>
      </c>
      <c r="L22" s="1074"/>
      <c r="M22" s="221"/>
    </row>
    <row r="23" spans="1:17" ht="12.75" x14ac:dyDescent="0.2">
      <c r="A23" s="212"/>
      <c r="B23" s="1094"/>
      <c r="C23" s="1094"/>
      <c r="D23" s="215"/>
      <c r="E23" s="214"/>
      <c r="F23" s="215"/>
      <c r="G23" s="222"/>
      <c r="H23" s="1095"/>
      <c r="I23" s="1095"/>
      <c r="J23" s="202"/>
      <c r="K23" s="1095"/>
      <c r="L23" s="1096"/>
      <c r="M23" s="221"/>
      <c r="Q23" s="160">
        <v>1109671</v>
      </c>
    </row>
    <row r="24" spans="1:17" ht="0.75" customHeight="1" x14ac:dyDescent="0.2">
      <c r="A24" s="182"/>
      <c r="B24" s="1088"/>
      <c r="C24" s="1088"/>
      <c r="D24" s="185"/>
      <c r="E24" s="183"/>
      <c r="F24" s="185"/>
      <c r="G24" s="187"/>
      <c r="H24" s="1089"/>
      <c r="I24" s="1090"/>
      <c r="J24" s="223"/>
      <c r="K24" s="1089"/>
      <c r="L24" s="1090"/>
      <c r="M24" s="221"/>
      <c r="Q24" s="160">
        <v>1106165</v>
      </c>
    </row>
    <row r="25" spans="1:17" ht="12.75" hidden="1" x14ac:dyDescent="0.2">
      <c r="A25" s="224"/>
      <c r="B25" s="1091"/>
      <c r="C25" s="1091"/>
      <c r="D25" s="225"/>
      <c r="E25" s="226"/>
      <c r="F25" s="225"/>
      <c r="G25" s="227"/>
      <c r="H25" s="1092"/>
      <c r="I25" s="1093"/>
      <c r="J25" s="228"/>
      <c r="K25" s="1092"/>
      <c r="L25" s="1093"/>
      <c r="M25" s="221"/>
      <c r="Q25" s="160">
        <v>3103302</v>
      </c>
    </row>
    <row r="26" spans="1:17" ht="12.75" x14ac:dyDescent="0.2">
      <c r="A26" s="1081" t="s">
        <v>134</v>
      </c>
      <c r="B26" s="1082"/>
      <c r="C26" s="1082"/>
      <c r="D26" s="1082"/>
      <c r="E26" s="1082"/>
      <c r="F26" s="1082"/>
      <c r="G26" s="1082"/>
      <c r="H26" s="1083">
        <f>SUM(H23:I25)</f>
        <v>0</v>
      </c>
      <c r="I26" s="1083"/>
      <c r="J26" s="229"/>
      <c r="K26" s="1084">
        <f>SUM(K23:L25)</f>
        <v>0</v>
      </c>
      <c r="L26" s="1085"/>
      <c r="M26" s="221"/>
    </row>
    <row r="27" spans="1:17" ht="12.75" x14ac:dyDescent="0.2">
      <c r="A27" s="1064" t="s">
        <v>135</v>
      </c>
      <c r="B27" s="1065"/>
      <c r="C27" s="1065"/>
      <c r="D27" s="1065"/>
      <c r="E27" s="1065"/>
      <c r="F27" s="1065"/>
      <c r="G27" s="1065"/>
      <c r="H27" s="1066">
        <f>H14+K20+H26+H15</f>
        <v>0</v>
      </c>
      <c r="I27" s="1066"/>
      <c r="J27" s="230"/>
      <c r="K27" s="1086">
        <f>K14+K20+K26+K15</f>
        <v>0</v>
      </c>
      <c r="L27" s="1087"/>
      <c r="M27" s="221"/>
    </row>
    <row r="28" spans="1:17" ht="15" customHeight="1" x14ac:dyDescent="0.25">
      <c r="A28" s="1068" t="s">
        <v>136</v>
      </c>
      <c r="B28" s="1070" t="s">
        <v>137</v>
      </c>
      <c r="C28" s="194"/>
      <c r="D28" s="1070" t="s">
        <v>138</v>
      </c>
      <c r="E28" s="1070" t="s">
        <v>104</v>
      </c>
      <c r="F28" s="1073" t="s">
        <v>126</v>
      </c>
      <c r="G28" s="1075" t="s">
        <v>106</v>
      </c>
      <c r="H28" s="1072"/>
      <c r="I28" s="1076"/>
      <c r="J28" s="1075" t="s">
        <v>107</v>
      </c>
      <c r="K28" s="1072"/>
      <c r="L28" s="1076"/>
      <c r="M28" s="221"/>
    </row>
    <row r="29" spans="1:17" ht="15" customHeight="1" x14ac:dyDescent="0.25">
      <c r="A29" s="1069"/>
      <c r="B29" s="1071"/>
      <c r="C29" s="177"/>
      <c r="D29" s="1071"/>
      <c r="E29" s="1071"/>
      <c r="F29" s="1074"/>
      <c r="G29" s="179" t="s">
        <v>128</v>
      </c>
      <c r="H29" s="1071" t="s">
        <v>133</v>
      </c>
      <c r="I29" s="1074"/>
      <c r="J29" s="179" t="s">
        <v>128</v>
      </c>
      <c r="K29" s="1071" t="s">
        <v>133</v>
      </c>
      <c r="L29" s="1074"/>
      <c r="M29" s="221"/>
    </row>
    <row r="30" spans="1:17" ht="15" customHeight="1" x14ac:dyDescent="0.2">
      <c r="A30" s="212"/>
      <c r="B30" s="197"/>
      <c r="C30" s="197"/>
      <c r="D30" s="231"/>
      <c r="E30" s="199"/>
      <c r="F30" s="231"/>
      <c r="G30" s="232"/>
      <c r="H30" s="1077"/>
      <c r="I30" s="1078"/>
      <c r="J30" s="233"/>
      <c r="K30" s="1077"/>
      <c r="L30" s="1078"/>
      <c r="M30" s="221"/>
    </row>
    <row r="31" spans="1:17" ht="12" customHeight="1" x14ac:dyDescent="0.2">
      <c r="A31" s="182"/>
      <c r="B31" s="218"/>
      <c r="C31" s="218"/>
      <c r="D31" s="234"/>
      <c r="E31" s="235"/>
      <c r="F31" s="234"/>
      <c r="G31" s="236"/>
      <c r="H31" s="1079"/>
      <c r="I31" s="1080"/>
      <c r="J31" s="237"/>
      <c r="K31" s="1079"/>
      <c r="L31" s="1080"/>
      <c r="M31" s="221"/>
    </row>
    <row r="32" spans="1:17" ht="12" customHeight="1" x14ac:dyDescent="0.2">
      <c r="A32" s="1064" t="s">
        <v>139</v>
      </c>
      <c r="B32" s="1065"/>
      <c r="C32" s="1065"/>
      <c r="D32" s="1065"/>
      <c r="E32" s="1065"/>
      <c r="F32" s="1065"/>
      <c r="G32" s="1065"/>
      <c r="H32" s="1066">
        <f>SUM(H30:I31)</f>
        <v>0</v>
      </c>
      <c r="I32" s="1067"/>
      <c r="J32" s="238"/>
      <c r="K32" s="1066">
        <f>SUM(K30:L31)</f>
        <v>0</v>
      </c>
      <c r="L32" s="1067"/>
      <c r="M32" s="221"/>
    </row>
    <row r="33" spans="1:13" ht="15" customHeight="1" x14ac:dyDescent="0.25">
      <c r="A33" s="1068" t="s">
        <v>140</v>
      </c>
      <c r="B33" s="1070" t="s">
        <v>141</v>
      </c>
      <c r="C33" s="194"/>
      <c r="D33" s="213"/>
      <c r="E33" s="1070" t="s">
        <v>104</v>
      </c>
      <c r="F33" s="1070" t="s">
        <v>126</v>
      </c>
      <c r="G33" s="1072" t="s">
        <v>142</v>
      </c>
      <c r="H33" s="1072"/>
      <c r="I33" s="1072"/>
      <c r="J33" s="1070" t="s">
        <v>128</v>
      </c>
      <c r="K33" s="1070"/>
      <c r="L33" s="1073"/>
      <c r="M33" s="221"/>
    </row>
    <row r="34" spans="1:13" ht="15" customHeight="1" x14ac:dyDescent="0.25">
      <c r="A34" s="1069"/>
      <c r="B34" s="1071"/>
      <c r="C34" s="177"/>
      <c r="D34" s="195"/>
      <c r="E34" s="1071"/>
      <c r="F34" s="1071"/>
      <c r="G34" s="178" t="s">
        <v>143</v>
      </c>
      <c r="H34" s="178" t="s">
        <v>144</v>
      </c>
      <c r="I34" s="178" t="s">
        <v>145</v>
      </c>
      <c r="J34" s="1071"/>
      <c r="K34" s="1071"/>
      <c r="L34" s="1074"/>
      <c r="M34" s="221"/>
    </row>
    <row r="35" spans="1:13" x14ac:dyDescent="0.25">
      <c r="A35" s="212"/>
      <c r="B35" s="197"/>
      <c r="C35" s="239"/>
      <c r="D35" s="213"/>
      <c r="E35" s="199"/>
      <c r="F35" s="231"/>
      <c r="G35" s="215"/>
      <c r="H35" s="215"/>
      <c r="I35" s="215"/>
      <c r="J35" s="216"/>
      <c r="K35" s="216"/>
      <c r="L35" s="175"/>
      <c r="M35" s="221"/>
    </row>
    <row r="36" spans="1:13" x14ac:dyDescent="0.25">
      <c r="A36" s="182"/>
      <c r="B36" s="218"/>
      <c r="C36" s="240"/>
      <c r="E36" s="235"/>
      <c r="F36" s="234"/>
      <c r="G36" s="185"/>
      <c r="H36" s="185"/>
      <c r="I36" s="185"/>
      <c r="J36" s="241"/>
      <c r="K36" s="242"/>
      <c r="L36" s="243"/>
      <c r="M36" s="221"/>
    </row>
    <row r="37" spans="1:13" x14ac:dyDescent="0.25">
      <c r="A37" s="1048" t="s">
        <v>146</v>
      </c>
      <c r="B37" s="1049"/>
      <c r="C37" s="1049"/>
      <c r="D37" s="1049"/>
      <c r="E37" s="1049"/>
      <c r="F37" s="1050"/>
      <c r="G37" s="1054" t="s">
        <v>106</v>
      </c>
      <c r="H37" s="1055"/>
      <c r="I37" s="1056"/>
      <c r="J37" s="1054" t="s">
        <v>107</v>
      </c>
      <c r="K37" s="1055"/>
      <c r="L37" s="1056"/>
      <c r="M37" s="221"/>
    </row>
    <row r="38" spans="1:13" x14ac:dyDescent="0.25">
      <c r="A38" s="1051"/>
      <c r="B38" s="1052"/>
      <c r="C38" s="1052"/>
      <c r="D38" s="1052"/>
      <c r="E38" s="1052"/>
      <c r="F38" s="1053"/>
      <c r="G38" s="1057">
        <f>ROUND(H32+H27,2)</f>
        <v>0</v>
      </c>
      <c r="H38" s="1058"/>
      <c r="I38" s="1059"/>
      <c r="J38" s="1060">
        <f>ROUND(K32+K27,2)</f>
        <v>0</v>
      </c>
      <c r="K38" s="1061"/>
      <c r="L38" s="1062"/>
    </row>
    <row r="39" spans="1:13" x14ac:dyDescent="0.25">
      <c r="A39" s="1063" t="s">
        <v>147</v>
      </c>
      <c r="B39" s="1063"/>
      <c r="C39" s="1063"/>
      <c r="D39" s="1063"/>
      <c r="E39" s="1063"/>
      <c r="F39" s="1063"/>
      <c r="G39" s="1063"/>
      <c r="H39" s="1063"/>
      <c r="I39" s="1063"/>
      <c r="J39" s="1063"/>
      <c r="K39" s="1063"/>
      <c r="L39" s="1063"/>
    </row>
  </sheetData>
  <mergeCells count="94">
    <mergeCell ref="A1:L1"/>
    <mergeCell ref="A4:A6"/>
    <mergeCell ref="B4:B6"/>
    <mergeCell ref="D4:D6"/>
    <mergeCell ref="E4:F5"/>
    <mergeCell ref="G4:I4"/>
    <mergeCell ref="J4:L4"/>
    <mergeCell ref="G5:H5"/>
    <mergeCell ref="J5:K5"/>
    <mergeCell ref="A12:G12"/>
    <mergeCell ref="H12:I12"/>
    <mergeCell ref="K12:L12"/>
    <mergeCell ref="B7:C7"/>
    <mergeCell ref="A8:H8"/>
    <mergeCell ref="A9:A10"/>
    <mergeCell ref="B9:B10"/>
    <mergeCell ref="D9:D10"/>
    <mergeCell ref="E9:E10"/>
    <mergeCell ref="G9:I9"/>
    <mergeCell ref="J9:L9"/>
    <mergeCell ref="H10:I10"/>
    <mergeCell ref="K10:L10"/>
    <mergeCell ref="H11:I11"/>
    <mergeCell ref="K11:L11"/>
    <mergeCell ref="A13:G13"/>
    <mergeCell ref="H13:I13"/>
    <mergeCell ref="K13:L13"/>
    <mergeCell ref="A14:G14"/>
    <mergeCell ref="H14:I14"/>
    <mergeCell ref="K14:L14"/>
    <mergeCell ref="A15:G15"/>
    <mergeCell ref="H15:I15"/>
    <mergeCell ref="K15:L15"/>
    <mergeCell ref="K16:L16"/>
    <mergeCell ref="G17:I17"/>
    <mergeCell ref="K17:L17"/>
    <mergeCell ref="G18:I18"/>
    <mergeCell ref="K18:L18"/>
    <mergeCell ref="G19:I19"/>
    <mergeCell ref="K19:L19"/>
    <mergeCell ref="A20:J20"/>
    <mergeCell ref="K20:L20"/>
    <mergeCell ref="A21:A22"/>
    <mergeCell ref="B21:B22"/>
    <mergeCell ref="D21:D22"/>
    <mergeCell ref="E21:E22"/>
    <mergeCell ref="F21:F22"/>
    <mergeCell ref="J21:L21"/>
    <mergeCell ref="H22:I22"/>
    <mergeCell ref="K22:L22"/>
    <mergeCell ref="B23:C23"/>
    <mergeCell ref="H23:I23"/>
    <mergeCell ref="K23:L23"/>
    <mergeCell ref="G21:I21"/>
    <mergeCell ref="B24:C24"/>
    <mergeCell ref="H24:I24"/>
    <mergeCell ref="K24:L24"/>
    <mergeCell ref="B25:C25"/>
    <mergeCell ref="H25:I25"/>
    <mergeCell ref="K25:L25"/>
    <mergeCell ref="A26:G26"/>
    <mergeCell ref="H26:I26"/>
    <mergeCell ref="K26:L26"/>
    <mergeCell ref="A27:G27"/>
    <mergeCell ref="H27:I27"/>
    <mergeCell ref="K27:L27"/>
    <mergeCell ref="H31:I31"/>
    <mergeCell ref="K31:L31"/>
    <mergeCell ref="A28:A29"/>
    <mergeCell ref="B28:B29"/>
    <mergeCell ref="D28:D29"/>
    <mergeCell ref="E28:E29"/>
    <mergeCell ref="F28:F29"/>
    <mergeCell ref="G28:I28"/>
    <mergeCell ref="J28:L28"/>
    <mergeCell ref="H29:I29"/>
    <mergeCell ref="K29:L29"/>
    <mergeCell ref="H30:I30"/>
    <mergeCell ref="K30:L30"/>
    <mergeCell ref="A39:L39"/>
    <mergeCell ref="A32:G32"/>
    <mergeCell ref="H32:I32"/>
    <mergeCell ref="K32:L32"/>
    <mergeCell ref="A33:A34"/>
    <mergeCell ref="B33:B34"/>
    <mergeCell ref="E33:E34"/>
    <mergeCell ref="F33:F34"/>
    <mergeCell ref="G33:I33"/>
    <mergeCell ref="J33:L34"/>
    <mergeCell ref="A37:F38"/>
    <mergeCell ref="G37:I37"/>
    <mergeCell ref="J37:L37"/>
    <mergeCell ref="G38:I38"/>
    <mergeCell ref="J38:L38"/>
  </mergeCells>
  <dataValidations count="1">
    <dataValidation type="list" allowBlank="1" showInputMessage="1" showErrorMessage="1" sqref="B16 B9:B13 B20">
      <formula1>$L$1:$L$8</formula1>
    </dataValidation>
  </dataValidations>
  <printOptions horizontalCentered="1"/>
  <pageMargins left="0.39370078740157483" right="0.39370078740157483" top="1.6929133858267718" bottom="0.39370078740157483" header="0.19685039370078741" footer="0.19685039370078741"/>
  <pageSetup paperSize="9" scale="60" firstPageNumber="41" fitToHeight="100" orientation="landscape" useFirstPageNumber="1" r:id="rId1"/>
  <headerFooter scaleWithDoc="0">
    <oddHeader>&amp;C&amp;G</oddHead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0"/>
  <sheetViews>
    <sheetView showGridLines="0" view="pageBreakPreview" topLeftCell="A16" zoomScaleNormal="85" zoomScaleSheetLayoutView="100" workbookViewId="0">
      <selection activeCell="F11" sqref="F11:F22"/>
    </sheetView>
  </sheetViews>
  <sheetFormatPr defaultColWidth="11.44140625" defaultRowHeight="13.8" x14ac:dyDescent="0.3"/>
  <cols>
    <col min="1" max="1" width="15.109375" style="6" customWidth="1"/>
    <col min="2" max="2" width="16.5546875" style="6" customWidth="1"/>
    <col min="3" max="3" width="87.6640625" style="6" customWidth="1"/>
    <col min="4" max="4" width="14.109375" style="51" customWidth="1"/>
    <col min="5" max="5" width="17" style="51" bestFit="1" customWidth="1"/>
    <col min="6" max="7" width="15.6640625" style="51" customWidth="1"/>
    <col min="8" max="8" width="14.33203125" style="6" customWidth="1"/>
    <col min="9" max="9" width="11.44140625" style="6"/>
    <col min="10" max="10" width="25.5546875" style="6" bestFit="1" customWidth="1"/>
    <col min="11" max="234" width="11.44140625" style="6"/>
    <col min="235" max="235" width="0.6640625" style="6" customWidth="1"/>
    <col min="236" max="236" width="15.109375" style="6" customWidth="1"/>
    <col min="237" max="237" width="0.6640625" style="6" customWidth="1"/>
    <col min="238" max="238" width="56.109375" style="6" customWidth="1"/>
    <col min="239" max="239" width="0.6640625" style="6" customWidth="1"/>
    <col min="240" max="240" width="9.109375" style="6" customWidth="1"/>
    <col min="241" max="241" width="6" style="6" customWidth="1"/>
    <col min="242" max="242" width="0.6640625" style="6" customWidth="1"/>
    <col min="243" max="243" width="7.109375" style="6" customWidth="1"/>
    <col min="244" max="244" width="6.5546875" style="6" customWidth="1"/>
    <col min="245" max="245" width="0.6640625" style="6" customWidth="1"/>
    <col min="246" max="246" width="7.88671875" style="6" customWidth="1"/>
    <col min="247" max="247" width="10.5546875" style="6" customWidth="1"/>
    <col min="248" max="248" width="0.6640625" style="6" customWidth="1"/>
    <col min="249" max="490" width="11.44140625" style="6"/>
    <col min="491" max="491" width="0.6640625" style="6" customWidth="1"/>
    <col min="492" max="492" width="15.109375" style="6" customWidth="1"/>
    <col min="493" max="493" width="0.6640625" style="6" customWidth="1"/>
    <col min="494" max="494" width="56.109375" style="6" customWidth="1"/>
    <col min="495" max="495" width="0.6640625" style="6" customWidth="1"/>
    <col min="496" max="496" width="9.109375" style="6" customWidth="1"/>
    <col min="497" max="497" width="6" style="6" customWidth="1"/>
    <col min="498" max="498" width="0.6640625" style="6" customWidth="1"/>
    <col min="499" max="499" width="7.109375" style="6" customWidth="1"/>
    <col min="500" max="500" width="6.5546875" style="6" customWidth="1"/>
    <col min="501" max="501" width="0.6640625" style="6" customWidth="1"/>
    <col min="502" max="502" width="7.88671875" style="6" customWidth="1"/>
    <col min="503" max="503" width="10.5546875" style="6" customWidth="1"/>
    <col min="504" max="504" width="0.6640625" style="6" customWidth="1"/>
    <col min="505" max="746" width="11.44140625" style="6"/>
    <col min="747" max="747" width="0.6640625" style="6" customWidth="1"/>
    <col min="748" max="748" width="15.109375" style="6" customWidth="1"/>
    <col min="749" max="749" width="0.6640625" style="6" customWidth="1"/>
    <col min="750" max="750" width="56.109375" style="6" customWidth="1"/>
    <col min="751" max="751" width="0.6640625" style="6" customWidth="1"/>
    <col min="752" max="752" width="9.109375" style="6" customWidth="1"/>
    <col min="753" max="753" width="6" style="6" customWidth="1"/>
    <col min="754" max="754" width="0.6640625" style="6" customWidth="1"/>
    <col min="755" max="755" width="7.109375" style="6" customWidth="1"/>
    <col min="756" max="756" width="6.5546875" style="6" customWidth="1"/>
    <col min="757" max="757" width="0.6640625" style="6" customWidth="1"/>
    <col min="758" max="758" width="7.88671875" style="6" customWidth="1"/>
    <col min="759" max="759" width="10.5546875" style="6" customWidth="1"/>
    <col min="760" max="760" width="0.6640625" style="6" customWidth="1"/>
    <col min="761" max="1002" width="11.44140625" style="6"/>
    <col min="1003" max="1003" width="0.6640625" style="6" customWidth="1"/>
    <col min="1004" max="1004" width="15.109375" style="6" customWidth="1"/>
    <col min="1005" max="1005" width="0.6640625" style="6" customWidth="1"/>
    <col min="1006" max="1006" width="56.109375" style="6" customWidth="1"/>
    <col min="1007" max="1007" width="0.6640625" style="6" customWidth="1"/>
    <col min="1008" max="1008" width="9.109375" style="6" customWidth="1"/>
    <col min="1009" max="1009" width="6" style="6" customWidth="1"/>
    <col min="1010" max="1010" width="0.6640625" style="6" customWidth="1"/>
    <col min="1011" max="1011" width="7.109375" style="6" customWidth="1"/>
    <col min="1012" max="1012" width="6.5546875" style="6" customWidth="1"/>
    <col min="1013" max="1013" width="0.6640625" style="6" customWidth="1"/>
    <col min="1014" max="1014" width="7.88671875" style="6" customWidth="1"/>
    <col min="1015" max="1015" width="10.5546875" style="6" customWidth="1"/>
    <col min="1016" max="1016" width="0.6640625" style="6" customWidth="1"/>
    <col min="1017" max="1258" width="11.44140625" style="6"/>
    <col min="1259" max="1259" width="0.6640625" style="6" customWidth="1"/>
    <col min="1260" max="1260" width="15.109375" style="6" customWidth="1"/>
    <col min="1261" max="1261" width="0.6640625" style="6" customWidth="1"/>
    <col min="1262" max="1262" width="56.109375" style="6" customWidth="1"/>
    <col min="1263" max="1263" width="0.6640625" style="6" customWidth="1"/>
    <col min="1264" max="1264" width="9.109375" style="6" customWidth="1"/>
    <col min="1265" max="1265" width="6" style="6" customWidth="1"/>
    <col min="1266" max="1266" width="0.6640625" style="6" customWidth="1"/>
    <col min="1267" max="1267" width="7.109375" style="6" customWidth="1"/>
    <col min="1268" max="1268" width="6.5546875" style="6" customWidth="1"/>
    <col min="1269" max="1269" width="0.6640625" style="6" customWidth="1"/>
    <col min="1270" max="1270" width="7.88671875" style="6" customWidth="1"/>
    <col min="1271" max="1271" width="10.5546875" style="6" customWidth="1"/>
    <col min="1272" max="1272" width="0.6640625" style="6" customWidth="1"/>
    <col min="1273" max="1514" width="11.44140625" style="6"/>
    <col min="1515" max="1515" width="0.6640625" style="6" customWidth="1"/>
    <col min="1516" max="1516" width="15.109375" style="6" customWidth="1"/>
    <col min="1517" max="1517" width="0.6640625" style="6" customWidth="1"/>
    <col min="1518" max="1518" width="56.109375" style="6" customWidth="1"/>
    <col min="1519" max="1519" width="0.6640625" style="6" customWidth="1"/>
    <col min="1520" max="1520" width="9.109375" style="6" customWidth="1"/>
    <col min="1521" max="1521" width="6" style="6" customWidth="1"/>
    <col min="1522" max="1522" width="0.6640625" style="6" customWidth="1"/>
    <col min="1523" max="1523" width="7.109375" style="6" customWidth="1"/>
    <col min="1524" max="1524" width="6.5546875" style="6" customWidth="1"/>
    <col min="1525" max="1525" width="0.6640625" style="6" customWidth="1"/>
    <col min="1526" max="1526" width="7.88671875" style="6" customWidth="1"/>
    <col min="1527" max="1527" width="10.5546875" style="6" customWidth="1"/>
    <col min="1528" max="1528" width="0.6640625" style="6" customWidth="1"/>
    <col min="1529" max="1770" width="11.44140625" style="6"/>
    <col min="1771" max="1771" width="0.6640625" style="6" customWidth="1"/>
    <col min="1772" max="1772" width="15.109375" style="6" customWidth="1"/>
    <col min="1773" max="1773" width="0.6640625" style="6" customWidth="1"/>
    <col min="1774" max="1774" width="56.109375" style="6" customWidth="1"/>
    <col min="1775" max="1775" width="0.6640625" style="6" customWidth="1"/>
    <col min="1776" max="1776" width="9.109375" style="6" customWidth="1"/>
    <col min="1777" max="1777" width="6" style="6" customWidth="1"/>
    <col min="1778" max="1778" width="0.6640625" style="6" customWidth="1"/>
    <col min="1779" max="1779" width="7.109375" style="6" customWidth="1"/>
    <col min="1780" max="1780" width="6.5546875" style="6" customWidth="1"/>
    <col min="1781" max="1781" width="0.6640625" style="6" customWidth="1"/>
    <col min="1782" max="1782" width="7.88671875" style="6" customWidth="1"/>
    <col min="1783" max="1783" width="10.5546875" style="6" customWidth="1"/>
    <col min="1784" max="1784" width="0.6640625" style="6" customWidth="1"/>
    <col min="1785" max="2026" width="11.44140625" style="6"/>
    <col min="2027" max="2027" width="0.6640625" style="6" customWidth="1"/>
    <col min="2028" max="2028" width="15.109375" style="6" customWidth="1"/>
    <col min="2029" max="2029" width="0.6640625" style="6" customWidth="1"/>
    <col min="2030" max="2030" width="56.109375" style="6" customWidth="1"/>
    <col min="2031" max="2031" width="0.6640625" style="6" customWidth="1"/>
    <col min="2032" max="2032" width="9.109375" style="6" customWidth="1"/>
    <col min="2033" max="2033" width="6" style="6" customWidth="1"/>
    <col min="2034" max="2034" width="0.6640625" style="6" customWidth="1"/>
    <col min="2035" max="2035" width="7.109375" style="6" customWidth="1"/>
    <col min="2036" max="2036" width="6.5546875" style="6" customWidth="1"/>
    <col min="2037" max="2037" width="0.6640625" style="6" customWidth="1"/>
    <col min="2038" max="2038" width="7.88671875" style="6" customWidth="1"/>
    <col min="2039" max="2039" width="10.5546875" style="6" customWidth="1"/>
    <col min="2040" max="2040" width="0.6640625" style="6" customWidth="1"/>
    <col min="2041" max="2282" width="11.44140625" style="6"/>
    <col min="2283" max="2283" width="0.6640625" style="6" customWidth="1"/>
    <col min="2284" max="2284" width="15.109375" style="6" customWidth="1"/>
    <col min="2285" max="2285" width="0.6640625" style="6" customWidth="1"/>
    <col min="2286" max="2286" width="56.109375" style="6" customWidth="1"/>
    <col min="2287" max="2287" width="0.6640625" style="6" customWidth="1"/>
    <col min="2288" max="2288" width="9.109375" style="6" customWidth="1"/>
    <col min="2289" max="2289" width="6" style="6" customWidth="1"/>
    <col min="2290" max="2290" width="0.6640625" style="6" customWidth="1"/>
    <col min="2291" max="2291" width="7.109375" style="6" customWidth="1"/>
    <col min="2292" max="2292" width="6.5546875" style="6" customWidth="1"/>
    <col min="2293" max="2293" width="0.6640625" style="6" customWidth="1"/>
    <col min="2294" max="2294" width="7.88671875" style="6" customWidth="1"/>
    <col min="2295" max="2295" width="10.5546875" style="6" customWidth="1"/>
    <col min="2296" max="2296" width="0.6640625" style="6" customWidth="1"/>
    <col min="2297" max="2538" width="11.44140625" style="6"/>
    <col min="2539" max="2539" width="0.6640625" style="6" customWidth="1"/>
    <col min="2540" max="2540" width="15.109375" style="6" customWidth="1"/>
    <col min="2541" max="2541" width="0.6640625" style="6" customWidth="1"/>
    <col min="2542" max="2542" width="56.109375" style="6" customWidth="1"/>
    <col min="2543" max="2543" width="0.6640625" style="6" customWidth="1"/>
    <col min="2544" max="2544" width="9.109375" style="6" customWidth="1"/>
    <col min="2545" max="2545" width="6" style="6" customWidth="1"/>
    <col min="2546" max="2546" width="0.6640625" style="6" customWidth="1"/>
    <col min="2547" max="2547" width="7.109375" style="6" customWidth="1"/>
    <col min="2548" max="2548" width="6.5546875" style="6" customWidth="1"/>
    <col min="2549" max="2549" width="0.6640625" style="6" customWidth="1"/>
    <col min="2550" max="2550" width="7.88671875" style="6" customWidth="1"/>
    <col min="2551" max="2551" width="10.5546875" style="6" customWidth="1"/>
    <col min="2552" max="2552" width="0.6640625" style="6" customWidth="1"/>
    <col min="2553" max="2794" width="11.44140625" style="6"/>
    <col min="2795" max="2795" width="0.6640625" style="6" customWidth="1"/>
    <col min="2796" max="2796" width="15.109375" style="6" customWidth="1"/>
    <col min="2797" max="2797" width="0.6640625" style="6" customWidth="1"/>
    <col min="2798" max="2798" width="56.109375" style="6" customWidth="1"/>
    <col min="2799" max="2799" width="0.6640625" style="6" customWidth="1"/>
    <col min="2800" max="2800" width="9.109375" style="6" customWidth="1"/>
    <col min="2801" max="2801" width="6" style="6" customWidth="1"/>
    <col min="2802" max="2802" width="0.6640625" style="6" customWidth="1"/>
    <col min="2803" max="2803" width="7.109375" style="6" customWidth="1"/>
    <col min="2804" max="2804" width="6.5546875" style="6" customWidth="1"/>
    <col min="2805" max="2805" width="0.6640625" style="6" customWidth="1"/>
    <col min="2806" max="2806" width="7.88671875" style="6" customWidth="1"/>
    <col min="2807" max="2807" width="10.5546875" style="6" customWidth="1"/>
    <col min="2808" max="2808" width="0.6640625" style="6" customWidth="1"/>
    <col min="2809" max="3050" width="11.44140625" style="6"/>
    <col min="3051" max="3051" width="0.6640625" style="6" customWidth="1"/>
    <col min="3052" max="3052" width="15.109375" style="6" customWidth="1"/>
    <col min="3053" max="3053" width="0.6640625" style="6" customWidth="1"/>
    <col min="3054" max="3054" width="56.109375" style="6" customWidth="1"/>
    <col min="3055" max="3055" width="0.6640625" style="6" customWidth="1"/>
    <col min="3056" max="3056" width="9.109375" style="6" customWidth="1"/>
    <col min="3057" max="3057" width="6" style="6" customWidth="1"/>
    <col min="3058" max="3058" width="0.6640625" style="6" customWidth="1"/>
    <col min="3059" max="3059" width="7.109375" style="6" customWidth="1"/>
    <col min="3060" max="3060" width="6.5546875" style="6" customWidth="1"/>
    <col min="3061" max="3061" width="0.6640625" style="6" customWidth="1"/>
    <col min="3062" max="3062" width="7.88671875" style="6" customWidth="1"/>
    <col min="3063" max="3063" width="10.5546875" style="6" customWidth="1"/>
    <col min="3064" max="3064" width="0.6640625" style="6" customWidth="1"/>
    <col min="3065" max="3306" width="11.44140625" style="6"/>
    <col min="3307" max="3307" width="0.6640625" style="6" customWidth="1"/>
    <col min="3308" max="3308" width="15.109375" style="6" customWidth="1"/>
    <col min="3309" max="3309" width="0.6640625" style="6" customWidth="1"/>
    <col min="3310" max="3310" width="56.109375" style="6" customWidth="1"/>
    <col min="3311" max="3311" width="0.6640625" style="6" customWidth="1"/>
    <col min="3312" max="3312" width="9.109375" style="6" customWidth="1"/>
    <col min="3313" max="3313" width="6" style="6" customWidth="1"/>
    <col min="3314" max="3314" width="0.6640625" style="6" customWidth="1"/>
    <col min="3315" max="3315" width="7.109375" style="6" customWidth="1"/>
    <col min="3316" max="3316" width="6.5546875" style="6" customWidth="1"/>
    <col min="3317" max="3317" width="0.6640625" style="6" customWidth="1"/>
    <col min="3318" max="3318" width="7.88671875" style="6" customWidth="1"/>
    <col min="3319" max="3319" width="10.5546875" style="6" customWidth="1"/>
    <col min="3320" max="3320" width="0.6640625" style="6" customWidth="1"/>
    <col min="3321" max="3562" width="11.44140625" style="6"/>
    <col min="3563" max="3563" width="0.6640625" style="6" customWidth="1"/>
    <col min="3564" max="3564" width="15.109375" style="6" customWidth="1"/>
    <col min="3565" max="3565" width="0.6640625" style="6" customWidth="1"/>
    <col min="3566" max="3566" width="56.109375" style="6" customWidth="1"/>
    <col min="3567" max="3567" width="0.6640625" style="6" customWidth="1"/>
    <col min="3568" max="3568" width="9.109375" style="6" customWidth="1"/>
    <col min="3569" max="3569" width="6" style="6" customWidth="1"/>
    <col min="3570" max="3570" width="0.6640625" style="6" customWidth="1"/>
    <col min="3571" max="3571" width="7.109375" style="6" customWidth="1"/>
    <col min="3572" max="3572" width="6.5546875" style="6" customWidth="1"/>
    <col min="3573" max="3573" width="0.6640625" style="6" customWidth="1"/>
    <col min="3574" max="3574" width="7.88671875" style="6" customWidth="1"/>
    <col min="3575" max="3575" width="10.5546875" style="6" customWidth="1"/>
    <col min="3576" max="3576" width="0.6640625" style="6" customWidth="1"/>
    <col min="3577" max="3818" width="11.44140625" style="6"/>
    <col min="3819" max="3819" width="0.6640625" style="6" customWidth="1"/>
    <col min="3820" max="3820" width="15.109375" style="6" customWidth="1"/>
    <col min="3821" max="3821" width="0.6640625" style="6" customWidth="1"/>
    <col min="3822" max="3822" width="56.109375" style="6" customWidth="1"/>
    <col min="3823" max="3823" width="0.6640625" style="6" customWidth="1"/>
    <col min="3824" max="3824" width="9.109375" style="6" customWidth="1"/>
    <col min="3825" max="3825" width="6" style="6" customWidth="1"/>
    <col min="3826" max="3826" width="0.6640625" style="6" customWidth="1"/>
    <col min="3827" max="3827" width="7.109375" style="6" customWidth="1"/>
    <col min="3828" max="3828" width="6.5546875" style="6" customWidth="1"/>
    <col min="3829" max="3829" width="0.6640625" style="6" customWidth="1"/>
    <col min="3830" max="3830" width="7.88671875" style="6" customWidth="1"/>
    <col min="3831" max="3831" width="10.5546875" style="6" customWidth="1"/>
    <col min="3832" max="3832" width="0.6640625" style="6" customWidth="1"/>
    <col min="3833" max="4074" width="11.44140625" style="6"/>
    <col min="4075" max="4075" width="0.6640625" style="6" customWidth="1"/>
    <col min="4076" max="4076" width="15.109375" style="6" customWidth="1"/>
    <col min="4077" max="4077" width="0.6640625" style="6" customWidth="1"/>
    <col min="4078" max="4078" width="56.109375" style="6" customWidth="1"/>
    <col min="4079" max="4079" width="0.6640625" style="6" customWidth="1"/>
    <col min="4080" max="4080" width="9.109375" style="6" customWidth="1"/>
    <col min="4081" max="4081" width="6" style="6" customWidth="1"/>
    <col min="4082" max="4082" width="0.6640625" style="6" customWidth="1"/>
    <col min="4083" max="4083" width="7.109375" style="6" customWidth="1"/>
    <col min="4084" max="4084" width="6.5546875" style="6" customWidth="1"/>
    <col min="4085" max="4085" width="0.6640625" style="6" customWidth="1"/>
    <col min="4086" max="4086" width="7.88671875" style="6" customWidth="1"/>
    <col min="4087" max="4087" width="10.5546875" style="6" customWidth="1"/>
    <col min="4088" max="4088" width="0.6640625" style="6" customWidth="1"/>
    <col min="4089" max="4330" width="11.44140625" style="6"/>
    <col min="4331" max="4331" width="0.6640625" style="6" customWidth="1"/>
    <col min="4332" max="4332" width="15.109375" style="6" customWidth="1"/>
    <col min="4333" max="4333" width="0.6640625" style="6" customWidth="1"/>
    <col min="4334" max="4334" width="56.109375" style="6" customWidth="1"/>
    <col min="4335" max="4335" width="0.6640625" style="6" customWidth="1"/>
    <col min="4336" max="4336" width="9.109375" style="6" customWidth="1"/>
    <col min="4337" max="4337" width="6" style="6" customWidth="1"/>
    <col min="4338" max="4338" width="0.6640625" style="6" customWidth="1"/>
    <col min="4339" max="4339" width="7.109375" style="6" customWidth="1"/>
    <col min="4340" max="4340" width="6.5546875" style="6" customWidth="1"/>
    <col min="4341" max="4341" width="0.6640625" style="6" customWidth="1"/>
    <col min="4342" max="4342" width="7.88671875" style="6" customWidth="1"/>
    <col min="4343" max="4343" width="10.5546875" style="6" customWidth="1"/>
    <col min="4344" max="4344" width="0.6640625" style="6" customWidth="1"/>
    <col min="4345" max="4586" width="11.44140625" style="6"/>
    <col min="4587" max="4587" width="0.6640625" style="6" customWidth="1"/>
    <col min="4588" max="4588" width="15.109375" style="6" customWidth="1"/>
    <col min="4589" max="4589" width="0.6640625" style="6" customWidth="1"/>
    <col min="4590" max="4590" width="56.109375" style="6" customWidth="1"/>
    <col min="4591" max="4591" width="0.6640625" style="6" customWidth="1"/>
    <col min="4592" max="4592" width="9.109375" style="6" customWidth="1"/>
    <col min="4593" max="4593" width="6" style="6" customWidth="1"/>
    <col min="4594" max="4594" width="0.6640625" style="6" customWidth="1"/>
    <col min="4595" max="4595" width="7.109375" style="6" customWidth="1"/>
    <col min="4596" max="4596" width="6.5546875" style="6" customWidth="1"/>
    <col min="4597" max="4597" width="0.6640625" style="6" customWidth="1"/>
    <col min="4598" max="4598" width="7.88671875" style="6" customWidth="1"/>
    <col min="4599" max="4599" width="10.5546875" style="6" customWidth="1"/>
    <col min="4600" max="4600" width="0.6640625" style="6" customWidth="1"/>
    <col min="4601" max="4842" width="11.44140625" style="6"/>
    <col min="4843" max="4843" width="0.6640625" style="6" customWidth="1"/>
    <col min="4844" max="4844" width="15.109375" style="6" customWidth="1"/>
    <col min="4845" max="4845" width="0.6640625" style="6" customWidth="1"/>
    <col min="4846" max="4846" width="56.109375" style="6" customWidth="1"/>
    <col min="4847" max="4847" width="0.6640625" style="6" customWidth="1"/>
    <col min="4848" max="4848" width="9.109375" style="6" customWidth="1"/>
    <col min="4849" max="4849" width="6" style="6" customWidth="1"/>
    <col min="4850" max="4850" width="0.6640625" style="6" customWidth="1"/>
    <col min="4851" max="4851" width="7.109375" style="6" customWidth="1"/>
    <col min="4852" max="4852" width="6.5546875" style="6" customWidth="1"/>
    <col min="4853" max="4853" width="0.6640625" style="6" customWidth="1"/>
    <col min="4854" max="4854" width="7.88671875" style="6" customWidth="1"/>
    <col min="4855" max="4855" width="10.5546875" style="6" customWidth="1"/>
    <col min="4856" max="4856" width="0.6640625" style="6" customWidth="1"/>
    <col min="4857" max="5098" width="11.44140625" style="6"/>
    <col min="5099" max="5099" width="0.6640625" style="6" customWidth="1"/>
    <col min="5100" max="5100" width="15.109375" style="6" customWidth="1"/>
    <col min="5101" max="5101" width="0.6640625" style="6" customWidth="1"/>
    <col min="5102" max="5102" width="56.109375" style="6" customWidth="1"/>
    <col min="5103" max="5103" width="0.6640625" style="6" customWidth="1"/>
    <col min="5104" max="5104" width="9.109375" style="6" customWidth="1"/>
    <col min="5105" max="5105" width="6" style="6" customWidth="1"/>
    <col min="5106" max="5106" width="0.6640625" style="6" customWidth="1"/>
    <col min="5107" max="5107" width="7.109375" style="6" customWidth="1"/>
    <col min="5108" max="5108" width="6.5546875" style="6" customWidth="1"/>
    <col min="5109" max="5109" width="0.6640625" style="6" customWidth="1"/>
    <col min="5110" max="5110" width="7.88671875" style="6" customWidth="1"/>
    <col min="5111" max="5111" width="10.5546875" style="6" customWidth="1"/>
    <col min="5112" max="5112" width="0.6640625" style="6" customWidth="1"/>
    <col min="5113" max="5354" width="11.44140625" style="6"/>
    <col min="5355" max="5355" width="0.6640625" style="6" customWidth="1"/>
    <col min="5356" max="5356" width="15.109375" style="6" customWidth="1"/>
    <col min="5357" max="5357" width="0.6640625" style="6" customWidth="1"/>
    <col min="5358" max="5358" width="56.109375" style="6" customWidth="1"/>
    <col min="5359" max="5359" width="0.6640625" style="6" customWidth="1"/>
    <col min="5360" max="5360" width="9.109375" style="6" customWidth="1"/>
    <col min="5361" max="5361" width="6" style="6" customWidth="1"/>
    <col min="5362" max="5362" width="0.6640625" style="6" customWidth="1"/>
    <col min="5363" max="5363" width="7.109375" style="6" customWidth="1"/>
    <col min="5364" max="5364" width="6.5546875" style="6" customWidth="1"/>
    <col min="5365" max="5365" width="0.6640625" style="6" customWidth="1"/>
    <col min="5366" max="5366" width="7.88671875" style="6" customWidth="1"/>
    <col min="5367" max="5367" width="10.5546875" style="6" customWidth="1"/>
    <col min="5368" max="5368" width="0.6640625" style="6" customWidth="1"/>
    <col min="5369" max="5610" width="11.44140625" style="6"/>
    <col min="5611" max="5611" width="0.6640625" style="6" customWidth="1"/>
    <col min="5612" max="5612" width="15.109375" style="6" customWidth="1"/>
    <col min="5613" max="5613" width="0.6640625" style="6" customWidth="1"/>
    <col min="5614" max="5614" width="56.109375" style="6" customWidth="1"/>
    <col min="5615" max="5615" width="0.6640625" style="6" customWidth="1"/>
    <col min="5616" max="5616" width="9.109375" style="6" customWidth="1"/>
    <col min="5617" max="5617" width="6" style="6" customWidth="1"/>
    <col min="5618" max="5618" width="0.6640625" style="6" customWidth="1"/>
    <col min="5619" max="5619" width="7.109375" style="6" customWidth="1"/>
    <col min="5620" max="5620" width="6.5546875" style="6" customWidth="1"/>
    <col min="5621" max="5621" width="0.6640625" style="6" customWidth="1"/>
    <col min="5622" max="5622" width="7.88671875" style="6" customWidth="1"/>
    <col min="5623" max="5623" width="10.5546875" style="6" customWidth="1"/>
    <col min="5624" max="5624" width="0.6640625" style="6" customWidth="1"/>
    <col min="5625" max="5866" width="11.44140625" style="6"/>
    <col min="5867" max="5867" width="0.6640625" style="6" customWidth="1"/>
    <col min="5868" max="5868" width="15.109375" style="6" customWidth="1"/>
    <col min="5869" max="5869" width="0.6640625" style="6" customWidth="1"/>
    <col min="5870" max="5870" width="56.109375" style="6" customWidth="1"/>
    <col min="5871" max="5871" width="0.6640625" style="6" customWidth="1"/>
    <col min="5872" max="5872" width="9.109375" style="6" customWidth="1"/>
    <col min="5873" max="5873" width="6" style="6" customWidth="1"/>
    <col min="5874" max="5874" width="0.6640625" style="6" customWidth="1"/>
    <col min="5875" max="5875" width="7.109375" style="6" customWidth="1"/>
    <col min="5876" max="5876" width="6.5546875" style="6" customWidth="1"/>
    <col min="5877" max="5877" width="0.6640625" style="6" customWidth="1"/>
    <col min="5878" max="5878" width="7.88671875" style="6" customWidth="1"/>
    <col min="5879" max="5879" width="10.5546875" style="6" customWidth="1"/>
    <col min="5880" max="5880" width="0.6640625" style="6" customWidth="1"/>
    <col min="5881" max="6122" width="11.44140625" style="6"/>
    <col min="6123" max="6123" width="0.6640625" style="6" customWidth="1"/>
    <col min="6124" max="6124" width="15.109375" style="6" customWidth="1"/>
    <col min="6125" max="6125" width="0.6640625" style="6" customWidth="1"/>
    <col min="6126" max="6126" width="56.109375" style="6" customWidth="1"/>
    <col min="6127" max="6127" width="0.6640625" style="6" customWidth="1"/>
    <col min="6128" max="6128" width="9.109375" style="6" customWidth="1"/>
    <col min="6129" max="6129" width="6" style="6" customWidth="1"/>
    <col min="6130" max="6130" width="0.6640625" style="6" customWidth="1"/>
    <col min="6131" max="6131" width="7.109375" style="6" customWidth="1"/>
    <col min="6132" max="6132" width="6.5546875" style="6" customWidth="1"/>
    <col min="6133" max="6133" width="0.6640625" style="6" customWidth="1"/>
    <col min="6134" max="6134" width="7.88671875" style="6" customWidth="1"/>
    <col min="6135" max="6135" width="10.5546875" style="6" customWidth="1"/>
    <col min="6136" max="6136" width="0.6640625" style="6" customWidth="1"/>
    <col min="6137" max="6378" width="11.44140625" style="6"/>
    <col min="6379" max="6379" width="0.6640625" style="6" customWidth="1"/>
    <col min="6380" max="6380" width="15.109375" style="6" customWidth="1"/>
    <col min="6381" max="6381" width="0.6640625" style="6" customWidth="1"/>
    <col min="6382" max="6382" width="56.109375" style="6" customWidth="1"/>
    <col min="6383" max="6383" width="0.6640625" style="6" customWidth="1"/>
    <col min="6384" max="6384" width="9.109375" style="6" customWidth="1"/>
    <col min="6385" max="6385" width="6" style="6" customWidth="1"/>
    <col min="6386" max="6386" width="0.6640625" style="6" customWidth="1"/>
    <col min="6387" max="6387" width="7.109375" style="6" customWidth="1"/>
    <col min="6388" max="6388" width="6.5546875" style="6" customWidth="1"/>
    <col min="6389" max="6389" width="0.6640625" style="6" customWidth="1"/>
    <col min="6390" max="6390" width="7.88671875" style="6" customWidth="1"/>
    <col min="6391" max="6391" width="10.5546875" style="6" customWidth="1"/>
    <col min="6392" max="6392" width="0.6640625" style="6" customWidth="1"/>
    <col min="6393" max="6634" width="11.44140625" style="6"/>
    <col min="6635" max="6635" width="0.6640625" style="6" customWidth="1"/>
    <col min="6636" max="6636" width="15.109375" style="6" customWidth="1"/>
    <col min="6637" max="6637" width="0.6640625" style="6" customWidth="1"/>
    <col min="6638" max="6638" width="56.109375" style="6" customWidth="1"/>
    <col min="6639" max="6639" width="0.6640625" style="6" customWidth="1"/>
    <col min="6640" max="6640" width="9.109375" style="6" customWidth="1"/>
    <col min="6641" max="6641" width="6" style="6" customWidth="1"/>
    <col min="6642" max="6642" width="0.6640625" style="6" customWidth="1"/>
    <col min="6643" max="6643" width="7.109375" style="6" customWidth="1"/>
    <col min="6644" max="6644" width="6.5546875" style="6" customWidth="1"/>
    <col min="6645" max="6645" width="0.6640625" style="6" customWidth="1"/>
    <col min="6646" max="6646" width="7.88671875" style="6" customWidth="1"/>
    <col min="6647" max="6647" width="10.5546875" style="6" customWidth="1"/>
    <col min="6648" max="6648" width="0.6640625" style="6" customWidth="1"/>
    <col min="6649" max="6890" width="11.44140625" style="6"/>
    <col min="6891" max="6891" width="0.6640625" style="6" customWidth="1"/>
    <col min="6892" max="6892" width="15.109375" style="6" customWidth="1"/>
    <col min="6893" max="6893" width="0.6640625" style="6" customWidth="1"/>
    <col min="6894" max="6894" width="56.109375" style="6" customWidth="1"/>
    <col min="6895" max="6895" width="0.6640625" style="6" customWidth="1"/>
    <col min="6896" max="6896" width="9.109375" style="6" customWidth="1"/>
    <col min="6897" max="6897" width="6" style="6" customWidth="1"/>
    <col min="6898" max="6898" width="0.6640625" style="6" customWidth="1"/>
    <col min="6899" max="6899" width="7.109375" style="6" customWidth="1"/>
    <col min="6900" max="6900" width="6.5546875" style="6" customWidth="1"/>
    <col min="6901" max="6901" width="0.6640625" style="6" customWidth="1"/>
    <col min="6902" max="6902" width="7.88671875" style="6" customWidth="1"/>
    <col min="6903" max="6903" width="10.5546875" style="6" customWidth="1"/>
    <col min="6904" max="6904" width="0.6640625" style="6" customWidth="1"/>
    <col min="6905" max="7146" width="11.44140625" style="6"/>
    <col min="7147" max="7147" width="0.6640625" style="6" customWidth="1"/>
    <col min="7148" max="7148" width="15.109375" style="6" customWidth="1"/>
    <col min="7149" max="7149" width="0.6640625" style="6" customWidth="1"/>
    <col min="7150" max="7150" width="56.109375" style="6" customWidth="1"/>
    <col min="7151" max="7151" width="0.6640625" style="6" customWidth="1"/>
    <col min="7152" max="7152" width="9.109375" style="6" customWidth="1"/>
    <col min="7153" max="7153" width="6" style="6" customWidth="1"/>
    <col min="7154" max="7154" width="0.6640625" style="6" customWidth="1"/>
    <col min="7155" max="7155" width="7.109375" style="6" customWidth="1"/>
    <col min="7156" max="7156" width="6.5546875" style="6" customWidth="1"/>
    <col min="7157" max="7157" width="0.6640625" style="6" customWidth="1"/>
    <col min="7158" max="7158" width="7.88671875" style="6" customWidth="1"/>
    <col min="7159" max="7159" width="10.5546875" style="6" customWidth="1"/>
    <col min="7160" max="7160" width="0.6640625" style="6" customWidth="1"/>
    <col min="7161" max="7402" width="11.44140625" style="6"/>
    <col min="7403" max="7403" width="0.6640625" style="6" customWidth="1"/>
    <col min="7404" max="7404" width="15.109375" style="6" customWidth="1"/>
    <col min="7405" max="7405" width="0.6640625" style="6" customWidth="1"/>
    <col min="7406" max="7406" width="56.109375" style="6" customWidth="1"/>
    <col min="7407" max="7407" width="0.6640625" style="6" customWidth="1"/>
    <col min="7408" max="7408" width="9.109375" style="6" customWidth="1"/>
    <col min="7409" max="7409" width="6" style="6" customWidth="1"/>
    <col min="7410" max="7410" width="0.6640625" style="6" customWidth="1"/>
    <col min="7411" max="7411" width="7.109375" style="6" customWidth="1"/>
    <col min="7412" max="7412" width="6.5546875" style="6" customWidth="1"/>
    <col min="7413" max="7413" width="0.6640625" style="6" customWidth="1"/>
    <col min="7414" max="7414" width="7.88671875" style="6" customWidth="1"/>
    <col min="7415" max="7415" width="10.5546875" style="6" customWidth="1"/>
    <col min="7416" max="7416" width="0.6640625" style="6" customWidth="1"/>
    <col min="7417" max="7658" width="11.44140625" style="6"/>
    <col min="7659" max="7659" width="0.6640625" style="6" customWidth="1"/>
    <col min="7660" max="7660" width="15.109375" style="6" customWidth="1"/>
    <col min="7661" max="7661" width="0.6640625" style="6" customWidth="1"/>
    <col min="7662" max="7662" width="56.109375" style="6" customWidth="1"/>
    <col min="7663" max="7663" width="0.6640625" style="6" customWidth="1"/>
    <col min="7664" max="7664" width="9.109375" style="6" customWidth="1"/>
    <col min="7665" max="7665" width="6" style="6" customWidth="1"/>
    <col min="7666" max="7666" width="0.6640625" style="6" customWidth="1"/>
    <col min="7667" max="7667" width="7.109375" style="6" customWidth="1"/>
    <col min="7668" max="7668" width="6.5546875" style="6" customWidth="1"/>
    <col min="7669" max="7669" width="0.6640625" style="6" customWidth="1"/>
    <col min="7670" max="7670" width="7.88671875" style="6" customWidth="1"/>
    <col min="7671" max="7671" width="10.5546875" style="6" customWidth="1"/>
    <col min="7672" max="7672" width="0.6640625" style="6" customWidth="1"/>
    <col min="7673" max="7914" width="11.44140625" style="6"/>
    <col min="7915" max="7915" width="0.6640625" style="6" customWidth="1"/>
    <col min="7916" max="7916" width="15.109375" style="6" customWidth="1"/>
    <col min="7917" max="7917" width="0.6640625" style="6" customWidth="1"/>
    <col min="7918" max="7918" width="56.109375" style="6" customWidth="1"/>
    <col min="7919" max="7919" width="0.6640625" style="6" customWidth="1"/>
    <col min="7920" max="7920" width="9.109375" style="6" customWidth="1"/>
    <col min="7921" max="7921" width="6" style="6" customWidth="1"/>
    <col min="7922" max="7922" width="0.6640625" style="6" customWidth="1"/>
    <col min="7923" max="7923" width="7.109375" style="6" customWidth="1"/>
    <col min="7924" max="7924" width="6.5546875" style="6" customWidth="1"/>
    <col min="7925" max="7925" width="0.6640625" style="6" customWidth="1"/>
    <col min="7926" max="7926" width="7.88671875" style="6" customWidth="1"/>
    <col min="7927" max="7927" width="10.5546875" style="6" customWidth="1"/>
    <col min="7928" max="7928" width="0.6640625" style="6" customWidth="1"/>
    <col min="7929" max="8170" width="11.44140625" style="6"/>
    <col min="8171" max="8171" width="0.6640625" style="6" customWidth="1"/>
    <col min="8172" max="8172" width="15.109375" style="6" customWidth="1"/>
    <col min="8173" max="8173" width="0.6640625" style="6" customWidth="1"/>
    <col min="8174" max="8174" width="56.109375" style="6" customWidth="1"/>
    <col min="8175" max="8175" width="0.6640625" style="6" customWidth="1"/>
    <col min="8176" max="8176" width="9.109375" style="6" customWidth="1"/>
    <col min="8177" max="8177" width="6" style="6" customWidth="1"/>
    <col min="8178" max="8178" width="0.6640625" style="6" customWidth="1"/>
    <col min="8179" max="8179" width="7.109375" style="6" customWidth="1"/>
    <col min="8180" max="8180" width="6.5546875" style="6" customWidth="1"/>
    <col min="8181" max="8181" width="0.6640625" style="6" customWidth="1"/>
    <col min="8182" max="8182" width="7.88671875" style="6" customWidth="1"/>
    <col min="8183" max="8183" width="10.5546875" style="6" customWidth="1"/>
    <col min="8184" max="8184" width="0.6640625" style="6" customWidth="1"/>
    <col min="8185" max="8426" width="11.44140625" style="6"/>
    <col min="8427" max="8427" width="0.6640625" style="6" customWidth="1"/>
    <col min="8428" max="8428" width="15.109375" style="6" customWidth="1"/>
    <col min="8429" max="8429" width="0.6640625" style="6" customWidth="1"/>
    <col min="8430" max="8430" width="56.109375" style="6" customWidth="1"/>
    <col min="8431" max="8431" width="0.6640625" style="6" customWidth="1"/>
    <col min="8432" max="8432" width="9.109375" style="6" customWidth="1"/>
    <col min="8433" max="8433" width="6" style="6" customWidth="1"/>
    <col min="8434" max="8434" width="0.6640625" style="6" customWidth="1"/>
    <col min="8435" max="8435" width="7.109375" style="6" customWidth="1"/>
    <col min="8436" max="8436" width="6.5546875" style="6" customWidth="1"/>
    <col min="8437" max="8437" width="0.6640625" style="6" customWidth="1"/>
    <col min="8438" max="8438" width="7.88671875" style="6" customWidth="1"/>
    <col min="8439" max="8439" width="10.5546875" style="6" customWidth="1"/>
    <col min="8440" max="8440" width="0.6640625" style="6" customWidth="1"/>
    <col min="8441" max="8682" width="11.44140625" style="6"/>
    <col min="8683" max="8683" width="0.6640625" style="6" customWidth="1"/>
    <col min="8684" max="8684" width="15.109375" style="6" customWidth="1"/>
    <col min="8685" max="8685" width="0.6640625" style="6" customWidth="1"/>
    <col min="8686" max="8686" width="56.109375" style="6" customWidth="1"/>
    <col min="8687" max="8687" width="0.6640625" style="6" customWidth="1"/>
    <col min="8688" max="8688" width="9.109375" style="6" customWidth="1"/>
    <col min="8689" max="8689" width="6" style="6" customWidth="1"/>
    <col min="8690" max="8690" width="0.6640625" style="6" customWidth="1"/>
    <col min="8691" max="8691" width="7.109375" style="6" customWidth="1"/>
    <col min="8692" max="8692" width="6.5546875" style="6" customWidth="1"/>
    <col min="8693" max="8693" width="0.6640625" style="6" customWidth="1"/>
    <col min="8694" max="8694" width="7.88671875" style="6" customWidth="1"/>
    <col min="8695" max="8695" width="10.5546875" style="6" customWidth="1"/>
    <col min="8696" max="8696" width="0.6640625" style="6" customWidth="1"/>
    <col min="8697" max="8938" width="11.44140625" style="6"/>
    <col min="8939" max="8939" width="0.6640625" style="6" customWidth="1"/>
    <col min="8940" max="8940" width="15.109375" style="6" customWidth="1"/>
    <col min="8941" max="8941" width="0.6640625" style="6" customWidth="1"/>
    <col min="8942" max="8942" width="56.109375" style="6" customWidth="1"/>
    <col min="8943" max="8943" width="0.6640625" style="6" customWidth="1"/>
    <col min="8944" max="8944" width="9.109375" style="6" customWidth="1"/>
    <col min="8945" max="8945" width="6" style="6" customWidth="1"/>
    <col min="8946" max="8946" width="0.6640625" style="6" customWidth="1"/>
    <col min="8947" max="8947" width="7.109375" style="6" customWidth="1"/>
    <col min="8948" max="8948" width="6.5546875" style="6" customWidth="1"/>
    <col min="8949" max="8949" width="0.6640625" style="6" customWidth="1"/>
    <col min="8950" max="8950" width="7.88671875" style="6" customWidth="1"/>
    <col min="8951" max="8951" width="10.5546875" style="6" customWidth="1"/>
    <col min="8952" max="8952" width="0.6640625" style="6" customWidth="1"/>
    <col min="8953" max="9194" width="11.44140625" style="6"/>
    <col min="9195" max="9195" width="0.6640625" style="6" customWidth="1"/>
    <col min="9196" max="9196" width="15.109375" style="6" customWidth="1"/>
    <col min="9197" max="9197" width="0.6640625" style="6" customWidth="1"/>
    <col min="9198" max="9198" width="56.109375" style="6" customWidth="1"/>
    <col min="9199" max="9199" width="0.6640625" style="6" customWidth="1"/>
    <col min="9200" max="9200" width="9.109375" style="6" customWidth="1"/>
    <col min="9201" max="9201" width="6" style="6" customWidth="1"/>
    <col min="9202" max="9202" width="0.6640625" style="6" customWidth="1"/>
    <col min="9203" max="9203" width="7.109375" style="6" customWidth="1"/>
    <col min="9204" max="9204" width="6.5546875" style="6" customWidth="1"/>
    <col min="9205" max="9205" width="0.6640625" style="6" customWidth="1"/>
    <col min="9206" max="9206" width="7.88671875" style="6" customWidth="1"/>
    <col min="9207" max="9207" width="10.5546875" style="6" customWidth="1"/>
    <col min="9208" max="9208" width="0.6640625" style="6" customWidth="1"/>
    <col min="9209" max="9450" width="11.44140625" style="6"/>
    <col min="9451" max="9451" width="0.6640625" style="6" customWidth="1"/>
    <col min="9452" max="9452" width="15.109375" style="6" customWidth="1"/>
    <col min="9453" max="9453" width="0.6640625" style="6" customWidth="1"/>
    <col min="9454" max="9454" width="56.109375" style="6" customWidth="1"/>
    <col min="9455" max="9455" width="0.6640625" style="6" customWidth="1"/>
    <col min="9456" max="9456" width="9.109375" style="6" customWidth="1"/>
    <col min="9457" max="9457" width="6" style="6" customWidth="1"/>
    <col min="9458" max="9458" width="0.6640625" style="6" customWidth="1"/>
    <col min="9459" max="9459" width="7.109375" style="6" customWidth="1"/>
    <col min="9460" max="9460" width="6.5546875" style="6" customWidth="1"/>
    <col min="9461" max="9461" width="0.6640625" style="6" customWidth="1"/>
    <col min="9462" max="9462" width="7.88671875" style="6" customWidth="1"/>
    <col min="9463" max="9463" width="10.5546875" style="6" customWidth="1"/>
    <col min="9464" max="9464" width="0.6640625" style="6" customWidth="1"/>
    <col min="9465" max="9706" width="11.44140625" style="6"/>
    <col min="9707" max="9707" width="0.6640625" style="6" customWidth="1"/>
    <col min="9708" max="9708" width="15.109375" style="6" customWidth="1"/>
    <col min="9709" max="9709" width="0.6640625" style="6" customWidth="1"/>
    <col min="9710" max="9710" width="56.109375" style="6" customWidth="1"/>
    <col min="9711" max="9711" width="0.6640625" style="6" customWidth="1"/>
    <col min="9712" max="9712" width="9.109375" style="6" customWidth="1"/>
    <col min="9713" max="9713" width="6" style="6" customWidth="1"/>
    <col min="9714" max="9714" width="0.6640625" style="6" customWidth="1"/>
    <col min="9715" max="9715" width="7.109375" style="6" customWidth="1"/>
    <col min="9716" max="9716" width="6.5546875" style="6" customWidth="1"/>
    <col min="9717" max="9717" width="0.6640625" style="6" customWidth="1"/>
    <col min="9718" max="9718" width="7.88671875" style="6" customWidth="1"/>
    <col min="9719" max="9719" width="10.5546875" style="6" customWidth="1"/>
    <col min="9720" max="9720" width="0.6640625" style="6" customWidth="1"/>
    <col min="9721" max="9962" width="11.44140625" style="6"/>
    <col min="9963" max="9963" width="0.6640625" style="6" customWidth="1"/>
    <col min="9964" max="9964" width="15.109375" style="6" customWidth="1"/>
    <col min="9965" max="9965" width="0.6640625" style="6" customWidth="1"/>
    <col min="9966" max="9966" width="56.109375" style="6" customWidth="1"/>
    <col min="9967" max="9967" width="0.6640625" style="6" customWidth="1"/>
    <col min="9968" max="9968" width="9.109375" style="6" customWidth="1"/>
    <col min="9969" max="9969" width="6" style="6" customWidth="1"/>
    <col min="9970" max="9970" width="0.6640625" style="6" customWidth="1"/>
    <col min="9971" max="9971" width="7.109375" style="6" customWidth="1"/>
    <col min="9972" max="9972" width="6.5546875" style="6" customWidth="1"/>
    <col min="9973" max="9973" width="0.6640625" style="6" customWidth="1"/>
    <col min="9974" max="9974" width="7.88671875" style="6" customWidth="1"/>
    <col min="9975" max="9975" width="10.5546875" style="6" customWidth="1"/>
    <col min="9976" max="9976" width="0.6640625" style="6" customWidth="1"/>
    <col min="9977" max="10218" width="11.44140625" style="6"/>
    <col min="10219" max="10219" width="0.6640625" style="6" customWidth="1"/>
    <col min="10220" max="10220" width="15.109375" style="6" customWidth="1"/>
    <col min="10221" max="10221" width="0.6640625" style="6" customWidth="1"/>
    <col min="10222" max="10222" width="56.109375" style="6" customWidth="1"/>
    <col min="10223" max="10223" width="0.6640625" style="6" customWidth="1"/>
    <col min="10224" max="10224" width="9.109375" style="6" customWidth="1"/>
    <col min="10225" max="10225" width="6" style="6" customWidth="1"/>
    <col min="10226" max="10226" width="0.6640625" style="6" customWidth="1"/>
    <col min="10227" max="10227" width="7.109375" style="6" customWidth="1"/>
    <col min="10228" max="10228" width="6.5546875" style="6" customWidth="1"/>
    <col min="10229" max="10229" width="0.6640625" style="6" customWidth="1"/>
    <col min="10230" max="10230" width="7.88671875" style="6" customWidth="1"/>
    <col min="10231" max="10231" width="10.5546875" style="6" customWidth="1"/>
    <col min="10232" max="10232" width="0.6640625" style="6" customWidth="1"/>
    <col min="10233" max="10474" width="11.44140625" style="6"/>
    <col min="10475" max="10475" width="0.6640625" style="6" customWidth="1"/>
    <col min="10476" max="10476" width="15.109375" style="6" customWidth="1"/>
    <col min="10477" max="10477" width="0.6640625" style="6" customWidth="1"/>
    <col min="10478" max="10478" width="56.109375" style="6" customWidth="1"/>
    <col min="10479" max="10479" width="0.6640625" style="6" customWidth="1"/>
    <col min="10480" max="10480" width="9.109375" style="6" customWidth="1"/>
    <col min="10481" max="10481" width="6" style="6" customWidth="1"/>
    <col min="10482" max="10482" width="0.6640625" style="6" customWidth="1"/>
    <col min="10483" max="10483" width="7.109375" style="6" customWidth="1"/>
    <col min="10484" max="10484" width="6.5546875" style="6" customWidth="1"/>
    <col min="10485" max="10485" width="0.6640625" style="6" customWidth="1"/>
    <col min="10486" max="10486" width="7.88671875" style="6" customWidth="1"/>
    <col min="10487" max="10487" width="10.5546875" style="6" customWidth="1"/>
    <col min="10488" max="10488" width="0.6640625" style="6" customWidth="1"/>
    <col min="10489" max="10730" width="11.44140625" style="6"/>
    <col min="10731" max="10731" width="0.6640625" style="6" customWidth="1"/>
    <col min="10732" max="10732" width="15.109375" style="6" customWidth="1"/>
    <col min="10733" max="10733" width="0.6640625" style="6" customWidth="1"/>
    <col min="10734" max="10734" width="56.109375" style="6" customWidth="1"/>
    <col min="10735" max="10735" width="0.6640625" style="6" customWidth="1"/>
    <col min="10736" max="10736" width="9.109375" style="6" customWidth="1"/>
    <col min="10737" max="10737" width="6" style="6" customWidth="1"/>
    <col min="10738" max="10738" width="0.6640625" style="6" customWidth="1"/>
    <col min="10739" max="10739" width="7.109375" style="6" customWidth="1"/>
    <col min="10740" max="10740" width="6.5546875" style="6" customWidth="1"/>
    <col min="10741" max="10741" width="0.6640625" style="6" customWidth="1"/>
    <col min="10742" max="10742" width="7.88671875" style="6" customWidth="1"/>
    <col min="10743" max="10743" width="10.5546875" style="6" customWidth="1"/>
    <col min="10744" max="10744" width="0.6640625" style="6" customWidth="1"/>
    <col min="10745" max="10986" width="11.44140625" style="6"/>
    <col min="10987" max="10987" width="0.6640625" style="6" customWidth="1"/>
    <col min="10988" max="10988" width="15.109375" style="6" customWidth="1"/>
    <col min="10989" max="10989" width="0.6640625" style="6" customWidth="1"/>
    <col min="10990" max="10990" width="56.109375" style="6" customWidth="1"/>
    <col min="10991" max="10991" width="0.6640625" style="6" customWidth="1"/>
    <col min="10992" max="10992" width="9.109375" style="6" customWidth="1"/>
    <col min="10993" max="10993" width="6" style="6" customWidth="1"/>
    <col min="10994" max="10994" width="0.6640625" style="6" customWidth="1"/>
    <col min="10995" max="10995" width="7.109375" style="6" customWidth="1"/>
    <col min="10996" max="10996" width="6.5546875" style="6" customWidth="1"/>
    <col min="10997" max="10997" width="0.6640625" style="6" customWidth="1"/>
    <col min="10998" max="10998" width="7.88671875" style="6" customWidth="1"/>
    <col min="10999" max="10999" width="10.5546875" style="6" customWidth="1"/>
    <col min="11000" max="11000" width="0.6640625" style="6" customWidth="1"/>
    <col min="11001" max="11242" width="11.44140625" style="6"/>
    <col min="11243" max="11243" width="0.6640625" style="6" customWidth="1"/>
    <col min="11244" max="11244" width="15.109375" style="6" customWidth="1"/>
    <col min="11245" max="11245" width="0.6640625" style="6" customWidth="1"/>
    <col min="11246" max="11246" width="56.109375" style="6" customWidth="1"/>
    <col min="11247" max="11247" width="0.6640625" style="6" customWidth="1"/>
    <col min="11248" max="11248" width="9.109375" style="6" customWidth="1"/>
    <col min="11249" max="11249" width="6" style="6" customWidth="1"/>
    <col min="11250" max="11250" width="0.6640625" style="6" customWidth="1"/>
    <col min="11251" max="11251" width="7.109375" style="6" customWidth="1"/>
    <col min="11252" max="11252" width="6.5546875" style="6" customWidth="1"/>
    <col min="11253" max="11253" width="0.6640625" style="6" customWidth="1"/>
    <col min="11254" max="11254" width="7.88671875" style="6" customWidth="1"/>
    <col min="11255" max="11255" width="10.5546875" style="6" customWidth="1"/>
    <col min="11256" max="11256" width="0.6640625" style="6" customWidth="1"/>
    <col min="11257" max="11498" width="11.44140625" style="6"/>
    <col min="11499" max="11499" width="0.6640625" style="6" customWidth="1"/>
    <col min="11500" max="11500" width="15.109375" style="6" customWidth="1"/>
    <col min="11501" max="11501" width="0.6640625" style="6" customWidth="1"/>
    <col min="11502" max="11502" width="56.109375" style="6" customWidth="1"/>
    <col min="11503" max="11503" width="0.6640625" style="6" customWidth="1"/>
    <col min="11504" max="11504" width="9.109375" style="6" customWidth="1"/>
    <col min="11505" max="11505" width="6" style="6" customWidth="1"/>
    <col min="11506" max="11506" width="0.6640625" style="6" customWidth="1"/>
    <col min="11507" max="11507" width="7.109375" style="6" customWidth="1"/>
    <col min="11508" max="11508" width="6.5546875" style="6" customWidth="1"/>
    <col min="11509" max="11509" width="0.6640625" style="6" customWidth="1"/>
    <col min="11510" max="11510" width="7.88671875" style="6" customWidth="1"/>
    <col min="11511" max="11511" width="10.5546875" style="6" customWidth="1"/>
    <col min="11512" max="11512" width="0.6640625" style="6" customWidth="1"/>
    <col min="11513" max="11754" width="11.44140625" style="6"/>
    <col min="11755" max="11755" width="0.6640625" style="6" customWidth="1"/>
    <col min="11756" max="11756" width="15.109375" style="6" customWidth="1"/>
    <col min="11757" max="11757" width="0.6640625" style="6" customWidth="1"/>
    <col min="11758" max="11758" width="56.109375" style="6" customWidth="1"/>
    <col min="11759" max="11759" width="0.6640625" style="6" customWidth="1"/>
    <col min="11760" max="11760" width="9.109375" style="6" customWidth="1"/>
    <col min="11761" max="11761" width="6" style="6" customWidth="1"/>
    <col min="11762" max="11762" width="0.6640625" style="6" customWidth="1"/>
    <col min="11763" max="11763" width="7.109375" style="6" customWidth="1"/>
    <col min="11764" max="11764" width="6.5546875" style="6" customWidth="1"/>
    <col min="11765" max="11765" width="0.6640625" style="6" customWidth="1"/>
    <col min="11766" max="11766" width="7.88671875" style="6" customWidth="1"/>
    <col min="11767" max="11767" width="10.5546875" style="6" customWidth="1"/>
    <col min="11768" max="11768" width="0.6640625" style="6" customWidth="1"/>
    <col min="11769" max="12010" width="11.44140625" style="6"/>
    <col min="12011" max="12011" width="0.6640625" style="6" customWidth="1"/>
    <col min="12012" max="12012" width="15.109375" style="6" customWidth="1"/>
    <col min="12013" max="12013" width="0.6640625" style="6" customWidth="1"/>
    <col min="12014" max="12014" width="56.109375" style="6" customWidth="1"/>
    <col min="12015" max="12015" width="0.6640625" style="6" customWidth="1"/>
    <col min="12016" max="12016" width="9.109375" style="6" customWidth="1"/>
    <col min="12017" max="12017" width="6" style="6" customWidth="1"/>
    <col min="12018" max="12018" width="0.6640625" style="6" customWidth="1"/>
    <col min="12019" max="12019" width="7.109375" style="6" customWidth="1"/>
    <col min="12020" max="12020" width="6.5546875" style="6" customWidth="1"/>
    <col min="12021" max="12021" width="0.6640625" style="6" customWidth="1"/>
    <col min="12022" max="12022" width="7.88671875" style="6" customWidth="1"/>
    <col min="12023" max="12023" width="10.5546875" style="6" customWidth="1"/>
    <col min="12024" max="12024" width="0.6640625" style="6" customWidth="1"/>
    <col min="12025" max="12266" width="11.44140625" style="6"/>
    <col min="12267" max="12267" width="0.6640625" style="6" customWidth="1"/>
    <col min="12268" max="12268" width="15.109375" style="6" customWidth="1"/>
    <col min="12269" max="12269" width="0.6640625" style="6" customWidth="1"/>
    <col min="12270" max="12270" width="56.109375" style="6" customWidth="1"/>
    <col min="12271" max="12271" width="0.6640625" style="6" customWidth="1"/>
    <col min="12272" max="12272" width="9.109375" style="6" customWidth="1"/>
    <col min="12273" max="12273" width="6" style="6" customWidth="1"/>
    <col min="12274" max="12274" width="0.6640625" style="6" customWidth="1"/>
    <col min="12275" max="12275" width="7.109375" style="6" customWidth="1"/>
    <col min="12276" max="12276" width="6.5546875" style="6" customWidth="1"/>
    <col min="12277" max="12277" width="0.6640625" style="6" customWidth="1"/>
    <col min="12278" max="12278" width="7.88671875" style="6" customWidth="1"/>
    <col min="12279" max="12279" width="10.5546875" style="6" customWidth="1"/>
    <col min="12280" max="12280" width="0.6640625" style="6" customWidth="1"/>
    <col min="12281" max="12522" width="11.44140625" style="6"/>
    <col min="12523" max="12523" width="0.6640625" style="6" customWidth="1"/>
    <col min="12524" max="12524" width="15.109375" style="6" customWidth="1"/>
    <col min="12525" max="12525" width="0.6640625" style="6" customWidth="1"/>
    <col min="12526" max="12526" width="56.109375" style="6" customWidth="1"/>
    <col min="12527" max="12527" width="0.6640625" style="6" customWidth="1"/>
    <col min="12528" max="12528" width="9.109375" style="6" customWidth="1"/>
    <col min="12529" max="12529" width="6" style="6" customWidth="1"/>
    <col min="12530" max="12530" width="0.6640625" style="6" customWidth="1"/>
    <col min="12531" max="12531" width="7.109375" style="6" customWidth="1"/>
    <col min="12532" max="12532" width="6.5546875" style="6" customWidth="1"/>
    <col min="12533" max="12533" width="0.6640625" style="6" customWidth="1"/>
    <col min="12534" max="12534" width="7.88671875" style="6" customWidth="1"/>
    <col min="12535" max="12535" width="10.5546875" style="6" customWidth="1"/>
    <col min="12536" max="12536" width="0.6640625" style="6" customWidth="1"/>
    <col min="12537" max="12778" width="11.44140625" style="6"/>
    <col min="12779" max="12779" width="0.6640625" style="6" customWidth="1"/>
    <col min="12780" max="12780" width="15.109375" style="6" customWidth="1"/>
    <col min="12781" max="12781" width="0.6640625" style="6" customWidth="1"/>
    <col min="12782" max="12782" width="56.109375" style="6" customWidth="1"/>
    <col min="12783" max="12783" width="0.6640625" style="6" customWidth="1"/>
    <col min="12784" max="12784" width="9.109375" style="6" customWidth="1"/>
    <col min="12785" max="12785" width="6" style="6" customWidth="1"/>
    <col min="12786" max="12786" width="0.6640625" style="6" customWidth="1"/>
    <col min="12787" max="12787" width="7.109375" style="6" customWidth="1"/>
    <col min="12788" max="12788" width="6.5546875" style="6" customWidth="1"/>
    <col min="12789" max="12789" width="0.6640625" style="6" customWidth="1"/>
    <col min="12790" max="12790" width="7.88671875" style="6" customWidth="1"/>
    <col min="12791" max="12791" width="10.5546875" style="6" customWidth="1"/>
    <col min="12792" max="12792" width="0.6640625" style="6" customWidth="1"/>
    <col min="12793" max="13034" width="11.44140625" style="6"/>
    <col min="13035" max="13035" width="0.6640625" style="6" customWidth="1"/>
    <col min="13036" max="13036" width="15.109375" style="6" customWidth="1"/>
    <col min="13037" max="13037" width="0.6640625" style="6" customWidth="1"/>
    <col min="13038" max="13038" width="56.109375" style="6" customWidth="1"/>
    <col min="13039" max="13039" width="0.6640625" style="6" customWidth="1"/>
    <col min="13040" max="13040" width="9.109375" style="6" customWidth="1"/>
    <col min="13041" max="13041" width="6" style="6" customWidth="1"/>
    <col min="13042" max="13042" width="0.6640625" style="6" customWidth="1"/>
    <col min="13043" max="13043" width="7.109375" style="6" customWidth="1"/>
    <col min="13044" max="13044" width="6.5546875" style="6" customWidth="1"/>
    <col min="13045" max="13045" width="0.6640625" style="6" customWidth="1"/>
    <col min="13046" max="13046" width="7.88671875" style="6" customWidth="1"/>
    <col min="13047" max="13047" width="10.5546875" style="6" customWidth="1"/>
    <col min="13048" max="13048" width="0.6640625" style="6" customWidth="1"/>
    <col min="13049" max="13290" width="11.44140625" style="6"/>
    <col min="13291" max="13291" width="0.6640625" style="6" customWidth="1"/>
    <col min="13292" max="13292" width="15.109375" style="6" customWidth="1"/>
    <col min="13293" max="13293" width="0.6640625" style="6" customWidth="1"/>
    <col min="13294" max="13294" width="56.109375" style="6" customWidth="1"/>
    <col min="13295" max="13295" width="0.6640625" style="6" customWidth="1"/>
    <col min="13296" max="13296" width="9.109375" style="6" customWidth="1"/>
    <col min="13297" max="13297" width="6" style="6" customWidth="1"/>
    <col min="13298" max="13298" width="0.6640625" style="6" customWidth="1"/>
    <col min="13299" max="13299" width="7.109375" style="6" customWidth="1"/>
    <col min="13300" max="13300" width="6.5546875" style="6" customWidth="1"/>
    <col min="13301" max="13301" width="0.6640625" style="6" customWidth="1"/>
    <col min="13302" max="13302" width="7.88671875" style="6" customWidth="1"/>
    <col min="13303" max="13303" width="10.5546875" style="6" customWidth="1"/>
    <col min="13304" max="13304" width="0.6640625" style="6" customWidth="1"/>
    <col min="13305" max="13546" width="11.44140625" style="6"/>
    <col min="13547" max="13547" width="0.6640625" style="6" customWidth="1"/>
    <col min="13548" max="13548" width="15.109375" style="6" customWidth="1"/>
    <col min="13549" max="13549" width="0.6640625" style="6" customWidth="1"/>
    <col min="13550" max="13550" width="56.109375" style="6" customWidth="1"/>
    <col min="13551" max="13551" width="0.6640625" style="6" customWidth="1"/>
    <col min="13552" max="13552" width="9.109375" style="6" customWidth="1"/>
    <col min="13553" max="13553" width="6" style="6" customWidth="1"/>
    <col min="13554" max="13554" width="0.6640625" style="6" customWidth="1"/>
    <col min="13555" max="13555" width="7.109375" style="6" customWidth="1"/>
    <col min="13556" max="13556" width="6.5546875" style="6" customWidth="1"/>
    <col min="13557" max="13557" width="0.6640625" style="6" customWidth="1"/>
    <col min="13558" max="13558" width="7.88671875" style="6" customWidth="1"/>
    <col min="13559" max="13559" width="10.5546875" style="6" customWidth="1"/>
    <col min="13560" max="13560" width="0.6640625" style="6" customWidth="1"/>
    <col min="13561" max="16384" width="11.44140625" style="6"/>
  </cols>
  <sheetData>
    <row r="1" spans="1:10" ht="15" customHeight="1" x14ac:dyDescent="0.25">
      <c r="A1" s="1"/>
      <c r="B1" s="2"/>
      <c r="C1" s="52"/>
      <c r="D1" s="4"/>
      <c r="E1" s="4"/>
      <c r="F1" s="4"/>
      <c r="G1" s="5"/>
      <c r="J1" s="7" t="s">
        <v>0</v>
      </c>
    </row>
    <row r="2" spans="1:10" ht="15" customHeight="1" x14ac:dyDescent="0.25">
      <c r="A2" s="8"/>
      <c r="B2" s="9"/>
      <c r="C2" s="54"/>
      <c r="D2" s="11"/>
      <c r="E2" s="11"/>
      <c r="F2" s="11"/>
      <c r="G2" s="12"/>
      <c r="J2" s="13" t="s">
        <v>1</v>
      </c>
    </row>
    <row r="3" spans="1:10" ht="15" customHeight="1" x14ac:dyDescent="0.3">
      <c r="A3" s="8"/>
      <c r="B3" s="9"/>
      <c r="C3" s="54"/>
      <c r="D3" s="11"/>
      <c r="E3" s="11"/>
      <c r="F3" s="11"/>
      <c r="G3" s="12"/>
      <c r="J3" s="7" t="s">
        <v>2</v>
      </c>
    </row>
    <row r="4" spans="1:10" ht="15" customHeight="1" x14ac:dyDescent="0.25">
      <c r="A4" s="14"/>
      <c r="B4" s="15"/>
      <c r="C4" s="56"/>
      <c r="D4" s="17"/>
      <c r="E4" s="17"/>
      <c r="F4" s="17"/>
      <c r="G4" s="57"/>
      <c r="J4" s="7" t="s">
        <v>3</v>
      </c>
    </row>
    <row r="5" spans="1:10" ht="30" customHeight="1" x14ac:dyDescent="0.3">
      <c r="A5" s="990" t="str">
        <f>CONCATENATE("COMPOSIÇÃO DE CUSTO UNITÁRIO - ",ORÇAMENTO!P2)</f>
        <v>COMPOSIÇÃO DE CUSTO UNITÁRIO - NÃO DESONERADO</v>
      </c>
      <c r="B5" s="991"/>
      <c r="C5" s="991"/>
      <c r="D5" s="991"/>
      <c r="E5" s="991"/>
      <c r="F5" s="991"/>
      <c r="G5" s="992"/>
      <c r="J5" s="7" t="s">
        <v>4</v>
      </c>
    </row>
    <row r="6" spans="1:10" ht="18" customHeight="1" x14ac:dyDescent="0.3">
      <c r="A6" s="97" t="s">
        <v>5</v>
      </c>
      <c r="B6" s="98" t="s">
        <v>6</v>
      </c>
      <c r="C6" s="1015" t="s">
        <v>148</v>
      </c>
      <c r="D6" s="1015"/>
      <c r="E6" s="1016"/>
      <c r="F6" s="98" t="s">
        <v>7</v>
      </c>
      <c r="G6" s="99"/>
      <c r="J6" s="7" t="s">
        <v>8</v>
      </c>
    </row>
    <row r="7" spans="1:10" x14ac:dyDescent="0.3">
      <c r="A7" s="24" t="s">
        <v>149</v>
      </c>
      <c r="B7" s="25"/>
      <c r="C7" s="1017"/>
      <c r="D7" s="1017"/>
      <c r="E7" s="1018"/>
      <c r="F7" s="100"/>
      <c r="G7" s="101" t="s">
        <v>32</v>
      </c>
      <c r="J7" s="35" t="s">
        <v>14</v>
      </c>
    </row>
    <row r="8" spans="1:10" x14ac:dyDescent="0.3">
      <c r="A8" s="102" t="s">
        <v>13</v>
      </c>
      <c r="B8" s="33"/>
      <c r="C8" s="69" t="s">
        <v>150</v>
      </c>
      <c r="D8" s="103"/>
      <c r="E8" s="103"/>
      <c r="F8" s="33"/>
      <c r="G8" s="104"/>
      <c r="J8" s="6" t="s">
        <v>12</v>
      </c>
    </row>
    <row r="9" spans="1:10" x14ac:dyDescent="0.3">
      <c r="A9" s="1019" t="s">
        <v>5</v>
      </c>
      <c r="B9" s="1019" t="s">
        <v>15</v>
      </c>
      <c r="C9" s="1019" t="s">
        <v>16</v>
      </c>
      <c r="D9" s="1020" t="s">
        <v>34</v>
      </c>
      <c r="E9" s="1020" t="s">
        <v>35</v>
      </c>
      <c r="F9" s="105" t="s">
        <v>22</v>
      </c>
      <c r="G9" s="106" t="s">
        <v>22</v>
      </c>
    </row>
    <row r="10" spans="1:10" ht="30.75" customHeight="1" x14ac:dyDescent="0.3">
      <c r="A10" s="1019"/>
      <c r="B10" s="1019"/>
      <c r="C10" s="1019"/>
      <c r="D10" s="1020"/>
      <c r="E10" s="1020"/>
      <c r="F10" s="107" t="s">
        <v>23</v>
      </c>
      <c r="G10" s="41" t="s">
        <v>24</v>
      </c>
    </row>
    <row r="11" spans="1:10" ht="27.6" x14ac:dyDescent="0.3">
      <c r="A11" s="49"/>
      <c r="B11" s="108" t="s">
        <v>45</v>
      </c>
      <c r="C11" s="244" t="s">
        <v>151</v>
      </c>
      <c r="D11" s="46" t="s">
        <v>152</v>
      </c>
      <c r="E11" s="245">
        <v>7.3000000000000001E-3</v>
      </c>
      <c r="F11" s="46"/>
      <c r="G11" s="47">
        <f t="shared" ref="G11:G22" si="0">TRUNC(E11*F11,2)</f>
        <v>0</v>
      </c>
    </row>
    <row r="12" spans="1:10" x14ac:dyDescent="0.3">
      <c r="A12" s="49"/>
      <c r="B12" s="108" t="s">
        <v>45</v>
      </c>
      <c r="C12" s="244" t="s">
        <v>153</v>
      </c>
      <c r="D12" s="46" t="s">
        <v>152</v>
      </c>
      <c r="E12" s="245">
        <v>1.4999999999999999E-2</v>
      </c>
      <c r="F12" s="46"/>
      <c r="G12" s="47">
        <f t="shared" si="0"/>
        <v>0</v>
      </c>
    </row>
    <row r="13" spans="1:10" ht="28.8" x14ac:dyDescent="0.3">
      <c r="A13" s="49">
        <v>6879</v>
      </c>
      <c r="B13" s="108" t="s">
        <v>0</v>
      </c>
      <c r="C13" s="77" t="s">
        <v>1145</v>
      </c>
      <c r="D13" s="78" t="s">
        <v>1146</v>
      </c>
      <c r="E13" s="245">
        <v>8.0000000000000004E-4</v>
      </c>
      <c r="F13" s="46"/>
      <c r="G13" s="47">
        <f t="shared" si="0"/>
        <v>0</v>
      </c>
    </row>
    <row r="14" spans="1:10" ht="28.8" x14ac:dyDescent="0.3">
      <c r="A14" s="49">
        <v>6880</v>
      </c>
      <c r="B14" s="108" t="s">
        <v>0</v>
      </c>
      <c r="C14" s="77" t="s">
        <v>1147</v>
      </c>
      <c r="D14" s="78" t="s">
        <v>1148</v>
      </c>
      <c r="E14" s="245">
        <v>1.9E-3</v>
      </c>
      <c r="F14" s="46"/>
      <c r="G14" s="47">
        <f t="shared" si="0"/>
        <v>0</v>
      </c>
    </row>
    <row r="15" spans="1:10" ht="28.8" x14ac:dyDescent="0.3">
      <c r="A15" s="49">
        <v>7030</v>
      </c>
      <c r="B15" s="108" t="s">
        <v>0</v>
      </c>
      <c r="C15" s="77" t="s">
        <v>1149</v>
      </c>
      <c r="D15" s="78" t="s">
        <v>1146</v>
      </c>
      <c r="E15" s="245">
        <v>2.7000000000000001E-3</v>
      </c>
      <c r="F15" s="46"/>
      <c r="G15" s="47">
        <f t="shared" si="0"/>
        <v>0</v>
      </c>
    </row>
    <row r="16" spans="1:10" ht="14.25" x14ac:dyDescent="0.25">
      <c r="A16" s="49"/>
      <c r="B16" s="108" t="s">
        <v>12</v>
      </c>
      <c r="C16" s="244" t="s">
        <v>154</v>
      </c>
      <c r="D16" s="46" t="s">
        <v>155</v>
      </c>
      <c r="E16" s="245">
        <v>3.5</v>
      </c>
      <c r="F16" s="46"/>
      <c r="G16" s="47">
        <f t="shared" si="0"/>
        <v>0</v>
      </c>
    </row>
    <row r="17" spans="1:7" ht="43.2" x14ac:dyDescent="0.3">
      <c r="A17" s="49">
        <v>83362</v>
      </c>
      <c r="B17" s="108" t="s">
        <v>0</v>
      </c>
      <c r="C17" s="77" t="s">
        <v>1141</v>
      </c>
      <c r="D17" s="78" t="s">
        <v>1146</v>
      </c>
      <c r="E17" s="245">
        <v>8.9999999999999998E-4</v>
      </c>
      <c r="F17" s="46"/>
      <c r="G17" s="47">
        <f t="shared" si="0"/>
        <v>0</v>
      </c>
    </row>
    <row r="18" spans="1:7" ht="15" x14ac:dyDescent="0.25">
      <c r="A18" s="49">
        <v>88316</v>
      </c>
      <c r="B18" s="108" t="s">
        <v>0</v>
      </c>
      <c r="C18" s="77" t="s">
        <v>1103</v>
      </c>
      <c r="D18" s="78" t="s">
        <v>1101</v>
      </c>
      <c r="E18" s="245">
        <v>2.1499999999999998E-2</v>
      </c>
      <c r="F18" s="46"/>
      <c r="G18" s="47">
        <f t="shared" si="0"/>
        <v>0</v>
      </c>
    </row>
    <row r="19" spans="1:7" ht="28.8" x14ac:dyDescent="0.3">
      <c r="A19" s="49">
        <v>89035</v>
      </c>
      <c r="B19" s="108" t="s">
        <v>0</v>
      </c>
      <c r="C19" s="77" t="s">
        <v>1150</v>
      </c>
      <c r="D19" s="78" t="s">
        <v>1146</v>
      </c>
      <c r="E19" s="245">
        <v>5.0000000000000001E-4</v>
      </c>
      <c r="F19" s="46"/>
      <c r="G19" s="47">
        <f t="shared" si="0"/>
        <v>0</v>
      </c>
    </row>
    <row r="20" spans="1:7" ht="28.8" x14ac:dyDescent="0.3">
      <c r="A20" s="49">
        <v>89036</v>
      </c>
      <c r="B20" s="108" t="s">
        <v>0</v>
      </c>
      <c r="C20" s="77" t="s">
        <v>1151</v>
      </c>
      <c r="D20" s="78" t="s">
        <v>1148</v>
      </c>
      <c r="E20" s="245">
        <v>2.2000000000000001E-3</v>
      </c>
      <c r="F20" s="46"/>
      <c r="G20" s="47">
        <f t="shared" si="0"/>
        <v>0</v>
      </c>
    </row>
    <row r="21" spans="1:7" ht="43.2" x14ac:dyDescent="0.3">
      <c r="A21" s="49">
        <v>91386</v>
      </c>
      <c r="B21" s="108" t="s">
        <v>0</v>
      </c>
      <c r="C21" s="77" t="s">
        <v>1152</v>
      </c>
      <c r="D21" s="78" t="s">
        <v>1146</v>
      </c>
      <c r="E21" s="245">
        <v>5.0000000000000001E-4</v>
      </c>
      <c r="F21" s="46"/>
      <c r="G21" s="47">
        <f t="shared" si="0"/>
        <v>0</v>
      </c>
    </row>
    <row r="22" spans="1:7" ht="43.2" x14ac:dyDescent="0.3">
      <c r="A22" s="49">
        <v>91486</v>
      </c>
      <c r="B22" s="108" t="s">
        <v>0</v>
      </c>
      <c r="C22" s="77" t="s">
        <v>1153</v>
      </c>
      <c r="D22" s="78" t="s">
        <v>1148</v>
      </c>
      <c r="E22" s="245">
        <v>1.8E-3</v>
      </c>
      <c r="F22" s="46"/>
      <c r="G22" s="47">
        <f t="shared" si="0"/>
        <v>0</v>
      </c>
    </row>
    <row r="23" spans="1:7" x14ac:dyDescent="0.3">
      <c r="A23" s="1014" t="s">
        <v>25</v>
      </c>
      <c r="B23" s="1014"/>
      <c r="C23" s="1014"/>
      <c r="D23" s="1014"/>
      <c r="E23" s="1014"/>
      <c r="F23" s="1014"/>
      <c r="G23" s="50">
        <f>SUM(G11:G22)</f>
        <v>0</v>
      </c>
    </row>
    <row r="26" spans="1:7" x14ac:dyDescent="0.3">
      <c r="A26" s="51"/>
      <c r="B26" s="51"/>
      <c r="D26" s="6"/>
      <c r="E26" s="6"/>
      <c r="F26" s="6"/>
      <c r="G26" s="6"/>
    </row>
    <row r="27" spans="1:7" s="51" customFormat="1" x14ac:dyDescent="0.3">
      <c r="C27" s="6"/>
      <c r="D27" s="6"/>
      <c r="E27" s="6"/>
      <c r="F27" s="6"/>
      <c r="G27" s="6"/>
    </row>
    <row r="28" spans="1:7" s="51" customFormat="1" x14ac:dyDescent="0.3">
      <c r="C28" s="6"/>
    </row>
    <row r="29" spans="1:7" s="51" customFormat="1" x14ac:dyDescent="0.3">
      <c r="C29" s="6"/>
    </row>
    <row r="30" spans="1:7" x14ac:dyDescent="0.3">
      <c r="A30" s="51"/>
      <c r="B30" s="51"/>
    </row>
    <row r="31" spans="1:7" s="51" customFormat="1" x14ac:dyDescent="0.3">
      <c r="C31" s="6"/>
      <c r="D31" s="6"/>
      <c r="E31" s="6"/>
      <c r="F31" s="6"/>
      <c r="G31" s="6"/>
    </row>
    <row r="32" spans="1:7" s="51" customFormat="1" x14ac:dyDescent="0.3">
      <c r="C32" s="6"/>
    </row>
    <row r="33" spans="1:7" x14ac:dyDescent="0.3">
      <c r="A33" s="51"/>
      <c r="B33" s="51"/>
    </row>
    <row r="34" spans="1:7" x14ac:dyDescent="0.3">
      <c r="A34" s="51"/>
      <c r="B34" s="51"/>
      <c r="D34" s="6"/>
      <c r="E34" s="6"/>
      <c r="F34" s="6"/>
      <c r="G34" s="6"/>
    </row>
    <row r="35" spans="1:7" x14ac:dyDescent="0.3">
      <c r="A35" s="51"/>
      <c r="B35" s="51"/>
      <c r="D35" s="6"/>
      <c r="E35" s="6"/>
      <c r="F35" s="6"/>
      <c r="G35" s="6"/>
    </row>
    <row r="36" spans="1:7" x14ac:dyDescent="0.3">
      <c r="A36" s="51"/>
      <c r="B36" s="51"/>
      <c r="D36" s="6"/>
      <c r="E36" s="6"/>
      <c r="F36" s="6"/>
      <c r="G36" s="6"/>
    </row>
    <row r="37" spans="1:7" x14ac:dyDescent="0.3">
      <c r="A37" s="51"/>
      <c r="B37" s="51"/>
      <c r="D37" s="6"/>
      <c r="E37" s="6"/>
      <c r="F37" s="6"/>
      <c r="G37" s="6"/>
    </row>
    <row r="38" spans="1:7" x14ac:dyDescent="0.3">
      <c r="A38" s="51"/>
      <c r="B38" s="51"/>
      <c r="D38" s="6"/>
      <c r="E38" s="6"/>
      <c r="F38" s="6"/>
      <c r="G38" s="6"/>
    </row>
    <row r="39" spans="1:7" x14ac:dyDescent="0.3">
      <c r="A39" s="51"/>
      <c r="B39" s="51"/>
      <c r="D39" s="6"/>
      <c r="E39" s="6"/>
      <c r="F39" s="6"/>
      <c r="G39" s="6"/>
    </row>
    <row r="40" spans="1:7" x14ac:dyDescent="0.3">
      <c r="A40" s="51"/>
      <c r="B40" s="51"/>
      <c r="D40" s="6"/>
      <c r="E40" s="6"/>
      <c r="F40" s="6"/>
      <c r="G40" s="6"/>
    </row>
  </sheetData>
  <mergeCells count="8">
    <mergeCell ref="A23:F23"/>
    <mergeCell ref="A5:G5"/>
    <mergeCell ref="C6:E7"/>
    <mergeCell ref="A9:A10"/>
    <mergeCell ref="B9:B10"/>
    <mergeCell ref="C9:C10"/>
    <mergeCell ref="D9:D10"/>
    <mergeCell ref="E9:E10"/>
  </mergeCells>
  <dataValidations count="2">
    <dataValidation type="list" allowBlank="1" showInputMessage="1" showErrorMessage="1" sqref="B11:B12">
      <formula1>$J$1:$J$9</formula1>
    </dataValidation>
    <dataValidation type="list" allowBlank="1" showInputMessage="1" showErrorMessage="1" sqref="B13:B22">
      <formula1>$J$1:$J$8</formula1>
    </dataValidation>
  </dataValidations>
  <printOptions horizontalCentered="1"/>
  <pageMargins left="0.59055118110236227" right="0.59055118110236227" top="1.7716535433070868" bottom="0.78740157480314965" header="0" footer="0"/>
  <pageSetup paperSize="9" scale="74" fitToHeight="100" orientation="landscape" r:id="rId1"/>
  <headerFooter scaleWithDoc="0">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4"/>
  <sheetViews>
    <sheetView showGridLines="0" view="pageBreakPreview" topLeftCell="A10" zoomScale="85" zoomScaleNormal="85" zoomScaleSheetLayoutView="85" workbookViewId="0">
      <selection activeCell="F22" sqref="F22:F27"/>
    </sheetView>
  </sheetViews>
  <sheetFormatPr defaultColWidth="11.44140625" defaultRowHeight="13.8" x14ac:dyDescent="0.3"/>
  <cols>
    <col min="1" max="1" width="15.109375" style="6" customWidth="1"/>
    <col min="2" max="2" width="16.5546875" style="6" customWidth="1"/>
    <col min="3" max="3" width="79.44140625" style="6" customWidth="1"/>
    <col min="4" max="4" width="14.109375" style="51" customWidth="1"/>
    <col min="5" max="5" width="17" style="51" bestFit="1" customWidth="1"/>
    <col min="6" max="7" width="15.6640625" style="51" customWidth="1"/>
    <col min="8" max="8" width="14.33203125" style="6" customWidth="1"/>
    <col min="9" max="9" width="11.44140625" style="6"/>
    <col min="10" max="10" width="25.5546875" style="6" bestFit="1" customWidth="1"/>
    <col min="11" max="234" width="11.44140625" style="6"/>
    <col min="235" max="235" width="0.6640625" style="6" customWidth="1"/>
    <col min="236" max="236" width="15.109375" style="6" customWidth="1"/>
    <col min="237" max="237" width="0.6640625" style="6" customWidth="1"/>
    <col min="238" max="238" width="56.109375" style="6" customWidth="1"/>
    <col min="239" max="239" width="0.6640625" style="6" customWidth="1"/>
    <col min="240" max="240" width="9.109375" style="6" customWidth="1"/>
    <col min="241" max="241" width="6" style="6" customWidth="1"/>
    <col min="242" max="242" width="0.6640625" style="6" customWidth="1"/>
    <col min="243" max="243" width="7.109375" style="6" customWidth="1"/>
    <col min="244" max="244" width="6.5546875" style="6" customWidth="1"/>
    <col min="245" max="245" width="0.6640625" style="6" customWidth="1"/>
    <col min="246" max="246" width="7.88671875" style="6" customWidth="1"/>
    <col min="247" max="247" width="10.5546875" style="6" customWidth="1"/>
    <col min="248" max="248" width="0.6640625" style="6" customWidth="1"/>
    <col min="249" max="490" width="11.44140625" style="6"/>
    <col min="491" max="491" width="0.6640625" style="6" customWidth="1"/>
    <col min="492" max="492" width="15.109375" style="6" customWidth="1"/>
    <col min="493" max="493" width="0.6640625" style="6" customWidth="1"/>
    <col min="494" max="494" width="56.109375" style="6" customWidth="1"/>
    <col min="495" max="495" width="0.6640625" style="6" customWidth="1"/>
    <col min="496" max="496" width="9.109375" style="6" customWidth="1"/>
    <col min="497" max="497" width="6" style="6" customWidth="1"/>
    <col min="498" max="498" width="0.6640625" style="6" customWidth="1"/>
    <col min="499" max="499" width="7.109375" style="6" customWidth="1"/>
    <col min="500" max="500" width="6.5546875" style="6" customWidth="1"/>
    <col min="501" max="501" width="0.6640625" style="6" customWidth="1"/>
    <col min="502" max="502" width="7.88671875" style="6" customWidth="1"/>
    <col min="503" max="503" width="10.5546875" style="6" customWidth="1"/>
    <col min="504" max="504" width="0.6640625" style="6" customWidth="1"/>
    <col min="505" max="746" width="11.44140625" style="6"/>
    <col min="747" max="747" width="0.6640625" style="6" customWidth="1"/>
    <col min="748" max="748" width="15.109375" style="6" customWidth="1"/>
    <col min="749" max="749" width="0.6640625" style="6" customWidth="1"/>
    <col min="750" max="750" width="56.109375" style="6" customWidth="1"/>
    <col min="751" max="751" width="0.6640625" style="6" customWidth="1"/>
    <col min="752" max="752" width="9.109375" style="6" customWidth="1"/>
    <col min="753" max="753" width="6" style="6" customWidth="1"/>
    <col min="754" max="754" width="0.6640625" style="6" customWidth="1"/>
    <col min="755" max="755" width="7.109375" style="6" customWidth="1"/>
    <col min="756" max="756" width="6.5546875" style="6" customWidth="1"/>
    <col min="757" max="757" width="0.6640625" style="6" customWidth="1"/>
    <col min="758" max="758" width="7.88671875" style="6" customWidth="1"/>
    <col min="759" max="759" width="10.5546875" style="6" customWidth="1"/>
    <col min="760" max="760" width="0.6640625" style="6" customWidth="1"/>
    <col min="761" max="1002" width="11.44140625" style="6"/>
    <col min="1003" max="1003" width="0.6640625" style="6" customWidth="1"/>
    <col min="1004" max="1004" width="15.109375" style="6" customWidth="1"/>
    <col min="1005" max="1005" width="0.6640625" style="6" customWidth="1"/>
    <col min="1006" max="1006" width="56.109375" style="6" customWidth="1"/>
    <col min="1007" max="1007" width="0.6640625" style="6" customWidth="1"/>
    <col min="1008" max="1008" width="9.109375" style="6" customWidth="1"/>
    <col min="1009" max="1009" width="6" style="6" customWidth="1"/>
    <col min="1010" max="1010" width="0.6640625" style="6" customWidth="1"/>
    <col min="1011" max="1011" width="7.109375" style="6" customWidth="1"/>
    <col min="1012" max="1012" width="6.5546875" style="6" customWidth="1"/>
    <col min="1013" max="1013" width="0.6640625" style="6" customWidth="1"/>
    <col min="1014" max="1014" width="7.88671875" style="6" customWidth="1"/>
    <col min="1015" max="1015" width="10.5546875" style="6" customWidth="1"/>
    <col min="1016" max="1016" width="0.6640625" style="6" customWidth="1"/>
    <col min="1017" max="1258" width="11.44140625" style="6"/>
    <col min="1259" max="1259" width="0.6640625" style="6" customWidth="1"/>
    <col min="1260" max="1260" width="15.109375" style="6" customWidth="1"/>
    <col min="1261" max="1261" width="0.6640625" style="6" customWidth="1"/>
    <col min="1262" max="1262" width="56.109375" style="6" customWidth="1"/>
    <col min="1263" max="1263" width="0.6640625" style="6" customWidth="1"/>
    <col min="1264" max="1264" width="9.109375" style="6" customWidth="1"/>
    <col min="1265" max="1265" width="6" style="6" customWidth="1"/>
    <col min="1266" max="1266" width="0.6640625" style="6" customWidth="1"/>
    <col min="1267" max="1267" width="7.109375" style="6" customWidth="1"/>
    <col min="1268" max="1268" width="6.5546875" style="6" customWidth="1"/>
    <col min="1269" max="1269" width="0.6640625" style="6" customWidth="1"/>
    <col min="1270" max="1270" width="7.88671875" style="6" customWidth="1"/>
    <col min="1271" max="1271" width="10.5546875" style="6" customWidth="1"/>
    <col min="1272" max="1272" width="0.6640625" style="6" customWidth="1"/>
    <col min="1273" max="1514" width="11.44140625" style="6"/>
    <col min="1515" max="1515" width="0.6640625" style="6" customWidth="1"/>
    <col min="1516" max="1516" width="15.109375" style="6" customWidth="1"/>
    <col min="1517" max="1517" width="0.6640625" style="6" customWidth="1"/>
    <col min="1518" max="1518" width="56.109375" style="6" customWidth="1"/>
    <col min="1519" max="1519" width="0.6640625" style="6" customWidth="1"/>
    <col min="1520" max="1520" width="9.109375" style="6" customWidth="1"/>
    <col min="1521" max="1521" width="6" style="6" customWidth="1"/>
    <col min="1522" max="1522" width="0.6640625" style="6" customWidth="1"/>
    <col min="1523" max="1523" width="7.109375" style="6" customWidth="1"/>
    <col min="1524" max="1524" width="6.5546875" style="6" customWidth="1"/>
    <col min="1525" max="1525" width="0.6640625" style="6" customWidth="1"/>
    <col min="1526" max="1526" width="7.88671875" style="6" customWidth="1"/>
    <col min="1527" max="1527" width="10.5546875" style="6" customWidth="1"/>
    <col min="1528" max="1528" width="0.6640625" style="6" customWidth="1"/>
    <col min="1529" max="1770" width="11.44140625" style="6"/>
    <col min="1771" max="1771" width="0.6640625" style="6" customWidth="1"/>
    <col min="1772" max="1772" width="15.109375" style="6" customWidth="1"/>
    <col min="1773" max="1773" width="0.6640625" style="6" customWidth="1"/>
    <col min="1774" max="1774" width="56.109375" style="6" customWidth="1"/>
    <col min="1775" max="1775" width="0.6640625" style="6" customWidth="1"/>
    <col min="1776" max="1776" width="9.109375" style="6" customWidth="1"/>
    <col min="1777" max="1777" width="6" style="6" customWidth="1"/>
    <col min="1778" max="1778" width="0.6640625" style="6" customWidth="1"/>
    <col min="1779" max="1779" width="7.109375" style="6" customWidth="1"/>
    <col min="1780" max="1780" width="6.5546875" style="6" customWidth="1"/>
    <col min="1781" max="1781" width="0.6640625" style="6" customWidth="1"/>
    <col min="1782" max="1782" width="7.88671875" style="6" customWidth="1"/>
    <col min="1783" max="1783" width="10.5546875" style="6" customWidth="1"/>
    <col min="1784" max="1784" width="0.6640625" style="6" customWidth="1"/>
    <col min="1785" max="2026" width="11.44140625" style="6"/>
    <col min="2027" max="2027" width="0.6640625" style="6" customWidth="1"/>
    <col min="2028" max="2028" width="15.109375" style="6" customWidth="1"/>
    <col min="2029" max="2029" width="0.6640625" style="6" customWidth="1"/>
    <col min="2030" max="2030" width="56.109375" style="6" customWidth="1"/>
    <col min="2031" max="2031" width="0.6640625" style="6" customWidth="1"/>
    <col min="2032" max="2032" width="9.109375" style="6" customWidth="1"/>
    <col min="2033" max="2033" width="6" style="6" customWidth="1"/>
    <col min="2034" max="2034" width="0.6640625" style="6" customWidth="1"/>
    <col min="2035" max="2035" width="7.109375" style="6" customWidth="1"/>
    <col min="2036" max="2036" width="6.5546875" style="6" customWidth="1"/>
    <col min="2037" max="2037" width="0.6640625" style="6" customWidth="1"/>
    <col min="2038" max="2038" width="7.88671875" style="6" customWidth="1"/>
    <col min="2039" max="2039" width="10.5546875" style="6" customWidth="1"/>
    <col min="2040" max="2040" width="0.6640625" style="6" customWidth="1"/>
    <col min="2041" max="2282" width="11.44140625" style="6"/>
    <col min="2283" max="2283" width="0.6640625" style="6" customWidth="1"/>
    <col min="2284" max="2284" width="15.109375" style="6" customWidth="1"/>
    <col min="2285" max="2285" width="0.6640625" style="6" customWidth="1"/>
    <col min="2286" max="2286" width="56.109375" style="6" customWidth="1"/>
    <col min="2287" max="2287" width="0.6640625" style="6" customWidth="1"/>
    <col min="2288" max="2288" width="9.109375" style="6" customWidth="1"/>
    <col min="2289" max="2289" width="6" style="6" customWidth="1"/>
    <col min="2290" max="2290" width="0.6640625" style="6" customWidth="1"/>
    <col min="2291" max="2291" width="7.109375" style="6" customWidth="1"/>
    <col min="2292" max="2292" width="6.5546875" style="6" customWidth="1"/>
    <col min="2293" max="2293" width="0.6640625" style="6" customWidth="1"/>
    <col min="2294" max="2294" width="7.88671875" style="6" customWidth="1"/>
    <col min="2295" max="2295" width="10.5546875" style="6" customWidth="1"/>
    <col min="2296" max="2296" width="0.6640625" style="6" customWidth="1"/>
    <col min="2297" max="2538" width="11.44140625" style="6"/>
    <col min="2539" max="2539" width="0.6640625" style="6" customWidth="1"/>
    <col min="2540" max="2540" width="15.109375" style="6" customWidth="1"/>
    <col min="2541" max="2541" width="0.6640625" style="6" customWidth="1"/>
    <col min="2542" max="2542" width="56.109375" style="6" customWidth="1"/>
    <col min="2543" max="2543" width="0.6640625" style="6" customWidth="1"/>
    <col min="2544" max="2544" width="9.109375" style="6" customWidth="1"/>
    <col min="2545" max="2545" width="6" style="6" customWidth="1"/>
    <col min="2546" max="2546" width="0.6640625" style="6" customWidth="1"/>
    <col min="2547" max="2547" width="7.109375" style="6" customWidth="1"/>
    <col min="2548" max="2548" width="6.5546875" style="6" customWidth="1"/>
    <col min="2549" max="2549" width="0.6640625" style="6" customWidth="1"/>
    <col min="2550" max="2550" width="7.88671875" style="6" customWidth="1"/>
    <col min="2551" max="2551" width="10.5546875" style="6" customWidth="1"/>
    <col min="2552" max="2552" width="0.6640625" style="6" customWidth="1"/>
    <col min="2553" max="2794" width="11.44140625" style="6"/>
    <col min="2795" max="2795" width="0.6640625" style="6" customWidth="1"/>
    <col min="2796" max="2796" width="15.109375" style="6" customWidth="1"/>
    <col min="2797" max="2797" width="0.6640625" style="6" customWidth="1"/>
    <col min="2798" max="2798" width="56.109375" style="6" customWidth="1"/>
    <col min="2799" max="2799" width="0.6640625" style="6" customWidth="1"/>
    <col min="2800" max="2800" width="9.109375" style="6" customWidth="1"/>
    <col min="2801" max="2801" width="6" style="6" customWidth="1"/>
    <col min="2802" max="2802" width="0.6640625" style="6" customWidth="1"/>
    <col min="2803" max="2803" width="7.109375" style="6" customWidth="1"/>
    <col min="2804" max="2804" width="6.5546875" style="6" customWidth="1"/>
    <col min="2805" max="2805" width="0.6640625" style="6" customWidth="1"/>
    <col min="2806" max="2806" width="7.88671875" style="6" customWidth="1"/>
    <col min="2807" max="2807" width="10.5546875" style="6" customWidth="1"/>
    <col min="2808" max="2808" width="0.6640625" style="6" customWidth="1"/>
    <col min="2809" max="3050" width="11.44140625" style="6"/>
    <col min="3051" max="3051" width="0.6640625" style="6" customWidth="1"/>
    <col min="3052" max="3052" width="15.109375" style="6" customWidth="1"/>
    <col min="3053" max="3053" width="0.6640625" style="6" customWidth="1"/>
    <col min="3054" max="3054" width="56.109375" style="6" customWidth="1"/>
    <col min="3055" max="3055" width="0.6640625" style="6" customWidth="1"/>
    <col min="3056" max="3056" width="9.109375" style="6" customWidth="1"/>
    <col min="3057" max="3057" width="6" style="6" customWidth="1"/>
    <col min="3058" max="3058" width="0.6640625" style="6" customWidth="1"/>
    <col min="3059" max="3059" width="7.109375" style="6" customWidth="1"/>
    <col min="3060" max="3060" width="6.5546875" style="6" customWidth="1"/>
    <col min="3061" max="3061" width="0.6640625" style="6" customWidth="1"/>
    <col min="3062" max="3062" width="7.88671875" style="6" customWidth="1"/>
    <col min="3063" max="3063" width="10.5546875" style="6" customWidth="1"/>
    <col min="3064" max="3064" width="0.6640625" style="6" customWidth="1"/>
    <col min="3065" max="3306" width="11.44140625" style="6"/>
    <col min="3307" max="3307" width="0.6640625" style="6" customWidth="1"/>
    <col min="3308" max="3308" width="15.109375" style="6" customWidth="1"/>
    <col min="3309" max="3309" width="0.6640625" style="6" customWidth="1"/>
    <col min="3310" max="3310" width="56.109375" style="6" customWidth="1"/>
    <col min="3311" max="3311" width="0.6640625" style="6" customWidth="1"/>
    <col min="3312" max="3312" width="9.109375" style="6" customWidth="1"/>
    <col min="3313" max="3313" width="6" style="6" customWidth="1"/>
    <col min="3314" max="3314" width="0.6640625" style="6" customWidth="1"/>
    <col min="3315" max="3315" width="7.109375" style="6" customWidth="1"/>
    <col min="3316" max="3316" width="6.5546875" style="6" customWidth="1"/>
    <col min="3317" max="3317" width="0.6640625" style="6" customWidth="1"/>
    <col min="3318" max="3318" width="7.88671875" style="6" customWidth="1"/>
    <col min="3319" max="3319" width="10.5546875" style="6" customWidth="1"/>
    <col min="3320" max="3320" width="0.6640625" style="6" customWidth="1"/>
    <col min="3321" max="3562" width="11.44140625" style="6"/>
    <col min="3563" max="3563" width="0.6640625" style="6" customWidth="1"/>
    <col min="3564" max="3564" width="15.109375" style="6" customWidth="1"/>
    <col min="3565" max="3565" width="0.6640625" style="6" customWidth="1"/>
    <col min="3566" max="3566" width="56.109375" style="6" customWidth="1"/>
    <col min="3567" max="3567" width="0.6640625" style="6" customWidth="1"/>
    <col min="3568" max="3568" width="9.109375" style="6" customWidth="1"/>
    <col min="3569" max="3569" width="6" style="6" customWidth="1"/>
    <col min="3570" max="3570" width="0.6640625" style="6" customWidth="1"/>
    <col min="3571" max="3571" width="7.109375" style="6" customWidth="1"/>
    <col min="3572" max="3572" width="6.5546875" style="6" customWidth="1"/>
    <col min="3573" max="3573" width="0.6640625" style="6" customWidth="1"/>
    <col min="3574" max="3574" width="7.88671875" style="6" customWidth="1"/>
    <col min="3575" max="3575" width="10.5546875" style="6" customWidth="1"/>
    <col min="3576" max="3576" width="0.6640625" style="6" customWidth="1"/>
    <col min="3577" max="3818" width="11.44140625" style="6"/>
    <col min="3819" max="3819" width="0.6640625" style="6" customWidth="1"/>
    <col min="3820" max="3820" width="15.109375" style="6" customWidth="1"/>
    <col min="3821" max="3821" width="0.6640625" style="6" customWidth="1"/>
    <col min="3822" max="3822" width="56.109375" style="6" customWidth="1"/>
    <col min="3823" max="3823" width="0.6640625" style="6" customWidth="1"/>
    <col min="3824" max="3824" width="9.109375" style="6" customWidth="1"/>
    <col min="3825" max="3825" width="6" style="6" customWidth="1"/>
    <col min="3826" max="3826" width="0.6640625" style="6" customWidth="1"/>
    <col min="3827" max="3827" width="7.109375" style="6" customWidth="1"/>
    <col min="3828" max="3828" width="6.5546875" style="6" customWidth="1"/>
    <col min="3829" max="3829" width="0.6640625" style="6" customWidth="1"/>
    <col min="3830" max="3830" width="7.88671875" style="6" customWidth="1"/>
    <col min="3831" max="3831" width="10.5546875" style="6" customWidth="1"/>
    <col min="3832" max="3832" width="0.6640625" style="6" customWidth="1"/>
    <col min="3833" max="4074" width="11.44140625" style="6"/>
    <col min="4075" max="4075" width="0.6640625" style="6" customWidth="1"/>
    <col min="4076" max="4076" width="15.109375" style="6" customWidth="1"/>
    <col min="4077" max="4077" width="0.6640625" style="6" customWidth="1"/>
    <col min="4078" max="4078" width="56.109375" style="6" customWidth="1"/>
    <col min="4079" max="4079" width="0.6640625" style="6" customWidth="1"/>
    <col min="4080" max="4080" width="9.109375" style="6" customWidth="1"/>
    <col min="4081" max="4081" width="6" style="6" customWidth="1"/>
    <col min="4082" max="4082" width="0.6640625" style="6" customWidth="1"/>
    <col min="4083" max="4083" width="7.109375" style="6" customWidth="1"/>
    <col min="4084" max="4084" width="6.5546875" style="6" customWidth="1"/>
    <col min="4085" max="4085" width="0.6640625" style="6" customWidth="1"/>
    <col min="4086" max="4086" width="7.88671875" style="6" customWidth="1"/>
    <col min="4087" max="4087" width="10.5546875" style="6" customWidth="1"/>
    <col min="4088" max="4088" width="0.6640625" style="6" customWidth="1"/>
    <col min="4089" max="4330" width="11.44140625" style="6"/>
    <col min="4331" max="4331" width="0.6640625" style="6" customWidth="1"/>
    <col min="4332" max="4332" width="15.109375" style="6" customWidth="1"/>
    <col min="4333" max="4333" width="0.6640625" style="6" customWidth="1"/>
    <col min="4334" max="4334" width="56.109375" style="6" customWidth="1"/>
    <col min="4335" max="4335" width="0.6640625" style="6" customWidth="1"/>
    <col min="4336" max="4336" width="9.109375" style="6" customWidth="1"/>
    <col min="4337" max="4337" width="6" style="6" customWidth="1"/>
    <col min="4338" max="4338" width="0.6640625" style="6" customWidth="1"/>
    <col min="4339" max="4339" width="7.109375" style="6" customWidth="1"/>
    <col min="4340" max="4340" width="6.5546875" style="6" customWidth="1"/>
    <col min="4341" max="4341" width="0.6640625" style="6" customWidth="1"/>
    <col min="4342" max="4342" width="7.88671875" style="6" customWidth="1"/>
    <col min="4343" max="4343" width="10.5546875" style="6" customWidth="1"/>
    <col min="4344" max="4344" width="0.6640625" style="6" customWidth="1"/>
    <col min="4345" max="4586" width="11.44140625" style="6"/>
    <col min="4587" max="4587" width="0.6640625" style="6" customWidth="1"/>
    <col min="4588" max="4588" width="15.109375" style="6" customWidth="1"/>
    <col min="4589" max="4589" width="0.6640625" style="6" customWidth="1"/>
    <col min="4590" max="4590" width="56.109375" style="6" customWidth="1"/>
    <col min="4591" max="4591" width="0.6640625" style="6" customWidth="1"/>
    <col min="4592" max="4592" width="9.109375" style="6" customWidth="1"/>
    <col min="4593" max="4593" width="6" style="6" customWidth="1"/>
    <col min="4594" max="4594" width="0.6640625" style="6" customWidth="1"/>
    <col min="4595" max="4595" width="7.109375" style="6" customWidth="1"/>
    <col min="4596" max="4596" width="6.5546875" style="6" customWidth="1"/>
    <col min="4597" max="4597" width="0.6640625" style="6" customWidth="1"/>
    <col min="4598" max="4598" width="7.88671875" style="6" customWidth="1"/>
    <col min="4599" max="4599" width="10.5546875" style="6" customWidth="1"/>
    <col min="4600" max="4600" width="0.6640625" style="6" customWidth="1"/>
    <col min="4601" max="4842" width="11.44140625" style="6"/>
    <col min="4843" max="4843" width="0.6640625" style="6" customWidth="1"/>
    <col min="4844" max="4844" width="15.109375" style="6" customWidth="1"/>
    <col min="4845" max="4845" width="0.6640625" style="6" customWidth="1"/>
    <col min="4846" max="4846" width="56.109375" style="6" customWidth="1"/>
    <col min="4847" max="4847" width="0.6640625" style="6" customWidth="1"/>
    <col min="4848" max="4848" width="9.109375" style="6" customWidth="1"/>
    <col min="4849" max="4849" width="6" style="6" customWidth="1"/>
    <col min="4850" max="4850" width="0.6640625" style="6" customWidth="1"/>
    <col min="4851" max="4851" width="7.109375" style="6" customWidth="1"/>
    <col min="4852" max="4852" width="6.5546875" style="6" customWidth="1"/>
    <col min="4853" max="4853" width="0.6640625" style="6" customWidth="1"/>
    <col min="4854" max="4854" width="7.88671875" style="6" customWidth="1"/>
    <col min="4855" max="4855" width="10.5546875" style="6" customWidth="1"/>
    <col min="4856" max="4856" width="0.6640625" style="6" customWidth="1"/>
    <col min="4857" max="5098" width="11.44140625" style="6"/>
    <col min="5099" max="5099" width="0.6640625" style="6" customWidth="1"/>
    <col min="5100" max="5100" width="15.109375" style="6" customWidth="1"/>
    <col min="5101" max="5101" width="0.6640625" style="6" customWidth="1"/>
    <col min="5102" max="5102" width="56.109375" style="6" customWidth="1"/>
    <col min="5103" max="5103" width="0.6640625" style="6" customWidth="1"/>
    <col min="5104" max="5104" width="9.109375" style="6" customWidth="1"/>
    <col min="5105" max="5105" width="6" style="6" customWidth="1"/>
    <col min="5106" max="5106" width="0.6640625" style="6" customWidth="1"/>
    <col min="5107" max="5107" width="7.109375" style="6" customWidth="1"/>
    <col min="5108" max="5108" width="6.5546875" style="6" customWidth="1"/>
    <col min="5109" max="5109" width="0.6640625" style="6" customWidth="1"/>
    <col min="5110" max="5110" width="7.88671875" style="6" customWidth="1"/>
    <col min="5111" max="5111" width="10.5546875" style="6" customWidth="1"/>
    <col min="5112" max="5112" width="0.6640625" style="6" customWidth="1"/>
    <col min="5113" max="5354" width="11.44140625" style="6"/>
    <col min="5355" max="5355" width="0.6640625" style="6" customWidth="1"/>
    <col min="5356" max="5356" width="15.109375" style="6" customWidth="1"/>
    <col min="5357" max="5357" width="0.6640625" style="6" customWidth="1"/>
    <col min="5358" max="5358" width="56.109375" style="6" customWidth="1"/>
    <col min="5359" max="5359" width="0.6640625" style="6" customWidth="1"/>
    <col min="5360" max="5360" width="9.109375" style="6" customWidth="1"/>
    <col min="5361" max="5361" width="6" style="6" customWidth="1"/>
    <col min="5362" max="5362" width="0.6640625" style="6" customWidth="1"/>
    <col min="5363" max="5363" width="7.109375" style="6" customWidth="1"/>
    <col min="5364" max="5364" width="6.5546875" style="6" customWidth="1"/>
    <col min="5365" max="5365" width="0.6640625" style="6" customWidth="1"/>
    <col min="5366" max="5366" width="7.88671875" style="6" customWidth="1"/>
    <col min="5367" max="5367" width="10.5546875" style="6" customWidth="1"/>
    <col min="5368" max="5368" width="0.6640625" style="6" customWidth="1"/>
    <col min="5369" max="5610" width="11.44140625" style="6"/>
    <col min="5611" max="5611" width="0.6640625" style="6" customWidth="1"/>
    <col min="5612" max="5612" width="15.109375" style="6" customWidth="1"/>
    <col min="5613" max="5613" width="0.6640625" style="6" customWidth="1"/>
    <col min="5614" max="5614" width="56.109375" style="6" customWidth="1"/>
    <col min="5615" max="5615" width="0.6640625" style="6" customWidth="1"/>
    <col min="5616" max="5616" width="9.109375" style="6" customWidth="1"/>
    <col min="5617" max="5617" width="6" style="6" customWidth="1"/>
    <col min="5618" max="5618" width="0.6640625" style="6" customWidth="1"/>
    <col min="5619" max="5619" width="7.109375" style="6" customWidth="1"/>
    <col min="5620" max="5620" width="6.5546875" style="6" customWidth="1"/>
    <col min="5621" max="5621" width="0.6640625" style="6" customWidth="1"/>
    <col min="5622" max="5622" width="7.88671875" style="6" customWidth="1"/>
    <col min="5623" max="5623" width="10.5546875" style="6" customWidth="1"/>
    <col min="5624" max="5624" width="0.6640625" style="6" customWidth="1"/>
    <col min="5625" max="5866" width="11.44140625" style="6"/>
    <col min="5867" max="5867" width="0.6640625" style="6" customWidth="1"/>
    <col min="5868" max="5868" width="15.109375" style="6" customWidth="1"/>
    <col min="5869" max="5869" width="0.6640625" style="6" customWidth="1"/>
    <col min="5870" max="5870" width="56.109375" style="6" customWidth="1"/>
    <col min="5871" max="5871" width="0.6640625" style="6" customWidth="1"/>
    <col min="5872" max="5872" width="9.109375" style="6" customWidth="1"/>
    <col min="5873" max="5873" width="6" style="6" customWidth="1"/>
    <col min="5874" max="5874" width="0.6640625" style="6" customWidth="1"/>
    <col min="5875" max="5875" width="7.109375" style="6" customWidth="1"/>
    <col min="5876" max="5876" width="6.5546875" style="6" customWidth="1"/>
    <col min="5877" max="5877" width="0.6640625" style="6" customWidth="1"/>
    <col min="5878" max="5878" width="7.88671875" style="6" customWidth="1"/>
    <col min="5879" max="5879" width="10.5546875" style="6" customWidth="1"/>
    <col min="5880" max="5880" width="0.6640625" style="6" customWidth="1"/>
    <col min="5881" max="6122" width="11.44140625" style="6"/>
    <col min="6123" max="6123" width="0.6640625" style="6" customWidth="1"/>
    <col min="6124" max="6124" width="15.109375" style="6" customWidth="1"/>
    <col min="6125" max="6125" width="0.6640625" style="6" customWidth="1"/>
    <col min="6126" max="6126" width="56.109375" style="6" customWidth="1"/>
    <col min="6127" max="6127" width="0.6640625" style="6" customWidth="1"/>
    <col min="6128" max="6128" width="9.109375" style="6" customWidth="1"/>
    <col min="6129" max="6129" width="6" style="6" customWidth="1"/>
    <col min="6130" max="6130" width="0.6640625" style="6" customWidth="1"/>
    <col min="6131" max="6131" width="7.109375" style="6" customWidth="1"/>
    <col min="6132" max="6132" width="6.5546875" style="6" customWidth="1"/>
    <col min="6133" max="6133" width="0.6640625" style="6" customWidth="1"/>
    <col min="6134" max="6134" width="7.88671875" style="6" customWidth="1"/>
    <col min="6135" max="6135" width="10.5546875" style="6" customWidth="1"/>
    <col min="6136" max="6136" width="0.6640625" style="6" customWidth="1"/>
    <col min="6137" max="6378" width="11.44140625" style="6"/>
    <col min="6379" max="6379" width="0.6640625" style="6" customWidth="1"/>
    <col min="6380" max="6380" width="15.109375" style="6" customWidth="1"/>
    <col min="6381" max="6381" width="0.6640625" style="6" customWidth="1"/>
    <col min="6382" max="6382" width="56.109375" style="6" customWidth="1"/>
    <col min="6383" max="6383" width="0.6640625" style="6" customWidth="1"/>
    <col min="6384" max="6384" width="9.109375" style="6" customWidth="1"/>
    <col min="6385" max="6385" width="6" style="6" customWidth="1"/>
    <col min="6386" max="6386" width="0.6640625" style="6" customWidth="1"/>
    <col min="6387" max="6387" width="7.109375" style="6" customWidth="1"/>
    <col min="6388" max="6388" width="6.5546875" style="6" customWidth="1"/>
    <col min="6389" max="6389" width="0.6640625" style="6" customWidth="1"/>
    <col min="6390" max="6390" width="7.88671875" style="6" customWidth="1"/>
    <col min="6391" max="6391" width="10.5546875" style="6" customWidth="1"/>
    <col min="6392" max="6392" width="0.6640625" style="6" customWidth="1"/>
    <col min="6393" max="6634" width="11.44140625" style="6"/>
    <col min="6635" max="6635" width="0.6640625" style="6" customWidth="1"/>
    <col min="6636" max="6636" width="15.109375" style="6" customWidth="1"/>
    <col min="6637" max="6637" width="0.6640625" style="6" customWidth="1"/>
    <col min="6638" max="6638" width="56.109375" style="6" customWidth="1"/>
    <col min="6639" max="6639" width="0.6640625" style="6" customWidth="1"/>
    <col min="6640" max="6640" width="9.109375" style="6" customWidth="1"/>
    <col min="6641" max="6641" width="6" style="6" customWidth="1"/>
    <col min="6642" max="6642" width="0.6640625" style="6" customWidth="1"/>
    <col min="6643" max="6643" width="7.109375" style="6" customWidth="1"/>
    <col min="6644" max="6644" width="6.5546875" style="6" customWidth="1"/>
    <col min="6645" max="6645" width="0.6640625" style="6" customWidth="1"/>
    <col min="6646" max="6646" width="7.88671875" style="6" customWidth="1"/>
    <col min="6647" max="6647" width="10.5546875" style="6" customWidth="1"/>
    <col min="6648" max="6648" width="0.6640625" style="6" customWidth="1"/>
    <col min="6649" max="6890" width="11.44140625" style="6"/>
    <col min="6891" max="6891" width="0.6640625" style="6" customWidth="1"/>
    <col min="6892" max="6892" width="15.109375" style="6" customWidth="1"/>
    <col min="6893" max="6893" width="0.6640625" style="6" customWidth="1"/>
    <col min="6894" max="6894" width="56.109375" style="6" customWidth="1"/>
    <col min="6895" max="6895" width="0.6640625" style="6" customWidth="1"/>
    <col min="6896" max="6896" width="9.109375" style="6" customWidth="1"/>
    <col min="6897" max="6897" width="6" style="6" customWidth="1"/>
    <col min="6898" max="6898" width="0.6640625" style="6" customWidth="1"/>
    <col min="6899" max="6899" width="7.109375" style="6" customWidth="1"/>
    <col min="6900" max="6900" width="6.5546875" style="6" customWidth="1"/>
    <col min="6901" max="6901" width="0.6640625" style="6" customWidth="1"/>
    <col min="6902" max="6902" width="7.88671875" style="6" customWidth="1"/>
    <col min="6903" max="6903" width="10.5546875" style="6" customWidth="1"/>
    <col min="6904" max="6904" width="0.6640625" style="6" customWidth="1"/>
    <col min="6905" max="7146" width="11.44140625" style="6"/>
    <col min="7147" max="7147" width="0.6640625" style="6" customWidth="1"/>
    <col min="7148" max="7148" width="15.109375" style="6" customWidth="1"/>
    <col min="7149" max="7149" width="0.6640625" style="6" customWidth="1"/>
    <col min="7150" max="7150" width="56.109375" style="6" customWidth="1"/>
    <col min="7151" max="7151" width="0.6640625" style="6" customWidth="1"/>
    <col min="7152" max="7152" width="9.109375" style="6" customWidth="1"/>
    <col min="7153" max="7153" width="6" style="6" customWidth="1"/>
    <col min="7154" max="7154" width="0.6640625" style="6" customWidth="1"/>
    <col min="7155" max="7155" width="7.109375" style="6" customWidth="1"/>
    <col min="7156" max="7156" width="6.5546875" style="6" customWidth="1"/>
    <col min="7157" max="7157" width="0.6640625" style="6" customWidth="1"/>
    <col min="7158" max="7158" width="7.88671875" style="6" customWidth="1"/>
    <col min="7159" max="7159" width="10.5546875" style="6" customWidth="1"/>
    <col min="7160" max="7160" width="0.6640625" style="6" customWidth="1"/>
    <col min="7161" max="7402" width="11.44140625" style="6"/>
    <col min="7403" max="7403" width="0.6640625" style="6" customWidth="1"/>
    <col min="7404" max="7404" width="15.109375" style="6" customWidth="1"/>
    <col min="7405" max="7405" width="0.6640625" style="6" customWidth="1"/>
    <col min="7406" max="7406" width="56.109375" style="6" customWidth="1"/>
    <col min="7407" max="7407" width="0.6640625" style="6" customWidth="1"/>
    <col min="7408" max="7408" width="9.109375" style="6" customWidth="1"/>
    <col min="7409" max="7409" width="6" style="6" customWidth="1"/>
    <col min="7410" max="7410" width="0.6640625" style="6" customWidth="1"/>
    <col min="7411" max="7411" width="7.109375" style="6" customWidth="1"/>
    <col min="7412" max="7412" width="6.5546875" style="6" customWidth="1"/>
    <col min="7413" max="7413" width="0.6640625" style="6" customWidth="1"/>
    <col min="7414" max="7414" width="7.88671875" style="6" customWidth="1"/>
    <col min="7415" max="7415" width="10.5546875" style="6" customWidth="1"/>
    <col min="7416" max="7416" width="0.6640625" style="6" customWidth="1"/>
    <col min="7417" max="7658" width="11.44140625" style="6"/>
    <col min="7659" max="7659" width="0.6640625" style="6" customWidth="1"/>
    <col min="7660" max="7660" width="15.109375" style="6" customWidth="1"/>
    <col min="7661" max="7661" width="0.6640625" style="6" customWidth="1"/>
    <col min="7662" max="7662" width="56.109375" style="6" customWidth="1"/>
    <col min="7663" max="7663" width="0.6640625" style="6" customWidth="1"/>
    <col min="7664" max="7664" width="9.109375" style="6" customWidth="1"/>
    <col min="7665" max="7665" width="6" style="6" customWidth="1"/>
    <col min="7666" max="7666" width="0.6640625" style="6" customWidth="1"/>
    <col min="7667" max="7667" width="7.109375" style="6" customWidth="1"/>
    <col min="7668" max="7668" width="6.5546875" style="6" customWidth="1"/>
    <col min="7669" max="7669" width="0.6640625" style="6" customWidth="1"/>
    <col min="7670" max="7670" width="7.88671875" style="6" customWidth="1"/>
    <col min="7671" max="7671" width="10.5546875" style="6" customWidth="1"/>
    <col min="7672" max="7672" width="0.6640625" style="6" customWidth="1"/>
    <col min="7673" max="7914" width="11.44140625" style="6"/>
    <col min="7915" max="7915" width="0.6640625" style="6" customWidth="1"/>
    <col min="7916" max="7916" width="15.109375" style="6" customWidth="1"/>
    <col min="7917" max="7917" width="0.6640625" style="6" customWidth="1"/>
    <col min="7918" max="7918" width="56.109375" style="6" customWidth="1"/>
    <col min="7919" max="7919" width="0.6640625" style="6" customWidth="1"/>
    <col min="7920" max="7920" width="9.109375" style="6" customWidth="1"/>
    <col min="7921" max="7921" width="6" style="6" customWidth="1"/>
    <col min="7922" max="7922" width="0.6640625" style="6" customWidth="1"/>
    <col min="7923" max="7923" width="7.109375" style="6" customWidth="1"/>
    <col min="7924" max="7924" width="6.5546875" style="6" customWidth="1"/>
    <col min="7925" max="7925" width="0.6640625" style="6" customWidth="1"/>
    <col min="7926" max="7926" width="7.88671875" style="6" customWidth="1"/>
    <col min="7927" max="7927" width="10.5546875" style="6" customWidth="1"/>
    <col min="7928" max="7928" width="0.6640625" style="6" customWidth="1"/>
    <col min="7929" max="8170" width="11.44140625" style="6"/>
    <col min="8171" max="8171" width="0.6640625" style="6" customWidth="1"/>
    <col min="8172" max="8172" width="15.109375" style="6" customWidth="1"/>
    <col min="8173" max="8173" width="0.6640625" style="6" customWidth="1"/>
    <col min="8174" max="8174" width="56.109375" style="6" customWidth="1"/>
    <col min="8175" max="8175" width="0.6640625" style="6" customWidth="1"/>
    <col min="8176" max="8176" width="9.109375" style="6" customWidth="1"/>
    <col min="8177" max="8177" width="6" style="6" customWidth="1"/>
    <col min="8178" max="8178" width="0.6640625" style="6" customWidth="1"/>
    <col min="8179" max="8179" width="7.109375" style="6" customWidth="1"/>
    <col min="8180" max="8180" width="6.5546875" style="6" customWidth="1"/>
    <col min="8181" max="8181" width="0.6640625" style="6" customWidth="1"/>
    <col min="8182" max="8182" width="7.88671875" style="6" customWidth="1"/>
    <col min="8183" max="8183" width="10.5546875" style="6" customWidth="1"/>
    <col min="8184" max="8184" width="0.6640625" style="6" customWidth="1"/>
    <col min="8185" max="8426" width="11.44140625" style="6"/>
    <col min="8427" max="8427" width="0.6640625" style="6" customWidth="1"/>
    <col min="8428" max="8428" width="15.109375" style="6" customWidth="1"/>
    <col min="8429" max="8429" width="0.6640625" style="6" customWidth="1"/>
    <col min="8430" max="8430" width="56.109375" style="6" customWidth="1"/>
    <col min="8431" max="8431" width="0.6640625" style="6" customWidth="1"/>
    <col min="8432" max="8432" width="9.109375" style="6" customWidth="1"/>
    <col min="8433" max="8433" width="6" style="6" customWidth="1"/>
    <col min="8434" max="8434" width="0.6640625" style="6" customWidth="1"/>
    <col min="8435" max="8435" width="7.109375" style="6" customWidth="1"/>
    <col min="8436" max="8436" width="6.5546875" style="6" customWidth="1"/>
    <col min="8437" max="8437" width="0.6640625" style="6" customWidth="1"/>
    <col min="8438" max="8438" width="7.88671875" style="6" customWidth="1"/>
    <col min="8439" max="8439" width="10.5546875" style="6" customWidth="1"/>
    <col min="8440" max="8440" width="0.6640625" style="6" customWidth="1"/>
    <col min="8441" max="8682" width="11.44140625" style="6"/>
    <col min="8683" max="8683" width="0.6640625" style="6" customWidth="1"/>
    <col min="8684" max="8684" width="15.109375" style="6" customWidth="1"/>
    <col min="8685" max="8685" width="0.6640625" style="6" customWidth="1"/>
    <col min="8686" max="8686" width="56.109375" style="6" customWidth="1"/>
    <col min="8687" max="8687" width="0.6640625" style="6" customWidth="1"/>
    <col min="8688" max="8688" width="9.109375" style="6" customWidth="1"/>
    <col min="8689" max="8689" width="6" style="6" customWidth="1"/>
    <col min="8690" max="8690" width="0.6640625" style="6" customWidth="1"/>
    <col min="8691" max="8691" width="7.109375" style="6" customWidth="1"/>
    <col min="8692" max="8692" width="6.5546875" style="6" customWidth="1"/>
    <col min="8693" max="8693" width="0.6640625" style="6" customWidth="1"/>
    <col min="8694" max="8694" width="7.88671875" style="6" customWidth="1"/>
    <col min="8695" max="8695" width="10.5546875" style="6" customWidth="1"/>
    <col min="8696" max="8696" width="0.6640625" style="6" customWidth="1"/>
    <col min="8697" max="8938" width="11.44140625" style="6"/>
    <col min="8939" max="8939" width="0.6640625" style="6" customWidth="1"/>
    <col min="8940" max="8940" width="15.109375" style="6" customWidth="1"/>
    <col min="8941" max="8941" width="0.6640625" style="6" customWidth="1"/>
    <col min="8942" max="8942" width="56.109375" style="6" customWidth="1"/>
    <col min="8943" max="8943" width="0.6640625" style="6" customWidth="1"/>
    <col min="8944" max="8944" width="9.109375" style="6" customWidth="1"/>
    <col min="8945" max="8945" width="6" style="6" customWidth="1"/>
    <col min="8946" max="8946" width="0.6640625" style="6" customWidth="1"/>
    <col min="8947" max="8947" width="7.109375" style="6" customWidth="1"/>
    <col min="8948" max="8948" width="6.5546875" style="6" customWidth="1"/>
    <col min="8949" max="8949" width="0.6640625" style="6" customWidth="1"/>
    <col min="8950" max="8950" width="7.88671875" style="6" customWidth="1"/>
    <col min="8951" max="8951" width="10.5546875" style="6" customWidth="1"/>
    <col min="8952" max="8952" width="0.6640625" style="6" customWidth="1"/>
    <col min="8953" max="9194" width="11.44140625" style="6"/>
    <col min="9195" max="9195" width="0.6640625" style="6" customWidth="1"/>
    <col min="9196" max="9196" width="15.109375" style="6" customWidth="1"/>
    <col min="9197" max="9197" width="0.6640625" style="6" customWidth="1"/>
    <col min="9198" max="9198" width="56.109375" style="6" customWidth="1"/>
    <col min="9199" max="9199" width="0.6640625" style="6" customWidth="1"/>
    <col min="9200" max="9200" width="9.109375" style="6" customWidth="1"/>
    <col min="9201" max="9201" width="6" style="6" customWidth="1"/>
    <col min="9202" max="9202" width="0.6640625" style="6" customWidth="1"/>
    <col min="9203" max="9203" width="7.109375" style="6" customWidth="1"/>
    <col min="9204" max="9204" width="6.5546875" style="6" customWidth="1"/>
    <col min="9205" max="9205" width="0.6640625" style="6" customWidth="1"/>
    <col min="9206" max="9206" width="7.88671875" style="6" customWidth="1"/>
    <col min="9207" max="9207" width="10.5546875" style="6" customWidth="1"/>
    <col min="9208" max="9208" width="0.6640625" style="6" customWidth="1"/>
    <col min="9209" max="9450" width="11.44140625" style="6"/>
    <col min="9451" max="9451" width="0.6640625" style="6" customWidth="1"/>
    <col min="9452" max="9452" width="15.109375" style="6" customWidth="1"/>
    <col min="9453" max="9453" width="0.6640625" style="6" customWidth="1"/>
    <col min="9454" max="9454" width="56.109375" style="6" customWidth="1"/>
    <col min="9455" max="9455" width="0.6640625" style="6" customWidth="1"/>
    <col min="9456" max="9456" width="9.109375" style="6" customWidth="1"/>
    <col min="9457" max="9457" width="6" style="6" customWidth="1"/>
    <col min="9458" max="9458" width="0.6640625" style="6" customWidth="1"/>
    <col min="9459" max="9459" width="7.109375" style="6" customWidth="1"/>
    <col min="9460" max="9460" width="6.5546875" style="6" customWidth="1"/>
    <col min="9461" max="9461" width="0.6640625" style="6" customWidth="1"/>
    <col min="9462" max="9462" width="7.88671875" style="6" customWidth="1"/>
    <col min="9463" max="9463" width="10.5546875" style="6" customWidth="1"/>
    <col min="9464" max="9464" width="0.6640625" style="6" customWidth="1"/>
    <col min="9465" max="9706" width="11.44140625" style="6"/>
    <col min="9707" max="9707" width="0.6640625" style="6" customWidth="1"/>
    <col min="9708" max="9708" width="15.109375" style="6" customWidth="1"/>
    <col min="9709" max="9709" width="0.6640625" style="6" customWidth="1"/>
    <col min="9710" max="9710" width="56.109375" style="6" customWidth="1"/>
    <col min="9711" max="9711" width="0.6640625" style="6" customWidth="1"/>
    <col min="9712" max="9712" width="9.109375" style="6" customWidth="1"/>
    <col min="9713" max="9713" width="6" style="6" customWidth="1"/>
    <col min="9714" max="9714" width="0.6640625" style="6" customWidth="1"/>
    <col min="9715" max="9715" width="7.109375" style="6" customWidth="1"/>
    <col min="9716" max="9716" width="6.5546875" style="6" customWidth="1"/>
    <col min="9717" max="9717" width="0.6640625" style="6" customWidth="1"/>
    <col min="9718" max="9718" width="7.88671875" style="6" customWidth="1"/>
    <col min="9719" max="9719" width="10.5546875" style="6" customWidth="1"/>
    <col min="9720" max="9720" width="0.6640625" style="6" customWidth="1"/>
    <col min="9721" max="9962" width="11.44140625" style="6"/>
    <col min="9963" max="9963" width="0.6640625" style="6" customWidth="1"/>
    <col min="9964" max="9964" width="15.109375" style="6" customWidth="1"/>
    <col min="9965" max="9965" width="0.6640625" style="6" customWidth="1"/>
    <col min="9966" max="9966" width="56.109375" style="6" customWidth="1"/>
    <col min="9967" max="9967" width="0.6640625" style="6" customWidth="1"/>
    <col min="9968" max="9968" width="9.109375" style="6" customWidth="1"/>
    <col min="9969" max="9969" width="6" style="6" customWidth="1"/>
    <col min="9970" max="9970" width="0.6640625" style="6" customWidth="1"/>
    <col min="9971" max="9971" width="7.109375" style="6" customWidth="1"/>
    <col min="9972" max="9972" width="6.5546875" style="6" customWidth="1"/>
    <col min="9973" max="9973" width="0.6640625" style="6" customWidth="1"/>
    <col min="9974" max="9974" width="7.88671875" style="6" customWidth="1"/>
    <col min="9975" max="9975" width="10.5546875" style="6" customWidth="1"/>
    <col min="9976" max="9976" width="0.6640625" style="6" customWidth="1"/>
    <col min="9977" max="10218" width="11.44140625" style="6"/>
    <col min="10219" max="10219" width="0.6640625" style="6" customWidth="1"/>
    <col min="10220" max="10220" width="15.109375" style="6" customWidth="1"/>
    <col min="10221" max="10221" width="0.6640625" style="6" customWidth="1"/>
    <col min="10222" max="10222" width="56.109375" style="6" customWidth="1"/>
    <col min="10223" max="10223" width="0.6640625" style="6" customWidth="1"/>
    <col min="10224" max="10224" width="9.109375" style="6" customWidth="1"/>
    <col min="10225" max="10225" width="6" style="6" customWidth="1"/>
    <col min="10226" max="10226" width="0.6640625" style="6" customWidth="1"/>
    <col min="10227" max="10227" width="7.109375" style="6" customWidth="1"/>
    <col min="10228" max="10228" width="6.5546875" style="6" customWidth="1"/>
    <col min="10229" max="10229" width="0.6640625" style="6" customWidth="1"/>
    <col min="10230" max="10230" width="7.88671875" style="6" customWidth="1"/>
    <col min="10231" max="10231" width="10.5546875" style="6" customWidth="1"/>
    <col min="10232" max="10232" width="0.6640625" style="6" customWidth="1"/>
    <col min="10233" max="10474" width="11.44140625" style="6"/>
    <col min="10475" max="10475" width="0.6640625" style="6" customWidth="1"/>
    <col min="10476" max="10476" width="15.109375" style="6" customWidth="1"/>
    <col min="10477" max="10477" width="0.6640625" style="6" customWidth="1"/>
    <col min="10478" max="10478" width="56.109375" style="6" customWidth="1"/>
    <col min="10479" max="10479" width="0.6640625" style="6" customWidth="1"/>
    <col min="10480" max="10480" width="9.109375" style="6" customWidth="1"/>
    <col min="10481" max="10481" width="6" style="6" customWidth="1"/>
    <col min="10482" max="10482" width="0.6640625" style="6" customWidth="1"/>
    <col min="10483" max="10483" width="7.109375" style="6" customWidth="1"/>
    <col min="10484" max="10484" width="6.5546875" style="6" customWidth="1"/>
    <col min="10485" max="10485" width="0.6640625" style="6" customWidth="1"/>
    <col min="10486" max="10486" width="7.88671875" style="6" customWidth="1"/>
    <col min="10487" max="10487" width="10.5546875" style="6" customWidth="1"/>
    <col min="10488" max="10488" width="0.6640625" style="6" customWidth="1"/>
    <col min="10489" max="10730" width="11.44140625" style="6"/>
    <col min="10731" max="10731" width="0.6640625" style="6" customWidth="1"/>
    <col min="10732" max="10732" width="15.109375" style="6" customWidth="1"/>
    <col min="10733" max="10733" width="0.6640625" style="6" customWidth="1"/>
    <col min="10734" max="10734" width="56.109375" style="6" customWidth="1"/>
    <col min="10735" max="10735" width="0.6640625" style="6" customWidth="1"/>
    <col min="10736" max="10736" width="9.109375" style="6" customWidth="1"/>
    <col min="10737" max="10737" width="6" style="6" customWidth="1"/>
    <col min="10738" max="10738" width="0.6640625" style="6" customWidth="1"/>
    <col min="10739" max="10739" width="7.109375" style="6" customWidth="1"/>
    <col min="10740" max="10740" width="6.5546875" style="6" customWidth="1"/>
    <col min="10741" max="10741" width="0.6640625" style="6" customWidth="1"/>
    <col min="10742" max="10742" width="7.88671875" style="6" customWidth="1"/>
    <col min="10743" max="10743" width="10.5546875" style="6" customWidth="1"/>
    <col min="10744" max="10744" width="0.6640625" style="6" customWidth="1"/>
    <col min="10745" max="10986" width="11.44140625" style="6"/>
    <col min="10987" max="10987" width="0.6640625" style="6" customWidth="1"/>
    <col min="10988" max="10988" width="15.109375" style="6" customWidth="1"/>
    <col min="10989" max="10989" width="0.6640625" style="6" customWidth="1"/>
    <col min="10990" max="10990" width="56.109375" style="6" customWidth="1"/>
    <col min="10991" max="10991" width="0.6640625" style="6" customWidth="1"/>
    <col min="10992" max="10992" width="9.109375" style="6" customWidth="1"/>
    <col min="10993" max="10993" width="6" style="6" customWidth="1"/>
    <col min="10994" max="10994" width="0.6640625" style="6" customWidth="1"/>
    <col min="10995" max="10995" width="7.109375" style="6" customWidth="1"/>
    <col min="10996" max="10996" width="6.5546875" style="6" customWidth="1"/>
    <col min="10997" max="10997" width="0.6640625" style="6" customWidth="1"/>
    <col min="10998" max="10998" width="7.88671875" style="6" customWidth="1"/>
    <col min="10999" max="10999" width="10.5546875" style="6" customWidth="1"/>
    <col min="11000" max="11000" width="0.6640625" style="6" customWidth="1"/>
    <col min="11001" max="11242" width="11.44140625" style="6"/>
    <col min="11243" max="11243" width="0.6640625" style="6" customWidth="1"/>
    <col min="11244" max="11244" width="15.109375" style="6" customWidth="1"/>
    <col min="11245" max="11245" width="0.6640625" style="6" customWidth="1"/>
    <col min="11246" max="11246" width="56.109375" style="6" customWidth="1"/>
    <col min="11247" max="11247" width="0.6640625" style="6" customWidth="1"/>
    <col min="11248" max="11248" width="9.109375" style="6" customWidth="1"/>
    <col min="11249" max="11249" width="6" style="6" customWidth="1"/>
    <col min="11250" max="11250" width="0.6640625" style="6" customWidth="1"/>
    <col min="11251" max="11251" width="7.109375" style="6" customWidth="1"/>
    <col min="11252" max="11252" width="6.5546875" style="6" customWidth="1"/>
    <col min="11253" max="11253" width="0.6640625" style="6" customWidth="1"/>
    <col min="11254" max="11254" width="7.88671875" style="6" customWidth="1"/>
    <col min="11255" max="11255" width="10.5546875" style="6" customWidth="1"/>
    <col min="11256" max="11256" width="0.6640625" style="6" customWidth="1"/>
    <col min="11257" max="11498" width="11.44140625" style="6"/>
    <col min="11499" max="11499" width="0.6640625" style="6" customWidth="1"/>
    <col min="11500" max="11500" width="15.109375" style="6" customWidth="1"/>
    <col min="11501" max="11501" width="0.6640625" style="6" customWidth="1"/>
    <col min="11502" max="11502" width="56.109375" style="6" customWidth="1"/>
    <col min="11503" max="11503" width="0.6640625" style="6" customWidth="1"/>
    <col min="11504" max="11504" width="9.109375" style="6" customWidth="1"/>
    <col min="11505" max="11505" width="6" style="6" customWidth="1"/>
    <col min="11506" max="11506" width="0.6640625" style="6" customWidth="1"/>
    <col min="11507" max="11507" width="7.109375" style="6" customWidth="1"/>
    <col min="11508" max="11508" width="6.5546875" style="6" customWidth="1"/>
    <col min="11509" max="11509" width="0.6640625" style="6" customWidth="1"/>
    <col min="11510" max="11510" width="7.88671875" style="6" customWidth="1"/>
    <col min="11511" max="11511" width="10.5546875" style="6" customWidth="1"/>
    <col min="11512" max="11512" width="0.6640625" style="6" customWidth="1"/>
    <col min="11513" max="11754" width="11.44140625" style="6"/>
    <col min="11755" max="11755" width="0.6640625" style="6" customWidth="1"/>
    <col min="11756" max="11756" width="15.109375" style="6" customWidth="1"/>
    <col min="11757" max="11757" width="0.6640625" style="6" customWidth="1"/>
    <col min="11758" max="11758" width="56.109375" style="6" customWidth="1"/>
    <col min="11759" max="11759" width="0.6640625" style="6" customWidth="1"/>
    <col min="11760" max="11760" width="9.109375" style="6" customWidth="1"/>
    <col min="11761" max="11761" width="6" style="6" customWidth="1"/>
    <col min="11762" max="11762" width="0.6640625" style="6" customWidth="1"/>
    <col min="11763" max="11763" width="7.109375" style="6" customWidth="1"/>
    <col min="11764" max="11764" width="6.5546875" style="6" customWidth="1"/>
    <col min="11765" max="11765" width="0.6640625" style="6" customWidth="1"/>
    <col min="11766" max="11766" width="7.88671875" style="6" customWidth="1"/>
    <col min="11767" max="11767" width="10.5546875" style="6" customWidth="1"/>
    <col min="11768" max="11768" width="0.6640625" style="6" customWidth="1"/>
    <col min="11769" max="12010" width="11.44140625" style="6"/>
    <col min="12011" max="12011" width="0.6640625" style="6" customWidth="1"/>
    <col min="12012" max="12012" width="15.109375" style="6" customWidth="1"/>
    <col min="12013" max="12013" width="0.6640625" style="6" customWidth="1"/>
    <col min="12014" max="12014" width="56.109375" style="6" customWidth="1"/>
    <col min="12015" max="12015" width="0.6640625" style="6" customWidth="1"/>
    <col min="12016" max="12016" width="9.109375" style="6" customWidth="1"/>
    <col min="12017" max="12017" width="6" style="6" customWidth="1"/>
    <col min="12018" max="12018" width="0.6640625" style="6" customWidth="1"/>
    <col min="12019" max="12019" width="7.109375" style="6" customWidth="1"/>
    <col min="12020" max="12020" width="6.5546875" style="6" customWidth="1"/>
    <col min="12021" max="12021" width="0.6640625" style="6" customWidth="1"/>
    <col min="12022" max="12022" width="7.88671875" style="6" customWidth="1"/>
    <col min="12023" max="12023" width="10.5546875" style="6" customWidth="1"/>
    <col min="12024" max="12024" width="0.6640625" style="6" customWidth="1"/>
    <col min="12025" max="12266" width="11.44140625" style="6"/>
    <col min="12267" max="12267" width="0.6640625" style="6" customWidth="1"/>
    <col min="12268" max="12268" width="15.109375" style="6" customWidth="1"/>
    <col min="12269" max="12269" width="0.6640625" style="6" customWidth="1"/>
    <col min="12270" max="12270" width="56.109375" style="6" customWidth="1"/>
    <col min="12271" max="12271" width="0.6640625" style="6" customWidth="1"/>
    <col min="12272" max="12272" width="9.109375" style="6" customWidth="1"/>
    <col min="12273" max="12273" width="6" style="6" customWidth="1"/>
    <col min="12274" max="12274" width="0.6640625" style="6" customWidth="1"/>
    <col min="12275" max="12275" width="7.109375" style="6" customWidth="1"/>
    <col min="12276" max="12276" width="6.5546875" style="6" customWidth="1"/>
    <col min="12277" max="12277" width="0.6640625" style="6" customWidth="1"/>
    <col min="12278" max="12278" width="7.88671875" style="6" customWidth="1"/>
    <col min="12279" max="12279" width="10.5546875" style="6" customWidth="1"/>
    <col min="12280" max="12280" width="0.6640625" style="6" customWidth="1"/>
    <col min="12281" max="12522" width="11.44140625" style="6"/>
    <col min="12523" max="12523" width="0.6640625" style="6" customWidth="1"/>
    <col min="12524" max="12524" width="15.109375" style="6" customWidth="1"/>
    <col min="12525" max="12525" width="0.6640625" style="6" customWidth="1"/>
    <col min="12526" max="12526" width="56.109375" style="6" customWidth="1"/>
    <col min="12527" max="12527" width="0.6640625" style="6" customWidth="1"/>
    <col min="12528" max="12528" width="9.109375" style="6" customWidth="1"/>
    <col min="12529" max="12529" width="6" style="6" customWidth="1"/>
    <col min="12530" max="12530" width="0.6640625" style="6" customWidth="1"/>
    <col min="12531" max="12531" width="7.109375" style="6" customWidth="1"/>
    <col min="12532" max="12532" width="6.5546875" style="6" customWidth="1"/>
    <col min="12533" max="12533" width="0.6640625" style="6" customWidth="1"/>
    <col min="12534" max="12534" width="7.88671875" style="6" customWidth="1"/>
    <col min="12535" max="12535" width="10.5546875" style="6" customWidth="1"/>
    <col min="12536" max="12536" width="0.6640625" style="6" customWidth="1"/>
    <col min="12537" max="12778" width="11.44140625" style="6"/>
    <col min="12779" max="12779" width="0.6640625" style="6" customWidth="1"/>
    <col min="12780" max="12780" width="15.109375" style="6" customWidth="1"/>
    <col min="12781" max="12781" width="0.6640625" style="6" customWidth="1"/>
    <col min="12782" max="12782" width="56.109375" style="6" customWidth="1"/>
    <col min="12783" max="12783" width="0.6640625" style="6" customWidth="1"/>
    <col min="12784" max="12784" width="9.109375" style="6" customWidth="1"/>
    <col min="12785" max="12785" width="6" style="6" customWidth="1"/>
    <col min="12786" max="12786" width="0.6640625" style="6" customWidth="1"/>
    <col min="12787" max="12787" width="7.109375" style="6" customWidth="1"/>
    <col min="12788" max="12788" width="6.5546875" style="6" customWidth="1"/>
    <col min="12789" max="12789" width="0.6640625" style="6" customWidth="1"/>
    <col min="12790" max="12790" width="7.88671875" style="6" customWidth="1"/>
    <col min="12791" max="12791" width="10.5546875" style="6" customWidth="1"/>
    <col min="12792" max="12792" width="0.6640625" style="6" customWidth="1"/>
    <col min="12793" max="13034" width="11.44140625" style="6"/>
    <col min="13035" max="13035" width="0.6640625" style="6" customWidth="1"/>
    <col min="13036" max="13036" width="15.109375" style="6" customWidth="1"/>
    <col min="13037" max="13037" width="0.6640625" style="6" customWidth="1"/>
    <col min="13038" max="13038" width="56.109375" style="6" customWidth="1"/>
    <col min="13039" max="13039" width="0.6640625" style="6" customWidth="1"/>
    <col min="13040" max="13040" width="9.109375" style="6" customWidth="1"/>
    <col min="13041" max="13041" width="6" style="6" customWidth="1"/>
    <col min="13042" max="13042" width="0.6640625" style="6" customWidth="1"/>
    <col min="13043" max="13043" width="7.109375" style="6" customWidth="1"/>
    <col min="13044" max="13044" width="6.5546875" style="6" customWidth="1"/>
    <col min="13045" max="13045" width="0.6640625" style="6" customWidth="1"/>
    <col min="13046" max="13046" width="7.88671875" style="6" customWidth="1"/>
    <col min="13047" max="13047" width="10.5546875" style="6" customWidth="1"/>
    <col min="13048" max="13048" width="0.6640625" style="6" customWidth="1"/>
    <col min="13049" max="13290" width="11.44140625" style="6"/>
    <col min="13291" max="13291" width="0.6640625" style="6" customWidth="1"/>
    <col min="13292" max="13292" width="15.109375" style="6" customWidth="1"/>
    <col min="13293" max="13293" width="0.6640625" style="6" customWidth="1"/>
    <col min="13294" max="13294" width="56.109375" style="6" customWidth="1"/>
    <col min="13295" max="13295" width="0.6640625" style="6" customWidth="1"/>
    <col min="13296" max="13296" width="9.109375" style="6" customWidth="1"/>
    <col min="13297" max="13297" width="6" style="6" customWidth="1"/>
    <col min="13298" max="13298" width="0.6640625" style="6" customWidth="1"/>
    <col min="13299" max="13299" width="7.109375" style="6" customWidth="1"/>
    <col min="13300" max="13300" width="6.5546875" style="6" customWidth="1"/>
    <col min="13301" max="13301" width="0.6640625" style="6" customWidth="1"/>
    <col min="13302" max="13302" width="7.88671875" style="6" customWidth="1"/>
    <col min="13303" max="13303" width="10.5546875" style="6" customWidth="1"/>
    <col min="13304" max="13304" width="0.6640625" style="6" customWidth="1"/>
    <col min="13305" max="13546" width="11.44140625" style="6"/>
    <col min="13547" max="13547" width="0.6640625" style="6" customWidth="1"/>
    <col min="13548" max="13548" width="15.109375" style="6" customWidth="1"/>
    <col min="13549" max="13549" width="0.6640625" style="6" customWidth="1"/>
    <col min="13550" max="13550" width="56.109375" style="6" customWidth="1"/>
    <col min="13551" max="13551" width="0.6640625" style="6" customWidth="1"/>
    <col min="13552" max="13552" width="9.109375" style="6" customWidth="1"/>
    <col min="13553" max="13553" width="6" style="6" customWidth="1"/>
    <col min="13554" max="13554" width="0.6640625" style="6" customWidth="1"/>
    <col min="13555" max="13555" width="7.109375" style="6" customWidth="1"/>
    <col min="13556" max="13556" width="6.5546875" style="6" customWidth="1"/>
    <col min="13557" max="13557" width="0.6640625" style="6" customWidth="1"/>
    <col min="13558" max="13558" width="7.88671875" style="6" customWidth="1"/>
    <col min="13559" max="13559" width="10.5546875" style="6" customWidth="1"/>
    <col min="13560" max="13560" width="0.6640625" style="6" customWidth="1"/>
    <col min="13561" max="16384" width="11.44140625" style="6"/>
  </cols>
  <sheetData>
    <row r="1" spans="1:10" ht="19.5" customHeight="1" x14ac:dyDescent="0.25">
      <c r="A1" s="1"/>
      <c r="B1" s="2"/>
      <c r="C1" s="52"/>
      <c r="D1" s="4"/>
      <c r="E1" s="4"/>
      <c r="F1" s="4"/>
      <c r="G1" s="5"/>
      <c r="J1" s="7" t="s">
        <v>0</v>
      </c>
    </row>
    <row r="2" spans="1:10" ht="19.5" customHeight="1" x14ac:dyDescent="0.25">
      <c r="A2" s="8"/>
      <c r="B2" s="9"/>
      <c r="C2" s="54"/>
      <c r="D2" s="11"/>
      <c r="E2" s="11"/>
      <c r="F2" s="11"/>
      <c r="G2" s="12"/>
      <c r="J2" s="13" t="s">
        <v>1</v>
      </c>
    </row>
    <row r="3" spans="1:10" ht="19.5" customHeight="1" x14ac:dyDescent="0.3">
      <c r="A3" s="8"/>
      <c r="B3" s="9"/>
      <c r="C3" s="54"/>
      <c r="D3" s="11"/>
      <c r="E3" s="11"/>
      <c r="F3" s="11"/>
      <c r="G3" s="12"/>
      <c r="J3" s="7" t="s">
        <v>2</v>
      </c>
    </row>
    <row r="4" spans="1:10" ht="19.5" customHeight="1" x14ac:dyDescent="0.25">
      <c r="A4" s="14"/>
      <c r="B4" s="15"/>
      <c r="C4" s="56"/>
      <c r="D4" s="17"/>
      <c r="E4" s="17"/>
      <c r="F4" s="17"/>
      <c r="G4" s="57"/>
      <c r="J4" s="7" t="s">
        <v>3</v>
      </c>
    </row>
    <row r="5" spans="1:10" ht="30" customHeight="1" x14ac:dyDescent="0.3">
      <c r="A5" s="990" t="str">
        <f>CONCATENATE("COMPOSIÇÃO DE CUSTO UNITÁRIO - ",ORÇAMENTO!P2)</f>
        <v>COMPOSIÇÃO DE CUSTO UNITÁRIO - NÃO DESONERADO</v>
      </c>
      <c r="B5" s="991"/>
      <c r="C5" s="991"/>
      <c r="D5" s="991"/>
      <c r="E5" s="991"/>
      <c r="F5" s="991"/>
      <c r="G5" s="992"/>
      <c r="J5" s="7" t="s">
        <v>4</v>
      </c>
    </row>
    <row r="6" spans="1:10" ht="18" customHeight="1" x14ac:dyDescent="0.3">
      <c r="A6" s="97" t="s">
        <v>5</v>
      </c>
      <c r="B6" s="98" t="s">
        <v>6</v>
      </c>
      <c r="C6" s="1015" t="s">
        <v>156</v>
      </c>
      <c r="D6" s="1015"/>
      <c r="E6" s="1016"/>
      <c r="F6" s="98" t="s">
        <v>7</v>
      </c>
      <c r="G6" s="99"/>
      <c r="J6" s="7" t="s">
        <v>8</v>
      </c>
    </row>
    <row r="7" spans="1:10" ht="24.9" customHeight="1" x14ac:dyDescent="0.3">
      <c r="A7" s="24" t="s">
        <v>157</v>
      </c>
      <c r="B7" s="25"/>
      <c r="C7" s="1017"/>
      <c r="D7" s="1017"/>
      <c r="E7" s="1018"/>
      <c r="F7" s="100"/>
      <c r="G7" s="101" t="s">
        <v>11</v>
      </c>
      <c r="J7" s="35" t="s">
        <v>14</v>
      </c>
    </row>
    <row r="8" spans="1:10" ht="21" customHeight="1" x14ac:dyDescent="0.3">
      <c r="A8" s="102" t="s">
        <v>13</v>
      </c>
      <c r="B8" s="33"/>
      <c r="C8" s="69" t="s">
        <v>158</v>
      </c>
      <c r="D8" s="103"/>
      <c r="E8" s="103"/>
      <c r="F8" s="33"/>
      <c r="G8" s="104"/>
      <c r="J8" s="6" t="s">
        <v>12</v>
      </c>
    </row>
    <row r="9" spans="1:10" ht="21" customHeight="1" x14ac:dyDescent="0.3">
      <c r="A9" s="1019" t="s">
        <v>5</v>
      </c>
      <c r="B9" s="1019" t="s">
        <v>15</v>
      </c>
      <c r="C9" s="1019" t="s">
        <v>16</v>
      </c>
      <c r="D9" s="1020" t="s">
        <v>34</v>
      </c>
      <c r="E9" s="1020" t="s">
        <v>35</v>
      </c>
      <c r="F9" s="105" t="s">
        <v>22</v>
      </c>
      <c r="G9" s="106" t="s">
        <v>22</v>
      </c>
      <c r="J9" s="6" t="s">
        <v>45</v>
      </c>
    </row>
    <row r="10" spans="1:10" ht="30" customHeight="1" x14ac:dyDescent="0.3">
      <c r="A10" s="1019"/>
      <c r="B10" s="1019"/>
      <c r="C10" s="1019"/>
      <c r="D10" s="1020"/>
      <c r="E10" s="1020"/>
      <c r="F10" s="107" t="s">
        <v>23</v>
      </c>
      <c r="G10" s="41" t="s">
        <v>24</v>
      </c>
    </row>
    <row r="11" spans="1:10" ht="15" x14ac:dyDescent="0.25">
      <c r="A11" s="49">
        <v>13521</v>
      </c>
      <c r="B11" s="108" t="s">
        <v>1</v>
      </c>
      <c r="C11" s="77" t="s">
        <v>1154</v>
      </c>
      <c r="D11" s="78" t="s">
        <v>11</v>
      </c>
      <c r="E11" s="109">
        <v>2</v>
      </c>
      <c r="F11" s="46"/>
      <c r="G11" s="47">
        <f>TRUNC(E11*F11,2)</f>
        <v>0</v>
      </c>
    </row>
    <row r="12" spans="1:10" ht="14.4" x14ac:dyDescent="0.3">
      <c r="A12" s="110" t="str">
        <f>A18</f>
        <v>CPAV009</v>
      </c>
      <c r="B12" s="108" t="s">
        <v>14</v>
      </c>
      <c r="C12" s="77" t="s">
        <v>159</v>
      </c>
      <c r="D12" s="78" t="s">
        <v>11</v>
      </c>
      <c r="E12" s="109">
        <v>1</v>
      </c>
      <c r="F12" s="46"/>
      <c r="G12" s="47">
        <f>TRUNC(E12*F12,2)</f>
        <v>0</v>
      </c>
    </row>
    <row r="13" spans="1:10" ht="15" x14ac:dyDescent="0.25">
      <c r="A13" s="49">
        <v>88316</v>
      </c>
      <c r="B13" s="108" t="s">
        <v>0</v>
      </c>
      <c r="C13" s="77" t="s">
        <v>1103</v>
      </c>
      <c r="D13" s="78" t="s">
        <v>1101</v>
      </c>
      <c r="E13" s="109">
        <v>0.2</v>
      </c>
      <c r="F13" s="46"/>
      <c r="G13" s="47">
        <f>TRUNC(E13*F13,2)</f>
        <v>0</v>
      </c>
    </row>
    <row r="14" spans="1:10" ht="15" x14ac:dyDescent="0.25">
      <c r="A14" s="49">
        <v>88309</v>
      </c>
      <c r="B14" s="108" t="s">
        <v>0</v>
      </c>
      <c r="C14" s="77" t="s">
        <v>1155</v>
      </c>
      <c r="D14" s="78" t="s">
        <v>1101</v>
      </c>
      <c r="E14" s="109">
        <v>0.2</v>
      </c>
      <c r="F14" s="46"/>
      <c r="G14" s="47">
        <f>TRUNC(E14*F14,2)</f>
        <v>0</v>
      </c>
    </row>
    <row r="15" spans="1:10" x14ac:dyDescent="0.3">
      <c r="A15" s="1014" t="s">
        <v>25</v>
      </c>
      <c r="B15" s="1014"/>
      <c r="C15" s="1014"/>
      <c r="D15" s="1014"/>
      <c r="E15" s="1014"/>
      <c r="F15" s="1014"/>
      <c r="G15" s="50">
        <f>SUM(G11:G14)</f>
        <v>0</v>
      </c>
    </row>
    <row r="17" spans="1:7" ht="18" customHeight="1" x14ac:dyDescent="0.3">
      <c r="A17" s="97" t="s">
        <v>5</v>
      </c>
      <c r="B17" s="98" t="s">
        <v>6</v>
      </c>
      <c r="C17" s="1015" t="s">
        <v>159</v>
      </c>
      <c r="D17" s="1015"/>
      <c r="E17" s="1016"/>
      <c r="F17" s="98" t="s">
        <v>7</v>
      </c>
      <c r="G17" s="99"/>
    </row>
    <row r="18" spans="1:7" ht="24.9" customHeight="1" x14ac:dyDescent="0.3">
      <c r="A18" s="24" t="s">
        <v>160</v>
      </c>
      <c r="B18" s="25"/>
      <c r="C18" s="1017"/>
      <c r="D18" s="1017"/>
      <c r="E18" s="1018"/>
      <c r="F18" s="100"/>
      <c r="G18" s="101" t="s">
        <v>11</v>
      </c>
    </row>
    <row r="19" spans="1:7" ht="21" customHeight="1" x14ac:dyDescent="0.3">
      <c r="A19" s="102" t="s">
        <v>13</v>
      </c>
      <c r="B19" s="33"/>
      <c r="C19" s="69" t="s">
        <v>161</v>
      </c>
      <c r="D19" s="103"/>
      <c r="E19" s="103"/>
      <c r="F19" s="33"/>
      <c r="G19" s="104"/>
    </row>
    <row r="20" spans="1:7" ht="21" customHeight="1" x14ac:dyDescent="0.3">
      <c r="A20" s="1019" t="s">
        <v>5</v>
      </c>
      <c r="B20" s="1019" t="s">
        <v>15</v>
      </c>
      <c r="C20" s="1019" t="s">
        <v>16</v>
      </c>
      <c r="D20" s="1020" t="s">
        <v>34</v>
      </c>
      <c r="E20" s="1020" t="s">
        <v>35</v>
      </c>
      <c r="F20" s="105" t="s">
        <v>22</v>
      </c>
      <c r="G20" s="106" t="s">
        <v>22</v>
      </c>
    </row>
    <row r="21" spans="1:7" ht="30" customHeight="1" x14ac:dyDescent="0.3">
      <c r="A21" s="1019"/>
      <c r="B21" s="1019"/>
      <c r="C21" s="1019"/>
      <c r="D21" s="1020"/>
      <c r="E21" s="1020"/>
      <c r="F21" s="107" t="s">
        <v>23</v>
      </c>
      <c r="G21" s="41" t="s">
        <v>24</v>
      </c>
    </row>
    <row r="22" spans="1:7" ht="30" x14ac:dyDescent="0.25">
      <c r="A22" s="49">
        <v>21013</v>
      </c>
      <c r="B22" s="108" t="s">
        <v>1</v>
      </c>
      <c r="C22" s="77" t="s">
        <v>1156</v>
      </c>
      <c r="D22" s="78" t="s">
        <v>611</v>
      </c>
      <c r="E22" s="109">
        <v>3.2</v>
      </c>
      <c r="F22" s="46"/>
      <c r="G22" s="47">
        <f t="shared" ref="G22:G27" si="0">TRUNC(E22*F22,2)</f>
        <v>0</v>
      </c>
    </row>
    <row r="23" spans="1:7" ht="28.8" x14ac:dyDescent="0.3">
      <c r="A23" s="49">
        <v>94963</v>
      </c>
      <c r="B23" s="108" t="s">
        <v>0</v>
      </c>
      <c r="C23" s="77" t="s">
        <v>1115</v>
      </c>
      <c r="D23" s="78" t="s">
        <v>1116</v>
      </c>
      <c r="E23" s="109">
        <v>0.28000000000000003</v>
      </c>
      <c r="F23" s="46"/>
      <c r="G23" s="47">
        <f t="shared" si="0"/>
        <v>0</v>
      </c>
    </row>
    <row r="24" spans="1:7" ht="28.8" x14ac:dyDescent="0.3">
      <c r="A24" s="49">
        <v>103670</v>
      </c>
      <c r="B24" s="108" t="s">
        <v>0</v>
      </c>
      <c r="C24" s="77" t="s">
        <v>1118</v>
      </c>
      <c r="D24" s="78" t="s">
        <v>1116</v>
      </c>
      <c r="E24" s="109">
        <v>0.28000000000000003</v>
      </c>
      <c r="F24" s="46"/>
      <c r="G24" s="47">
        <f t="shared" si="0"/>
        <v>0</v>
      </c>
    </row>
    <row r="25" spans="1:7" ht="14.4" x14ac:dyDescent="0.3">
      <c r="A25" s="49">
        <v>93358</v>
      </c>
      <c r="B25" s="108" t="s">
        <v>0</v>
      </c>
      <c r="C25" s="77" t="s">
        <v>1157</v>
      </c>
      <c r="D25" s="78" t="s">
        <v>1116</v>
      </c>
      <c r="E25" s="109">
        <v>0.28000000000000003</v>
      </c>
      <c r="F25" s="46"/>
      <c r="G25" s="47">
        <f t="shared" si="0"/>
        <v>0</v>
      </c>
    </row>
    <row r="26" spans="1:7" ht="14.4" x14ac:dyDescent="0.3">
      <c r="A26" s="49">
        <v>88316</v>
      </c>
      <c r="B26" s="108" t="s">
        <v>0</v>
      </c>
      <c r="C26" s="77" t="s">
        <v>1103</v>
      </c>
      <c r="D26" s="78" t="s">
        <v>1101</v>
      </c>
      <c r="E26" s="109">
        <v>1.5</v>
      </c>
      <c r="F26" s="46"/>
      <c r="G26" s="47">
        <f t="shared" si="0"/>
        <v>0</v>
      </c>
    </row>
    <row r="27" spans="1:7" ht="14.4" x14ac:dyDescent="0.3">
      <c r="A27" s="49">
        <v>88309</v>
      </c>
      <c r="B27" s="108" t="s">
        <v>0</v>
      </c>
      <c r="C27" s="77" t="s">
        <v>1155</v>
      </c>
      <c r="D27" s="78" t="s">
        <v>1101</v>
      </c>
      <c r="E27" s="109">
        <v>1.5</v>
      </c>
      <c r="F27" s="46"/>
      <c r="G27" s="47">
        <f t="shared" si="0"/>
        <v>0</v>
      </c>
    </row>
    <row r="28" spans="1:7" x14ac:dyDescent="0.3">
      <c r="A28" s="1014" t="s">
        <v>25</v>
      </c>
      <c r="B28" s="1014"/>
      <c r="C28" s="1014"/>
      <c r="D28" s="1014"/>
      <c r="E28" s="1014"/>
      <c r="F28" s="1014"/>
      <c r="G28" s="50">
        <f>SUM(G22:G27)</f>
        <v>0</v>
      </c>
    </row>
    <row r="30" spans="1:7" x14ac:dyDescent="0.3">
      <c r="A30" s="51"/>
      <c r="B30" s="51"/>
      <c r="D30" s="6"/>
      <c r="E30" s="6"/>
      <c r="F30" s="6"/>
      <c r="G30" s="6"/>
    </row>
    <row r="31" spans="1:7" s="51" customFormat="1" x14ac:dyDescent="0.3">
      <c r="C31" s="6"/>
      <c r="D31" s="6"/>
      <c r="E31" s="6"/>
      <c r="F31" s="6"/>
      <c r="G31" s="6"/>
    </row>
    <row r="32" spans="1:7" s="51" customFormat="1" x14ac:dyDescent="0.3">
      <c r="C32" s="6"/>
    </row>
    <row r="33" spans="1:7" s="51" customFormat="1" x14ac:dyDescent="0.3">
      <c r="C33" s="6"/>
    </row>
    <row r="34" spans="1:7" x14ac:dyDescent="0.3">
      <c r="A34" s="51"/>
      <c r="B34" s="51"/>
    </row>
    <row r="35" spans="1:7" s="51" customFormat="1" x14ac:dyDescent="0.3">
      <c r="C35" s="6"/>
      <c r="D35" s="6"/>
      <c r="E35" s="6"/>
      <c r="F35" s="6"/>
      <c r="G35" s="6"/>
    </row>
    <row r="36" spans="1:7" s="51" customFormat="1" x14ac:dyDescent="0.3">
      <c r="C36" s="6"/>
    </row>
    <row r="37" spans="1:7" x14ac:dyDescent="0.3">
      <c r="A37" s="51"/>
      <c r="B37" s="51"/>
    </row>
    <row r="38" spans="1:7" x14ac:dyDescent="0.3">
      <c r="A38" s="51"/>
      <c r="B38" s="51"/>
      <c r="D38" s="6"/>
      <c r="E38" s="6"/>
      <c r="F38" s="6"/>
      <c r="G38" s="6"/>
    </row>
    <row r="39" spans="1:7" x14ac:dyDescent="0.3">
      <c r="A39" s="51"/>
      <c r="B39" s="51"/>
      <c r="D39" s="6"/>
      <c r="E39" s="6"/>
      <c r="F39" s="6"/>
      <c r="G39" s="6"/>
    </row>
    <row r="40" spans="1:7" x14ac:dyDescent="0.3">
      <c r="A40" s="51"/>
      <c r="B40" s="51"/>
      <c r="D40" s="6"/>
      <c r="E40" s="6"/>
      <c r="F40" s="6"/>
      <c r="G40" s="6"/>
    </row>
    <row r="41" spans="1:7" x14ac:dyDescent="0.3">
      <c r="A41" s="51"/>
      <c r="B41" s="51"/>
      <c r="D41" s="6"/>
      <c r="E41" s="6"/>
      <c r="F41" s="6"/>
      <c r="G41" s="6"/>
    </row>
    <row r="42" spans="1:7" x14ac:dyDescent="0.3">
      <c r="A42" s="51"/>
      <c r="B42" s="51"/>
      <c r="D42" s="6"/>
      <c r="E42" s="6"/>
      <c r="F42" s="6"/>
      <c r="G42" s="6"/>
    </row>
    <row r="43" spans="1:7" x14ac:dyDescent="0.3">
      <c r="A43" s="51"/>
      <c r="B43" s="51"/>
      <c r="D43" s="6"/>
      <c r="E43" s="6"/>
      <c r="F43" s="6"/>
      <c r="G43" s="6"/>
    </row>
    <row r="44" spans="1:7" x14ac:dyDescent="0.3">
      <c r="A44" s="51"/>
      <c r="B44" s="51"/>
      <c r="D44" s="6"/>
      <c r="E44" s="6"/>
      <c r="F44" s="6"/>
      <c r="G44" s="6"/>
    </row>
  </sheetData>
  <mergeCells count="15">
    <mergeCell ref="A5:G5"/>
    <mergeCell ref="C6:E7"/>
    <mergeCell ref="A9:A10"/>
    <mergeCell ref="B9:B10"/>
    <mergeCell ref="C9:C10"/>
    <mergeCell ref="D9:D10"/>
    <mergeCell ref="E9:E10"/>
    <mergeCell ref="A28:F28"/>
    <mergeCell ref="A15:F15"/>
    <mergeCell ref="C17:E18"/>
    <mergeCell ref="A20:A21"/>
    <mergeCell ref="B20:B21"/>
    <mergeCell ref="C20:C21"/>
    <mergeCell ref="D20:D21"/>
    <mergeCell ref="E20:E21"/>
  </mergeCells>
  <dataValidations count="1">
    <dataValidation type="list" allowBlank="1" showInputMessage="1" showErrorMessage="1" sqref="B11:B14 B22:B27">
      <formula1>$J$1:$J$9</formula1>
    </dataValidation>
  </dataValidations>
  <printOptions horizontalCentered="1"/>
  <pageMargins left="0.59055118110236227" right="0.59055118110236227" top="1.7716535433070868" bottom="0.78740157480314965" header="0" footer="0"/>
  <pageSetup paperSize="9" scale="77" fitToHeight="100" orientation="landscape" r:id="rId1"/>
  <headerFooter scaleWithDoc="0">
    <oddHeader>&amp;L&amp;G</oddHeader>
  </headerFooter>
  <colBreaks count="1" manualBreakCount="1">
    <brk id="7" max="1048575" man="1"/>
  </colBreaks>
  <legacyDrawingHF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34">
    <tabColor rgb="FFFF0000"/>
  </sheetPr>
  <dimension ref="A1:G36"/>
  <sheetViews>
    <sheetView showGridLines="0" view="pageBreakPreview" topLeftCell="A6" zoomScale="85" zoomScaleNormal="85" zoomScaleSheetLayoutView="85" workbookViewId="0">
      <selection activeCell="C34" sqref="C8:C34"/>
    </sheetView>
  </sheetViews>
  <sheetFormatPr defaultColWidth="9.109375" defaultRowHeight="13.8" x14ac:dyDescent="0.25"/>
  <cols>
    <col min="1" max="1" width="18.33203125" style="249" customWidth="1"/>
    <col min="2" max="2" width="99.33203125" style="249" customWidth="1"/>
    <col min="3" max="3" width="14.88671875" style="249" customWidth="1"/>
    <col min="4" max="4" width="13.88671875" style="249" customWidth="1"/>
    <col min="5" max="5" width="15.6640625" style="249" customWidth="1"/>
    <col min="6" max="6" width="9.109375" style="249"/>
    <col min="7" max="7" width="9.6640625" style="249" bestFit="1" customWidth="1"/>
    <col min="8" max="16384" width="9.109375" style="249"/>
  </cols>
  <sheetData>
    <row r="1" spans="1:7" ht="20.100000000000001" customHeight="1" x14ac:dyDescent="0.3">
      <c r="A1" s="246"/>
      <c r="B1" s="247"/>
      <c r="C1" s="247"/>
      <c r="D1" s="247"/>
      <c r="E1" s="248"/>
    </row>
    <row r="2" spans="1:7" ht="20.100000000000001" customHeight="1" x14ac:dyDescent="0.25">
      <c r="A2" s="250"/>
      <c r="B2" s="251" t="s">
        <v>162</v>
      </c>
      <c r="C2" s="252"/>
      <c r="D2" s="253" t="s">
        <v>163</v>
      </c>
      <c r="E2" s="254">
        <v>6.4999999999999997E-3</v>
      </c>
    </row>
    <row r="3" spans="1:7" ht="20.100000000000001" customHeight="1" x14ac:dyDescent="0.25">
      <c r="A3" s="250"/>
      <c r="B3" s="251" t="s">
        <v>164</v>
      </c>
      <c r="C3" s="252"/>
      <c r="D3" s="253" t="s">
        <v>165</v>
      </c>
      <c r="E3" s="254">
        <v>0.03</v>
      </c>
    </row>
    <row r="4" spans="1:7" ht="20.100000000000001" customHeight="1" x14ac:dyDescent="0.3">
      <c r="A4" s="250"/>
      <c r="B4" s="252"/>
      <c r="D4" s="255" t="s">
        <v>166</v>
      </c>
      <c r="E4" s="254">
        <v>0</v>
      </c>
    </row>
    <row r="5" spans="1:7" ht="20.100000000000001" customHeight="1" x14ac:dyDescent="0.3">
      <c r="A5" s="256"/>
      <c r="B5" s="257"/>
      <c r="C5" s="258"/>
      <c r="D5" s="258"/>
      <c r="E5" s="259"/>
    </row>
    <row r="6" spans="1:7" ht="23.25" customHeight="1" x14ac:dyDescent="0.25">
      <c r="A6" s="1127" t="s">
        <v>167</v>
      </c>
      <c r="B6" s="1128"/>
      <c r="C6" s="1128"/>
      <c r="D6" s="1128"/>
      <c r="E6" s="1129"/>
    </row>
    <row r="7" spans="1:7" s="262" customFormat="1" ht="25.5" customHeight="1" x14ac:dyDescent="0.25">
      <c r="A7" s="1130" t="s">
        <v>168</v>
      </c>
      <c r="B7" s="1131"/>
      <c r="C7" s="260" t="s">
        <v>169</v>
      </c>
      <c r="D7" s="260" t="s">
        <v>170</v>
      </c>
      <c r="E7" s="261" t="s">
        <v>24</v>
      </c>
    </row>
    <row r="8" spans="1:7" s="268" customFormat="1" ht="14.4" x14ac:dyDescent="0.3">
      <c r="A8" s="263">
        <v>45992</v>
      </c>
      <c r="B8" s="264" t="s">
        <v>171</v>
      </c>
      <c r="C8" s="265"/>
      <c r="D8" s="266">
        <v>3.6499999999999998E-2</v>
      </c>
      <c r="E8" s="267" t="s">
        <v>172</v>
      </c>
      <c r="G8" s="269"/>
    </row>
    <row r="9" spans="1:7" s="268" customFormat="1" ht="14.4" x14ac:dyDescent="0.3">
      <c r="A9" s="270">
        <v>45992</v>
      </c>
      <c r="B9" s="271" t="s">
        <v>173</v>
      </c>
      <c r="C9" s="272"/>
      <c r="D9" s="273" t="s">
        <v>172</v>
      </c>
      <c r="E9" s="267" t="s">
        <v>172</v>
      </c>
    </row>
    <row r="10" spans="1:7" s="268" customFormat="1" ht="14.4" x14ac:dyDescent="0.3">
      <c r="A10" s="270">
        <v>45992</v>
      </c>
      <c r="B10" s="274" t="s">
        <v>174</v>
      </c>
      <c r="C10" s="275"/>
      <c r="D10" s="276" t="s">
        <v>172</v>
      </c>
      <c r="E10" s="267" t="s">
        <v>172</v>
      </c>
    </row>
    <row r="11" spans="1:7" s="268" customFormat="1" ht="14.4" x14ac:dyDescent="0.3">
      <c r="A11" s="270">
        <v>45992</v>
      </c>
      <c r="B11" s="274" t="s">
        <v>175</v>
      </c>
      <c r="C11" s="275"/>
      <c r="D11" s="276" t="s">
        <v>172</v>
      </c>
      <c r="E11" s="267" t="s">
        <v>172</v>
      </c>
    </row>
    <row r="12" spans="1:7" s="268" customFormat="1" ht="15" x14ac:dyDescent="0.25">
      <c r="A12" s="270">
        <v>45992</v>
      </c>
      <c r="B12" s="274" t="s">
        <v>176</v>
      </c>
      <c r="C12" s="275"/>
      <c r="D12" s="276" t="s">
        <v>172</v>
      </c>
      <c r="E12" s="267" t="s">
        <v>172</v>
      </c>
    </row>
    <row r="13" spans="1:7" s="268" customFormat="1" ht="15" x14ac:dyDescent="0.25">
      <c r="A13" s="270">
        <v>45992</v>
      </c>
      <c r="B13" s="274" t="s">
        <v>177</v>
      </c>
      <c r="C13" s="275"/>
      <c r="D13" s="276" t="s">
        <v>172</v>
      </c>
      <c r="E13" s="267" t="s">
        <v>172</v>
      </c>
    </row>
    <row r="14" spans="1:7" s="268" customFormat="1" ht="14.4" x14ac:dyDescent="0.3">
      <c r="A14" s="270">
        <v>45992</v>
      </c>
      <c r="B14" s="274" t="s">
        <v>178</v>
      </c>
      <c r="C14" s="275"/>
      <c r="D14" s="276" t="s">
        <v>172</v>
      </c>
      <c r="E14" s="267" t="s">
        <v>172</v>
      </c>
    </row>
    <row r="15" spans="1:7" s="268" customFormat="1" ht="14.4" x14ac:dyDescent="0.3">
      <c r="A15" s="270">
        <v>45992</v>
      </c>
      <c r="B15" s="274" t="s">
        <v>179</v>
      </c>
      <c r="C15" s="275"/>
      <c r="D15" s="277">
        <v>3.6499999999999998E-2</v>
      </c>
      <c r="E15" s="267">
        <f>TRUNC(C15/(1-($E$4+$E$2+$E$3-($E$2+$E$3)*$E$4)),5)</f>
        <v>0</v>
      </c>
    </row>
    <row r="16" spans="1:7" s="268" customFormat="1" ht="14.4" x14ac:dyDescent="0.3">
      <c r="A16" s="270">
        <v>45992</v>
      </c>
      <c r="B16" s="274" t="s">
        <v>180</v>
      </c>
      <c r="C16" s="275"/>
      <c r="D16" s="276" t="s">
        <v>172</v>
      </c>
      <c r="E16" s="267" t="s">
        <v>172</v>
      </c>
    </row>
    <row r="17" spans="1:5" s="268" customFormat="1" ht="14.4" x14ac:dyDescent="0.3">
      <c r="A17" s="270">
        <v>45992</v>
      </c>
      <c r="B17" s="274" t="s">
        <v>181</v>
      </c>
      <c r="C17" s="275"/>
      <c r="D17" s="276" t="s">
        <v>172</v>
      </c>
      <c r="E17" s="267" t="s">
        <v>172</v>
      </c>
    </row>
    <row r="18" spans="1:5" s="268" customFormat="1" ht="14.4" x14ac:dyDescent="0.3">
      <c r="A18" s="270">
        <v>45992</v>
      </c>
      <c r="B18" s="274" t="s">
        <v>182</v>
      </c>
      <c r="C18" s="275"/>
      <c r="D18" s="277">
        <v>3.6499999999999998E-2</v>
      </c>
      <c r="E18" s="267">
        <f>TRUNC(C18/(1-($E$4+$E$2+$E$3-($E$2+$E$3)*$E$4)),5)</f>
        <v>0</v>
      </c>
    </row>
    <row r="19" spans="1:5" s="268" customFormat="1" ht="14.4" x14ac:dyDescent="0.3">
      <c r="A19" s="270">
        <v>45992</v>
      </c>
      <c r="B19" s="274" t="s">
        <v>183</v>
      </c>
      <c r="C19" s="275"/>
      <c r="D19" s="277">
        <v>3.6499999999999998E-2</v>
      </c>
      <c r="E19" s="267">
        <f>TRUNC(C19/(1-($E$4+$E$2+$E$3-($E$2+$E$3)*$E$4)),5)</f>
        <v>0</v>
      </c>
    </row>
    <row r="20" spans="1:5" s="268" customFormat="1" ht="14.4" x14ac:dyDescent="0.3">
      <c r="A20" s="270">
        <v>45992</v>
      </c>
      <c r="B20" s="274" t="s">
        <v>184</v>
      </c>
      <c r="C20" s="275"/>
      <c r="D20" s="278" t="s">
        <v>172</v>
      </c>
      <c r="E20" s="279" t="s">
        <v>172</v>
      </c>
    </row>
    <row r="21" spans="1:5" s="268" customFormat="1" ht="14.4" x14ac:dyDescent="0.3">
      <c r="A21" s="270">
        <v>45992</v>
      </c>
      <c r="B21" s="274" t="s">
        <v>185</v>
      </c>
      <c r="C21" s="275"/>
      <c r="D21" s="278" t="s">
        <v>172</v>
      </c>
      <c r="E21" s="267" t="s">
        <v>172</v>
      </c>
    </row>
    <row r="22" spans="1:5" s="268" customFormat="1" ht="14.4" x14ac:dyDescent="0.3">
      <c r="A22" s="270">
        <v>45992</v>
      </c>
      <c r="B22" s="274" t="s">
        <v>186</v>
      </c>
      <c r="C22" s="275"/>
      <c r="D22" s="278" t="s">
        <v>172</v>
      </c>
      <c r="E22" s="267" t="s">
        <v>172</v>
      </c>
    </row>
    <row r="23" spans="1:5" s="268" customFormat="1" ht="15" thickBot="1" x14ac:dyDescent="0.35">
      <c r="A23" s="270">
        <v>45992</v>
      </c>
      <c r="B23" s="280" t="s">
        <v>187</v>
      </c>
      <c r="C23" s="281"/>
      <c r="D23" s="282" t="s">
        <v>172</v>
      </c>
      <c r="E23" s="283" t="s">
        <v>172</v>
      </c>
    </row>
    <row r="24" spans="1:5" s="268" customFormat="1" ht="15" thickBot="1" x14ac:dyDescent="0.35">
      <c r="A24" s="284">
        <v>45992</v>
      </c>
      <c r="B24" s="285" t="s">
        <v>188</v>
      </c>
      <c r="C24" s="286"/>
      <c r="D24" s="287">
        <v>3.6499999999999998E-2</v>
      </c>
      <c r="E24" s="288">
        <f>TRUNC(C24/(1-($E$4+$E$2+$E$3-($E$2+$E$3)*$E$4)),5)</f>
        <v>0</v>
      </c>
    </row>
    <row r="25" spans="1:5" s="268" customFormat="1" ht="14.4" x14ac:dyDescent="0.3">
      <c r="A25" s="270">
        <v>45992</v>
      </c>
      <c r="B25" s="271" t="s">
        <v>189</v>
      </c>
      <c r="C25" s="272"/>
      <c r="D25" s="289">
        <v>3.6499999999999998E-2</v>
      </c>
      <c r="E25" s="290">
        <f>TRUNC(C25/(1-($E$4+$E$2+$E$3-($E$2+$E$3)*$E$4)),5)</f>
        <v>0</v>
      </c>
    </row>
    <row r="26" spans="1:5" s="268" customFormat="1" ht="14.4" x14ac:dyDescent="0.3">
      <c r="A26" s="270">
        <v>45992</v>
      </c>
      <c r="B26" s="274" t="s">
        <v>190</v>
      </c>
      <c r="C26" s="275"/>
      <c r="D26" s="278" t="s">
        <v>172</v>
      </c>
      <c r="E26" s="267" t="s">
        <v>172</v>
      </c>
    </row>
    <row r="27" spans="1:5" s="268" customFormat="1" ht="14.4" x14ac:dyDescent="0.3">
      <c r="A27" s="270">
        <v>45992</v>
      </c>
      <c r="B27" s="274" t="s">
        <v>191</v>
      </c>
      <c r="C27" s="275"/>
      <c r="D27" s="278" t="s">
        <v>172</v>
      </c>
      <c r="E27" s="267" t="s">
        <v>172</v>
      </c>
    </row>
    <row r="28" spans="1:5" s="268" customFormat="1" ht="14.4" x14ac:dyDescent="0.3">
      <c r="A28" s="270">
        <v>45992</v>
      </c>
      <c r="B28" s="274" t="s">
        <v>192</v>
      </c>
      <c r="C28" s="275"/>
      <c r="D28" s="278" t="s">
        <v>172</v>
      </c>
      <c r="E28" s="267" t="s">
        <v>172</v>
      </c>
    </row>
    <row r="29" spans="1:5" s="268" customFormat="1" ht="14.4" x14ac:dyDescent="0.3">
      <c r="A29" s="270">
        <v>45992</v>
      </c>
      <c r="B29" s="274" t="s">
        <v>193</v>
      </c>
      <c r="C29" s="275"/>
      <c r="D29" s="278" t="s">
        <v>172</v>
      </c>
      <c r="E29" s="267" t="s">
        <v>172</v>
      </c>
    </row>
    <row r="30" spans="1:5" s="268" customFormat="1" ht="14.4" x14ac:dyDescent="0.3">
      <c r="A30" s="270">
        <v>45992</v>
      </c>
      <c r="B30" s="274" t="s">
        <v>194</v>
      </c>
      <c r="C30" s="275"/>
      <c r="D30" s="291">
        <v>3.6499999999999998E-2</v>
      </c>
      <c r="E30" s="267">
        <f>TRUNC(C30/(1-($E$4+$E$2+$E$3-($E$2+$E$3)*$E$4)),5)</f>
        <v>0</v>
      </c>
    </row>
    <row r="31" spans="1:5" s="268" customFormat="1" ht="14.4" x14ac:dyDescent="0.3">
      <c r="A31" s="270">
        <v>45992</v>
      </c>
      <c r="B31" s="274" t="s">
        <v>195</v>
      </c>
      <c r="C31" s="275"/>
      <c r="D31" s="278" t="s">
        <v>172</v>
      </c>
      <c r="E31" s="267" t="s">
        <v>172</v>
      </c>
    </row>
    <row r="32" spans="1:5" s="268" customFormat="1" ht="14.4" x14ac:dyDescent="0.3">
      <c r="A32" s="270">
        <v>45992</v>
      </c>
      <c r="B32" s="274" t="s">
        <v>196</v>
      </c>
      <c r="C32" s="275"/>
      <c r="D32" s="278" t="s">
        <v>172</v>
      </c>
      <c r="E32" s="267" t="s">
        <v>172</v>
      </c>
    </row>
    <row r="33" spans="1:5" s="268" customFormat="1" ht="15" thickBot="1" x14ac:dyDescent="0.35">
      <c r="A33" s="270">
        <v>45992</v>
      </c>
      <c r="B33" s="280" t="s">
        <v>197</v>
      </c>
      <c r="C33" s="281"/>
      <c r="D33" s="292"/>
      <c r="E33" s="283"/>
    </row>
    <row r="34" spans="1:5" s="268" customFormat="1" ht="15" thickBot="1" x14ac:dyDescent="0.35">
      <c r="A34" s="284">
        <v>45992</v>
      </c>
      <c r="B34" s="285" t="s">
        <v>198</v>
      </c>
      <c r="C34" s="286"/>
      <c r="D34" s="287">
        <v>3.6499999999999998E-2</v>
      </c>
      <c r="E34" s="288">
        <f>TRUNC(C34/(1-($E$4+$E$2+$E$3-($E$2+$E$3)*$E$4)),5)</f>
        <v>0</v>
      </c>
    </row>
    <row r="35" spans="1:5" ht="16.5" customHeight="1" x14ac:dyDescent="0.25">
      <c r="A35" s="1132" t="s">
        <v>199</v>
      </c>
      <c r="B35" s="1133"/>
      <c r="C35" s="1133"/>
      <c r="D35" s="1133"/>
      <c r="E35" s="1134"/>
    </row>
    <row r="36" spans="1:5" ht="13.5" customHeight="1" x14ac:dyDescent="0.25">
      <c r="A36" s="1135"/>
      <c r="B36" s="1136"/>
      <c r="C36" s="1136"/>
      <c r="D36" s="1136"/>
      <c r="E36" s="1137"/>
    </row>
  </sheetData>
  <mergeCells count="3">
    <mergeCell ref="A6:E6"/>
    <mergeCell ref="A7:B7"/>
    <mergeCell ref="A35:E36"/>
  </mergeCells>
  <printOptions horizontalCentered="1"/>
  <pageMargins left="0.59055118110236227" right="0.59055118110236227" top="1.7716535433070868" bottom="0.78740157480314965" header="0" footer="0"/>
  <pageSetup paperSize="9" scale="70" fitToHeight="100" orientation="landscape" r:id="rId1"/>
  <headerFooter scaleWithDoc="0">
    <oddHeader>&amp;L&amp;G</oddHeader>
  </headerFooter>
  <drawing r:id="rId2"/>
  <legacyDrawing r:id="rId3"/>
  <legacyDrawingHF r:id="rId4"/>
  <oleObjects>
    <mc:AlternateContent xmlns:mc="http://schemas.openxmlformats.org/markup-compatibility/2006">
      <mc:Choice Requires="x14">
        <oleObject shapeId="4097" r:id="rId5">
          <objectPr defaultSize="0" autoPict="0" r:id="rId6">
            <anchor moveWithCells="1" sizeWithCells="1">
              <from>
                <xdr:col>0</xdr:col>
                <xdr:colOff>342900</xdr:colOff>
                <xdr:row>0</xdr:row>
                <xdr:rowOff>99060</xdr:rowOff>
              </from>
              <to>
                <xdr:col>0</xdr:col>
                <xdr:colOff>937260</xdr:colOff>
                <xdr:row>3</xdr:row>
                <xdr:rowOff>190500</xdr:rowOff>
              </to>
            </anchor>
          </objectPr>
        </oleObject>
      </mc:Choice>
      <mc:Fallback>
        <oleObject shapeId="4097" r:id="rId5"/>
      </mc:Fallback>
    </mc:AlternateContent>
  </oleObjec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5">
    <tabColor rgb="FFFF0000"/>
  </sheetPr>
  <dimension ref="B1:BB170"/>
  <sheetViews>
    <sheetView showGridLines="0" view="pageBreakPreview" zoomScale="70" zoomScaleNormal="85" zoomScaleSheetLayoutView="70" workbookViewId="0">
      <selection activeCell="K15" sqref="K15:K17"/>
    </sheetView>
  </sheetViews>
  <sheetFormatPr defaultRowHeight="15" x14ac:dyDescent="0.25"/>
  <cols>
    <col min="1" max="1" width="9.109375" style="349"/>
    <col min="2" max="2" width="25.44140625" style="350" customWidth="1"/>
    <col min="3" max="3" width="12.6640625" style="351" customWidth="1"/>
    <col min="4" max="4" width="11.6640625" style="352" bestFit="1" customWidth="1"/>
    <col min="5" max="5" width="10.44140625" style="352" customWidth="1"/>
    <col min="6" max="6" width="9.88671875" style="352" customWidth="1"/>
    <col min="7" max="7" width="10.33203125" style="352" customWidth="1"/>
    <col min="8" max="8" width="11.33203125" style="352" customWidth="1"/>
    <col min="9" max="9" width="10.5546875" style="352" customWidth="1"/>
    <col min="10" max="10" width="9.88671875" style="352" customWidth="1"/>
    <col min="11" max="11" width="16" style="352" customWidth="1"/>
    <col min="12" max="12" width="13.6640625" style="352" customWidth="1"/>
    <col min="13" max="13" width="27.88671875" style="352" bestFit="1" customWidth="1"/>
    <col min="14" max="14" width="22" style="352" bestFit="1" customWidth="1"/>
    <col min="15" max="15" width="25.88671875" style="352" bestFit="1" customWidth="1"/>
    <col min="16" max="16" width="17.88671875" style="352" bestFit="1" customWidth="1"/>
    <col min="17" max="17" width="17" style="352" customWidth="1"/>
    <col min="18" max="18" width="21.33203125" style="297" customWidth="1"/>
    <col min="19" max="19" width="11.5546875" style="297" customWidth="1"/>
    <col min="20" max="54" width="9.109375" style="297"/>
    <col min="55" max="259" width="9.109375" style="349"/>
    <col min="260" max="260" width="3" style="349" customWidth="1"/>
    <col min="261" max="261" width="11.5546875" style="349" bestFit="1" customWidth="1"/>
    <col min="262" max="262" width="17.5546875" style="349" bestFit="1" customWidth="1"/>
    <col min="263" max="263" width="18.88671875" style="349" customWidth="1"/>
    <col min="264" max="264" width="23" style="349" customWidth="1"/>
    <col min="265" max="265" width="21.6640625" style="349" customWidth="1"/>
    <col min="266" max="266" width="23.5546875" style="349" customWidth="1"/>
    <col min="267" max="270" width="21.6640625" style="349" customWidth="1"/>
    <col min="271" max="272" width="23.33203125" style="349" customWidth="1"/>
    <col min="273" max="273" width="20.44140625" style="349" bestFit="1" customWidth="1"/>
    <col min="274" max="274" width="21.33203125" style="349" customWidth="1"/>
    <col min="275" max="275" width="11.5546875" style="349" customWidth="1"/>
    <col min="276" max="515" width="9.109375" style="349"/>
    <col min="516" max="516" width="3" style="349" customWidth="1"/>
    <col min="517" max="517" width="11.5546875" style="349" bestFit="1" customWidth="1"/>
    <col min="518" max="518" width="17.5546875" style="349" bestFit="1" customWidth="1"/>
    <col min="519" max="519" width="18.88671875" style="349" customWidth="1"/>
    <col min="520" max="520" width="23" style="349" customWidth="1"/>
    <col min="521" max="521" width="21.6640625" style="349" customWidth="1"/>
    <col min="522" max="522" width="23.5546875" style="349" customWidth="1"/>
    <col min="523" max="526" width="21.6640625" style="349" customWidth="1"/>
    <col min="527" max="528" width="23.33203125" style="349" customWidth="1"/>
    <col min="529" max="529" width="20.44140625" style="349" bestFit="1" customWidth="1"/>
    <col min="530" max="530" width="21.33203125" style="349" customWidth="1"/>
    <col min="531" max="531" width="11.5546875" style="349" customWidth="1"/>
    <col min="532" max="771" width="9.109375" style="349"/>
    <col min="772" max="772" width="3" style="349" customWidth="1"/>
    <col min="773" max="773" width="11.5546875" style="349" bestFit="1" customWidth="1"/>
    <col min="774" max="774" width="17.5546875" style="349" bestFit="1" customWidth="1"/>
    <col min="775" max="775" width="18.88671875" style="349" customWidth="1"/>
    <col min="776" max="776" width="23" style="349" customWidth="1"/>
    <col min="777" max="777" width="21.6640625" style="349" customWidth="1"/>
    <col min="778" max="778" width="23.5546875" style="349" customWidth="1"/>
    <col min="779" max="782" width="21.6640625" style="349" customWidth="1"/>
    <col min="783" max="784" width="23.33203125" style="349" customWidth="1"/>
    <col min="785" max="785" width="20.44140625" style="349" bestFit="1" customWidth="1"/>
    <col min="786" max="786" width="21.33203125" style="349" customWidth="1"/>
    <col min="787" max="787" width="11.5546875" style="349" customWidth="1"/>
    <col min="788" max="1027" width="9.109375" style="349"/>
    <col min="1028" max="1028" width="3" style="349" customWidth="1"/>
    <col min="1029" max="1029" width="11.5546875" style="349" bestFit="1" customWidth="1"/>
    <col min="1030" max="1030" width="17.5546875" style="349" bestFit="1" customWidth="1"/>
    <col min="1031" max="1031" width="18.88671875" style="349" customWidth="1"/>
    <col min="1032" max="1032" width="23" style="349" customWidth="1"/>
    <col min="1033" max="1033" width="21.6640625" style="349" customWidth="1"/>
    <col min="1034" max="1034" width="23.5546875" style="349" customWidth="1"/>
    <col min="1035" max="1038" width="21.6640625" style="349" customWidth="1"/>
    <col min="1039" max="1040" width="23.33203125" style="349" customWidth="1"/>
    <col min="1041" max="1041" width="20.44140625" style="349" bestFit="1" customWidth="1"/>
    <col min="1042" max="1042" width="21.33203125" style="349" customWidth="1"/>
    <col min="1043" max="1043" width="11.5546875" style="349" customWidth="1"/>
    <col min="1044" max="1283" width="9.109375" style="349"/>
    <col min="1284" max="1284" width="3" style="349" customWidth="1"/>
    <col min="1285" max="1285" width="11.5546875" style="349" bestFit="1" customWidth="1"/>
    <col min="1286" max="1286" width="17.5546875" style="349" bestFit="1" customWidth="1"/>
    <col min="1287" max="1287" width="18.88671875" style="349" customWidth="1"/>
    <col min="1288" max="1288" width="23" style="349" customWidth="1"/>
    <col min="1289" max="1289" width="21.6640625" style="349" customWidth="1"/>
    <col min="1290" max="1290" width="23.5546875" style="349" customWidth="1"/>
    <col min="1291" max="1294" width="21.6640625" style="349" customWidth="1"/>
    <col min="1295" max="1296" width="23.33203125" style="349" customWidth="1"/>
    <col min="1297" max="1297" width="20.44140625" style="349" bestFit="1" customWidth="1"/>
    <col min="1298" max="1298" width="21.33203125" style="349" customWidth="1"/>
    <col min="1299" max="1299" width="11.5546875" style="349" customWidth="1"/>
    <col min="1300" max="1539" width="9.109375" style="349"/>
    <col min="1540" max="1540" width="3" style="349" customWidth="1"/>
    <col min="1541" max="1541" width="11.5546875" style="349" bestFit="1" customWidth="1"/>
    <col min="1542" max="1542" width="17.5546875" style="349" bestFit="1" customWidth="1"/>
    <col min="1543" max="1543" width="18.88671875" style="349" customWidth="1"/>
    <col min="1544" max="1544" width="23" style="349" customWidth="1"/>
    <col min="1545" max="1545" width="21.6640625" style="349" customWidth="1"/>
    <col min="1546" max="1546" width="23.5546875" style="349" customWidth="1"/>
    <col min="1547" max="1550" width="21.6640625" style="349" customWidth="1"/>
    <col min="1551" max="1552" width="23.33203125" style="349" customWidth="1"/>
    <col min="1553" max="1553" width="20.44140625" style="349" bestFit="1" customWidth="1"/>
    <col min="1554" max="1554" width="21.33203125" style="349" customWidth="1"/>
    <col min="1555" max="1555" width="11.5546875" style="349" customWidth="1"/>
    <col min="1556" max="1795" width="9.109375" style="349"/>
    <col min="1796" max="1796" width="3" style="349" customWidth="1"/>
    <col min="1797" max="1797" width="11.5546875" style="349" bestFit="1" customWidth="1"/>
    <col min="1798" max="1798" width="17.5546875" style="349" bestFit="1" customWidth="1"/>
    <col min="1799" max="1799" width="18.88671875" style="349" customWidth="1"/>
    <col min="1800" max="1800" width="23" style="349" customWidth="1"/>
    <col min="1801" max="1801" width="21.6640625" style="349" customWidth="1"/>
    <col min="1802" max="1802" width="23.5546875" style="349" customWidth="1"/>
    <col min="1803" max="1806" width="21.6640625" style="349" customWidth="1"/>
    <col min="1807" max="1808" width="23.33203125" style="349" customWidth="1"/>
    <col min="1809" max="1809" width="20.44140625" style="349" bestFit="1" customWidth="1"/>
    <col min="1810" max="1810" width="21.33203125" style="349" customWidth="1"/>
    <col min="1811" max="1811" width="11.5546875" style="349" customWidth="1"/>
    <col min="1812" max="2051" width="9.109375" style="349"/>
    <col min="2052" max="2052" width="3" style="349" customWidth="1"/>
    <col min="2053" max="2053" width="11.5546875" style="349" bestFit="1" customWidth="1"/>
    <col min="2054" max="2054" width="17.5546875" style="349" bestFit="1" customWidth="1"/>
    <col min="2055" max="2055" width="18.88671875" style="349" customWidth="1"/>
    <col min="2056" max="2056" width="23" style="349" customWidth="1"/>
    <col min="2057" max="2057" width="21.6640625" style="349" customWidth="1"/>
    <col min="2058" max="2058" width="23.5546875" style="349" customWidth="1"/>
    <col min="2059" max="2062" width="21.6640625" style="349" customWidth="1"/>
    <col min="2063" max="2064" width="23.33203125" style="349" customWidth="1"/>
    <col min="2065" max="2065" width="20.44140625" style="349" bestFit="1" customWidth="1"/>
    <col min="2066" max="2066" width="21.33203125" style="349" customWidth="1"/>
    <col min="2067" max="2067" width="11.5546875" style="349" customWidth="1"/>
    <col min="2068" max="2307" width="9.109375" style="349"/>
    <col min="2308" max="2308" width="3" style="349" customWidth="1"/>
    <col min="2309" max="2309" width="11.5546875" style="349" bestFit="1" customWidth="1"/>
    <col min="2310" max="2310" width="17.5546875" style="349" bestFit="1" customWidth="1"/>
    <col min="2311" max="2311" width="18.88671875" style="349" customWidth="1"/>
    <col min="2312" max="2312" width="23" style="349" customWidth="1"/>
    <col min="2313" max="2313" width="21.6640625" style="349" customWidth="1"/>
    <col min="2314" max="2314" width="23.5546875" style="349" customWidth="1"/>
    <col min="2315" max="2318" width="21.6640625" style="349" customWidth="1"/>
    <col min="2319" max="2320" width="23.33203125" style="349" customWidth="1"/>
    <col min="2321" max="2321" width="20.44140625" style="349" bestFit="1" customWidth="1"/>
    <col min="2322" max="2322" width="21.33203125" style="349" customWidth="1"/>
    <col min="2323" max="2323" width="11.5546875" style="349" customWidth="1"/>
    <col min="2324" max="2563" width="9.109375" style="349"/>
    <col min="2564" max="2564" width="3" style="349" customWidth="1"/>
    <col min="2565" max="2565" width="11.5546875" style="349" bestFit="1" customWidth="1"/>
    <col min="2566" max="2566" width="17.5546875" style="349" bestFit="1" customWidth="1"/>
    <col min="2567" max="2567" width="18.88671875" style="349" customWidth="1"/>
    <col min="2568" max="2568" width="23" style="349" customWidth="1"/>
    <col min="2569" max="2569" width="21.6640625" style="349" customWidth="1"/>
    <col min="2570" max="2570" width="23.5546875" style="349" customWidth="1"/>
    <col min="2571" max="2574" width="21.6640625" style="349" customWidth="1"/>
    <col min="2575" max="2576" width="23.33203125" style="349" customWidth="1"/>
    <col min="2577" max="2577" width="20.44140625" style="349" bestFit="1" customWidth="1"/>
    <col min="2578" max="2578" width="21.33203125" style="349" customWidth="1"/>
    <col min="2579" max="2579" width="11.5546875" style="349" customWidth="1"/>
    <col min="2580" max="2819" width="9.109375" style="349"/>
    <col min="2820" max="2820" width="3" style="349" customWidth="1"/>
    <col min="2821" max="2821" width="11.5546875" style="349" bestFit="1" customWidth="1"/>
    <col min="2822" max="2822" width="17.5546875" style="349" bestFit="1" customWidth="1"/>
    <col min="2823" max="2823" width="18.88671875" style="349" customWidth="1"/>
    <col min="2824" max="2824" width="23" style="349" customWidth="1"/>
    <col min="2825" max="2825" width="21.6640625" style="349" customWidth="1"/>
    <col min="2826" max="2826" width="23.5546875" style="349" customWidth="1"/>
    <col min="2827" max="2830" width="21.6640625" style="349" customWidth="1"/>
    <col min="2831" max="2832" width="23.33203125" style="349" customWidth="1"/>
    <col min="2833" max="2833" width="20.44140625" style="349" bestFit="1" customWidth="1"/>
    <col min="2834" max="2834" width="21.33203125" style="349" customWidth="1"/>
    <col min="2835" max="2835" width="11.5546875" style="349" customWidth="1"/>
    <col min="2836" max="3075" width="9.109375" style="349"/>
    <col min="3076" max="3076" width="3" style="349" customWidth="1"/>
    <col min="3077" max="3077" width="11.5546875" style="349" bestFit="1" customWidth="1"/>
    <col min="3078" max="3078" width="17.5546875" style="349" bestFit="1" customWidth="1"/>
    <col min="3079" max="3079" width="18.88671875" style="349" customWidth="1"/>
    <col min="3080" max="3080" width="23" style="349" customWidth="1"/>
    <col min="3081" max="3081" width="21.6640625" style="349" customWidth="1"/>
    <col min="3082" max="3082" width="23.5546875" style="349" customWidth="1"/>
    <col min="3083" max="3086" width="21.6640625" style="349" customWidth="1"/>
    <col min="3087" max="3088" width="23.33203125" style="349" customWidth="1"/>
    <col min="3089" max="3089" width="20.44140625" style="349" bestFit="1" customWidth="1"/>
    <col min="3090" max="3090" width="21.33203125" style="349" customWidth="1"/>
    <col min="3091" max="3091" width="11.5546875" style="349" customWidth="1"/>
    <col min="3092" max="3331" width="9.109375" style="349"/>
    <col min="3332" max="3332" width="3" style="349" customWidth="1"/>
    <col min="3333" max="3333" width="11.5546875" style="349" bestFit="1" customWidth="1"/>
    <col min="3334" max="3334" width="17.5546875" style="349" bestFit="1" customWidth="1"/>
    <col min="3335" max="3335" width="18.88671875" style="349" customWidth="1"/>
    <col min="3336" max="3336" width="23" style="349" customWidth="1"/>
    <col min="3337" max="3337" width="21.6640625" style="349" customWidth="1"/>
    <col min="3338" max="3338" width="23.5546875" style="349" customWidth="1"/>
    <col min="3339" max="3342" width="21.6640625" style="349" customWidth="1"/>
    <col min="3343" max="3344" width="23.33203125" style="349" customWidth="1"/>
    <col min="3345" max="3345" width="20.44140625" style="349" bestFit="1" customWidth="1"/>
    <col min="3346" max="3346" width="21.33203125" style="349" customWidth="1"/>
    <col min="3347" max="3347" width="11.5546875" style="349" customWidth="1"/>
    <col min="3348" max="3587" width="9.109375" style="349"/>
    <col min="3588" max="3588" width="3" style="349" customWidth="1"/>
    <col min="3589" max="3589" width="11.5546875" style="349" bestFit="1" customWidth="1"/>
    <col min="3590" max="3590" width="17.5546875" style="349" bestFit="1" customWidth="1"/>
    <col min="3591" max="3591" width="18.88671875" style="349" customWidth="1"/>
    <col min="3592" max="3592" width="23" style="349" customWidth="1"/>
    <col min="3593" max="3593" width="21.6640625" style="349" customWidth="1"/>
    <col min="3594" max="3594" width="23.5546875" style="349" customWidth="1"/>
    <col min="3595" max="3598" width="21.6640625" style="349" customWidth="1"/>
    <col min="3599" max="3600" width="23.33203125" style="349" customWidth="1"/>
    <col min="3601" max="3601" width="20.44140625" style="349" bestFit="1" customWidth="1"/>
    <col min="3602" max="3602" width="21.33203125" style="349" customWidth="1"/>
    <col min="3603" max="3603" width="11.5546875" style="349" customWidth="1"/>
    <col min="3604" max="3843" width="9.109375" style="349"/>
    <col min="3844" max="3844" width="3" style="349" customWidth="1"/>
    <col min="3845" max="3845" width="11.5546875" style="349" bestFit="1" customWidth="1"/>
    <col min="3846" max="3846" width="17.5546875" style="349" bestFit="1" customWidth="1"/>
    <col min="3847" max="3847" width="18.88671875" style="349" customWidth="1"/>
    <col min="3848" max="3848" width="23" style="349" customWidth="1"/>
    <col min="3849" max="3849" width="21.6640625" style="349" customWidth="1"/>
    <col min="3850" max="3850" width="23.5546875" style="349" customWidth="1"/>
    <col min="3851" max="3854" width="21.6640625" style="349" customWidth="1"/>
    <col min="3855" max="3856" width="23.33203125" style="349" customWidth="1"/>
    <col min="3857" max="3857" width="20.44140625" style="349" bestFit="1" customWidth="1"/>
    <col min="3858" max="3858" width="21.33203125" style="349" customWidth="1"/>
    <col min="3859" max="3859" width="11.5546875" style="349" customWidth="1"/>
    <col min="3860" max="4099" width="9.109375" style="349"/>
    <col min="4100" max="4100" width="3" style="349" customWidth="1"/>
    <col min="4101" max="4101" width="11.5546875" style="349" bestFit="1" customWidth="1"/>
    <col min="4102" max="4102" width="17.5546875" style="349" bestFit="1" customWidth="1"/>
    <col min="4103" max="4103" width="18.88671875" style="349" customWidth="1"/>
    <col min="4104" max="4104" width="23" style="349" customWidth="1"/>
    <col min="4105" max="4105" width="21.6640625" style="349" customWidth="1"/>
    <col min="4106" max="4106" width="23.5546875" style="349" customWidth="1"/>
    <col min="4107" max="4110" width="21.6640625" style="349" customWidth="1"/>
    <col min="4111" max="4112" width="23.33203125" style="349" customWidth="1"/>
    <col min="4113" max="4113" width="20.44140625" style="349" bestFit="1" customWidth="1"/>
    <col min="4114" max="4114" width="21.33203125" style="349" customWidth="1"/>
    <col min="4115" max="4115" width="11.5546875" style="349" customWidth="1"/>
    <col min="4116" max="4355" width="9.109375" style="349"/>
    <col min="4356" max="4356" width="3" style="349" customWidth="1"/>
    <col min="4357" max="4357" width="11.5546875" style="349" bestFit="1" customWidth="1"/>
    <col min="4358" max="4358" width="17.5546875" style="349" bestFit="1" customWidth="1"/>
    <col min="4359" max="4359" width="18.88671875" style="349" customWidth="1"/>
    <col min="4360" max="4360" width="23" style="349" customWidth="1"/>
    <col min="4361" max="4361" width="21.6640625" style="349" customWidth="1"/>
    <col min="4362" max="4362" width="23.5546875" style="349" customWidth="1"/>
    <col min="4363" max="4366" width="21.6640625" style="349" customWidth="1"/>
    <col min="4367" max="4368" width="23.33203125" style="349" customWidth="1"/>
    <col min="4369" max="4369" width="20.44140625" style="349" bestFit="1" customWidth="1"/>
    <col min="4370" max="4370" width="21.33203125" style="349" customWidth="1"/>
    <col min="4371" max="4371" width="11.5546875" style="349" customWidth="1"/>
    <col min="4372" max="4611" width="9.109375" style="349"/>
    <col min="4612" max="4612" width="3" style="349" customWidth="1"/>
    <col min="4613" max="4613" width="11.5546875" style="349" bestFit="1" customWidth="1"/>
    <col min="4614" max="4614" width="17.5546875" style="349" bestFit="1" customWidth="1"/>
    <col min="4615" max="4615" width="18.88671875" style="349" customWidth="1"/>
    <col min="4616" max="4616" width="23" style="349" customWidth="1"/>
    <col min="4617" max="4617" width="21.6640625" style="349" customWidth="1"/>
    <col min="4618" max="4618" width="23.5546875" style="349" customWidth="1"/>
    <col min="4619" max="4622" width="21.6640625" style="349" customWidth="1"/>
    <col min="4623" max="4624" width="23.33203125" style="349" customWidth="1"/>
    <col min="4625" max="4625" width="20.44140625" style="349" bestFit="1" customWidth="1"/>
    <col min="4626" max="4626" width="21.33203125" style="349" customWidth="1"/>
    <col min="4627" max="4627" width="11.5546875" style="349" customWidth="1"/>
    <col min="4628" max="4867" width="9.109375" style="349"/>
    <col min="4868" max="4868" width="3" style="349" customWidth="1"/>
    <col min="4869" max="4869" width="11.5546875" style="349" bestFit="1" customWidth="1"/>
    <col min="4870" max="4870" width="17.5546875" style="349" bestFit="1" customWidth="1"/>
    <col min="4871" max="4871" width="18.88671875" style="349" customWidth="1"/>
    <col min="4872" max="4872" width="23" style="349" customWidth="1"/>
    <col min="4873" max="4873" width="21.6640625" style="349" customWidth="1"/>
    <col min="4874" max="4874" width="23.5546875" style="349" customWidth="1"/>
    <col min="4875" max="4878" width="21.6640625" style="349" customWidth="1"/>
    <col min="4879" max="4880" width="23.33203125" style="349" customWidth="1"/>
    <col min="4881" max="4881" width="20.44140625" style="349" bestFit="1" customWidth="1"/>
    <col min="4882" max="4882" width="21.33203125" style="349" customWidth="1"/>
    <col min="4883" max="4883" width="11.5546875" style="349" customWidth="1"/>
    <col min="4884" max="5123" width="9.109375" style="349"/>
    <col min="5124" max="5124" width="3" style="349" customWidth="1"/>
    <col min="5125" max="5125" width="11.5546875" style="349" bestFit="1" customWidth="1"/>
    <col min="5126" max="5126" width="17.5546875" style="349" bestFit="1" customWidth="1"/>
    <col min="5127" max="5127" width="18.88671875" style="349" customWidth="1"/>
    <col min="5128" max="5128" width="23" style="349" customWidth="1"/>
    <col min="5129" max="5129" width="21.6640625" style="349" customWidth="1"/>
    <col min="5130" max="5130" width="23.5546875" style="349" customWidth="1"/>
    <col min="5131" max="5134" width="21.6640625" style="349" customWidth="1"/>
    <col min="5135" max="5136" width="23.33203125" style="349" customWidth="1"/>
    <col min="5137" max="5137" width="20.44140625" style="349" bestFit="1" customWidth="1"/>
    <col min="5138" max="5138" width="21.33203125" style="349" customWidth="1"/>
    <col min="5139" max="5139" width="11.5546875" style="349" customWidth="1"/>
    <col min="5140" max="5379" width="9.109375" style="349"/>
    <col min="5380" max="5380" width="3" style="349" customWidth="1"/>
    <col min="5381" max="5381" width="11.5546875" style="349" bestFit="1" customWidth="1"/>
    <col min="5382" max="5382" width="17.5546875" style="349" bestFit="1" customWidth="1"/>
    <col min="5383" max="5383" width="18.88671875" style="349" customWidth="1"/>
    <col min="5384" max="5384" width="23" style="349" customWidth="1"/>
    <col min="5385" max="5385" width="21.6640625" style="349" customWidth="1"/>
    <col min="5386" max="5386" width="23.5546875" style="349" customWidth="1"/>
    <col min="5387" max="5390" width="21.6640625" style="349" customWidth="1"/>
    <col min="5391" max="5392" width="23.33203125" style="349" customWidth="1"/>
    <col min="5393" max="5393" width="20.44140625" style="349" bestFit="1" customWidth="1"/>
    <col min="5394" max="5394" width="21.33203125" style="349" customWidth="1"/>
    <col min="5395" max="5395" width="11.5546875" style="349" customWidth="1"/>
    <col min="5396" max="5635" width="9.109375" style="349"/>
    <col min="5636" max="5636" width="3" style="349" customWidth="1"/>
    <col min="5637" max="5637" width="11.5546875" style="349" bestFit="1" customWidth="1"/>
    <col min="5638" max="5638" width="17.5546875" style="349" bestFit="1" customWidth="1"/>
    <col min="5639" max="5639" width="18.88671875" style="349" customWidth="1"/>
    <col min="5640" max="5640" width="23" style="349" customWidth="1"/>
    <col min="5641" max="5641" width="21.6640625" style="349" customWidth="1"/>
    <col min="5642" max="5642" width="23.5546875" style="349" customWidth="1"/>
    <col min="5643" max="5646" width="21.6640625" style="349" customWidth="1"/>
    <col min="5647" max="5648" width="23.33203125" style="349" customWidth="1"/>
    <col min="5649" max="5649" width="20.44140625" style="349" bestFit="1" customWidth="1"/>
    <col min="5650" max="5650" width="21.33203125" style="349" customWidth="1"/>
    <col min="5651" max="5651" width="11.5546875" style="349" customWidth="1"/>
    <col min="5652" max="5891" width="9.109375" style="349"/>
    <col min="5892" max="5892" width="3" style="349" customWidth="1"/>
    <col min="5893" max="5893" width="11.5546875" style="349" bestFit="1" customWidth="1"/>
    <col min="5894" max="5894" width="17.5546875" style="349" bestFit="1" customWidth="1"/>
    <col min="5895" max="5895" width="18.88671875" style="349" customWidth="1"/>
    <col min="5896" max="5896" width="23" style="349" customWidth="1"/>
    <col min="5897" max="5897" width="21.6640625" style="349" customWidth="1"/>
    <col min="5898" max="5898" width="23.5546875" style="349" customWidth="1"/>
    <col min="5899" max="5902" width="21.6640625" style="349" customWidth="1"/>
    <col min="5903" max="5904" width="23.33203125" style="349" customWidth="1"/>
    <col min="5905" max="5905" width="20.44140625" style="349" bestFit="1" customWidth="1"/>
    <col min="5906" max="5906" width="21.33203125" style="349" customWidth="1"/>
    <col min="5907" max="5907" width="11.5546875" style="349" customWidth="1"/>
    <col min="5908" max="6147" width="9.109375" style="349"/>
    <col min="6148" max="6148" width="3" style="349" customWidth="1"/>
    <col min="6149" max="6149" width="11.5546875" style="349" bestFit="1" customWidth="1"/>
    <col min="6150" max="6150" width="17.5546875" style="349" bestFit="1" customWidth="1"/>
    <col min="6151" max="6151" width="18.88671875" style="349" customWidth="1"/>
    <col min="6152" max="6152" width="23" style="349" customWidth="1"/>
    <col min="6153" max="6153" width="21.6640625" style="349" customWidth="1"/>
    <col min="6154" max="6154" width="23.5546875" style="349" customWidth="1"/>
    <col min="6155" max="6158" width="21.6640625" style="349" customWidth="1"/>
    <col min="6159" max="6160" width="23.33203125" style="349" customWidth="1"/>
    <col min="6161" max="6161" width="20.44140625" style="349" bestFit="1" customWidth="1"/>
    <col min="6162" max="6162" width="21.33203125" style="349" customWidth="1"/>
    <col min="6163" max="6163" width="11.5546875" style="349" customWidth="1"/>
    <col min="6164" max="6403" width="9.109375" style="349"/>
    <col min="6404" max="6404" width="3" style="349" customWidth="1"/>
    <col min="6405" max="6405" width="11.5546875" style="349" bestFit="1" customWidth="1"/>
    <col min="6406" max="6406" width="17.5546875" style="349" bestFit="1" customWidth="1"/>
    <col min="6407" max="6407" width="18.88671875" style="349" customWidth="1"/>
    <col min="6408" max="6408" width="23" style="349" customWidth="1"/>
    <col min="6409" max="6409" width="21.6640625" style="349" customWidth="1"/>
    <col min="6410" max="6410" width="23.5546875" style="349" customWidth="1"/>
    <col min="6411" max="6414" width="21.6640625" style="349" customWidth="1"/>
    <col min="6415" max="6416" width="23.33203125" style="349" customWidth="1"/>
    <col min="6417" max="6417" width="20.44140625" style="349" bestFit="1" customWidth="1"/>
    <col min="6418" max="6418" width="21.33203125" style="349" customWidth="1"/>
    <col min="6419" max="6419" width="11.5546875" style="349" customWidth="1"/>
    <col min="6420" max="6659" width="9.109375" style="349"/>
    <col min="6660" max="6660" width="3" style="349" customWidth="1"/>
    <col min="6661" max="6661" width="11.5546875" style="349" bestFit="1" customWidth="1"/>
    <col min="6662" max="6662" width="17.5546875" style="349" bestFit="1" customWidth="1"/>
    <col min="6663" max="6663" width="18.88671875" style="349" customWidth="1"/>
    <col min="6664" max="6664" width="23" style="349" customWidth="1"/>
    <col min="6665" max="6665" width="21.6640625" style="349" customWidth="1"/>
    <col min="6666" max="6666" width="23.5546875" style="349" customWidth="1"/>
    <col min="6667" max="6670" width="21.6640625" style="349" customWidth="1"/>
    <col min="6671" max="6672" width="23.33203125" style="349" customWidth="1"/>
    <col min="6673" max="6673" width="20.44140625" style="349" bestFit="1" customWidth="1"/>
    <col min="6674" max="6674" width="21.33203125" style="349" customWidth="1"/>
    <col min="6675" max="6675" width="11.5546875" style="349" customWidth="1"/>
    <col min="6676" max="6915" width="9.109375" style="349"/>
    <col min="6916" max="6916" width="3" style="349" customWidth="1"/>
    <col min="6917" max="6917" width="11.5546875" style="349" bestFit="1" customWidth="1"/>
    <col min="6918" max="6918" width="17.5546875" style="349" bestFit="1" customWidth="1"/>
    <col min="6919" max="6919" width="18.88671875" style="349" customWidth="1"/>
    <col min="6920" max="6920" width="23" style="349" customWidth="1"/>
    <col min="6921" max="6921" width="21.6640625" style="349" customWidth="1"/>
    <col min="6922" max="6922" width="23.5546875" style="349" customWidth="1"/>
    <col min="6923" max="6926" width="21.6640625" style="349" customWidth="1"/>
    <col min="6927" max="6928" width="23.33203125" style="349" customWidth="1"/>
    <col min="6929" max="6929" width="20.44140625" style="349" bestFit="1" customWidth="1"/>
    <col min="6930" max="6930" width="21.33203125" style="349" customWidth="1"/>
    <col min="6931" max="6931" width="11.5546875" style="349" customWidth="1"/>
    <col min="6932" max="7171" width="9.109375" style="349"/>
    <col min="7172" max="7172" width="3" style="349" customWidth="1"/>
    <col min="7173" max="7173" width="11.5546875" style="349" bestFit="1" customWidth="1"/>
    <col min="7174" max="7174" width="17.5546875" style="349" bestFit="1" customWidth="1"/>
    <col min="7175" max="7175" width="18.88671875" style="349" customWidth="1"/>
    <col min="7176" max="7176" width="23" style="349" customWidth="1"/>
    <col min="7177" max="7177" width="21.6640625" style="349" customWidth="1"/>
    <col min="7178" max="7178" width="23.5546875" style="349" customWidth="1"/>
    <col min="7179" max="7182" width="21.6640625" style="349" customWidth="1"/>
    <col min="7183" max="7184" width="23.33203125" style="349" customWidth="1"/>
    <col min="7185" max="7185" width="20.44140625" style="349" bestFit="1" customWidth="1"/>
    <col min="7186" max="7186" width="21.33203125" style="349" customWidth="1"/>
    <col min="7187" max="7187" width="11.5546875" style="349" customWidth="1"/>
    <col min="7188" max="7427" width="9.109375" style="349"/>
    <col min="7428" max="7428" width="3" style="349" customWidth="1"/>
    <col min="7429" max="7429" width="11.5546875" style="349" bestFit="1" customWidth="1"/>
    <col min="7430" max="7430" width="17.5546875" style="349" bestFit="1" customWidth="1"/>
    <col min="7431" max="7431" width="18.88671875" style="349" customWidth="1"/>
    <col min="7432" max="7432" width="23" style="349" customWidth="1"/>
    <col min="7433" max="7433" width="21.6640625" style="349" customWidth="1"/>
    <col min="7434" max="7434" width="23.5546875" style="349" customWidth="1"/>
    <col min="7435" max="7438" width="21.6640625" style="349" customWidth="1"/>
    <col min="7439" max="7440" width="23.33203125" style="349" customWidth="1"/>
    <col min="7441" max="7441" width="20.44140625" style="349" bestFit="1" customWidth="1"/>
    <col min="7442" max="7442" width="21.33203125" style="349" customWidth="1"/>
    <col min="7443" max="7443" width="11.5546875" style="349" customWidth="1"/>
    <col min="7444" max="7683" width="9.109375" style="349"/>
    <col min="7684" max="7684" width="3" style="349" customWidth="1"/>
    <col min="7685" max="7685" width="11.5546875" style="349" bestFit="1" customWidth="1"/>
    <col min="7686" max="7686" width="17.5546875" style="349" bestFit="1" customWidth="1"/>
    <col min="7687" max="7687" width="18.88671875" style="349" customWidth="1"/>
    <col min="7688" max="7688" width="23" style="349" customWidth="1"/>
    <col min="7689" max="7689" width="21.6640625" style="349" customWidth="1"/>
    <col min="7690" max="7690" width="23.5546875" style="349" customWidth="1"/>
    <col min="7691" max="7694" width="21.6640625" style="349" customWidth="1"/>
    <col min="7695" max="7696" width="23.33203125" style="349" customWidth="1"/>
    <col min="7697" max="7697" width="20.44140625" style="349" bestFit="1" customWidth="1"/>
    <col min="7698" max="7698" width="21.33203125" style="349" customWidth="1"/>
    <col min="7699" max="7699" width="11.5546875" style="349" customWidth="1"/>
    <col min="7700" max="7939" width="9.109375" style="349"/>
    <col min="7940" max="7940" width="3" style="349" customWidth="1"/>
    <col min="7941" max="7941" width="11.5546875" style="349" bestFit="1" customWidth="1"/>
    <col min="7942" max="7942" width="17.5546875" style="349" bestFit="1" customWidth="1"/>
    <col min="7943" max="7943" width="18.88671875" style="349" customWidth="1"/>
    <col min="7944" max="7944" width="23" style="349" customWidth="1"/>
    <col min="7945" max="7945" width="21.6640625" style="349" customWidth="1"/>
    <col min="7946" max="7946" width="23.5546875" style="349" customWidth="1"/>
    <col min="7947" max="7950" width="21.6640625" style="349" customWidth="1"/>
    <col min="7951" max="7952" width="23.33203125" style="349" customWidth="1"/>
    <col min="7953" max="7953" width="20.44140625" style="349" bestFit="1" customWidth="1"/>
    <col min="7954" max="7954" width="21.33203125" style="349" customWidth="1"/>
    <col min="7955" max="7955" width="11.5546875" style="349" customWidth="1"/>
    <col min="7956" max="8195" width="9.109375" style="349"/>
    <col min="8196" max="8196" width="3" style="349" customWidth="1"/>
    <col min="8197" max="8197" width="11.5546875" style="349" bestFit="1" customWidth="1"/>
    <col min="8198" max="8198" width="17.5546875" style="349" bestFit="1" customWidth="1"/>
    <col min="8199" max="8199" width="18.88671875" style="349" customWidth="1"/>
    <col min="8200" max="8200" width="23" style="349" customWidth="1"/>
    <col min="8201" max="8201" width="21.6640625" style="349" customWidth="1"/>
    <col min="8202" max="8202" width="23.5546875" style="349" customWidth="1"/>
    <col min="8203" max="8206" width="21.6640625" style="349" customWidth="1"/>
    <col min="8207" max="8208" width="23.33203125" style="349" customWidth="1"/>
    <col min="8209" max="8209" width="20.44140625" style="349" bestFit="1" customWidth="1"/>
    <col min="8210" max="8210" width="21.33203125" style="349" customWidth="1"/>
    <col min="8211" max="8211" width="11.5546875" style="349" customWidth="1"/>
    <col min="8212" max="8451" width="9.109375" style="349"/>
    <col min="8452" max="8452" width="3" style="349" customWidth="1"/>
    <col min="8453" max="8453" width="11.5546875" style="349" bestFit="1" customWidth="1"/>
    <col min="8454" max="8454" width="17.5546875" style="349" bestFit="1" customWidth="1"/>
    <col min="8455" max="8455" width="18.88671875" style="349" customWidth="1"/>
    <col min="8456" max="8456" width="23" style="349" customWidth="1"/>
    <col min="8457" max="8457" width="21.6640625" style="349" customWidth="1"/>
    <col min="8458" max="8458" width="23.5546875" style="349" customWidth="1"/>
    <col min="8459" max="8462" width="21.6640625" style="349" customWidth="1"/>
    <col min="8463" max="8464" width="23.33203125" style="349" customWidth="1"/>
    <col min="8465" max="8465" width="20.44140625" style="349" bestFit="1" customWidth="1"/>
    <col min="8466" max="8466" width="21.33203125" style="349" customWidth="1"/>
    <col min="8467" max="8467" width="11.5546875" style="349" customWidth="1"/>
    <col min="8468" max="8707" width="9.109375" style="349"/>
    <col min="8708" max="8708" width="3" style="349" customWidth="1"/>
    <col min="8709" max="8709" width="11.5546875" style="349" bestFit="1" customWidth="1"/>
    <col min="8710" max="8710" width="17.5546875" style="349" bestFit="1" customWidth="1"/>
    <col min="8711" max="8711" width="18.88671875" style="349" customWidth="1"/>
    <col min="8712" max="8712" width="23" style="349" customWidth="1"/>
    <col min="8713" max="8713" width="21.6640625" style="349" customWidth="1"/>
    <col min="8714" max="8714" width="23.5546875" style="349" customWidth="1"/>
    <col min="8715" max="8718" width="21.6640625" style="349" customWidth="1"/>
    <col min="8719" max="8720" width="23.33203125" style="349" customWidth="1"/>
    <col min="8721" max="8721" width="20.44140625" style="349" bestFit="1" customWidth="1"/>
    <col min="8722" max="8722" width="21.33203125" style="349" customWidth="1"/>
    <col min="8723" max="8723" width="11.5546875" style="349" customWidth="1"/>
    <col min="8724" max="8963" width="9.109375" style="349"/>
    <col min="8964" max="8964" width="3" style="349" customWidth="1"/>
    <col min="8965" max="8965" width="11.5546875" style="349" bestFit="1" customWidth="1"/>
    <col min="8966" max="8966" width="17.5546875" style="349" bestFit="1" customWidth="1"/>
    <col min="8967" max="8967" width="18.88671875" style="349" customWidth="1"/>
    <col min="8968" max="8968" width="23" style="349" customWidth="1"/>
    <col min="8969" max="8969" width="21.6640625" style="349" customWidth="1"/>
    <col min="8970" max="8970" width="23.5546875" style="349" customWidth="1"/>
    <col min="8971" max="8974" width="21.6640625" style="349" customWidth="1"/>
    <col min="8975" max="8976" width="23.33203125" style="349" customWidth="1"/>
    <col min="8977" max="8977" width="20.44140625" style="349" bestFit="1" customWidth="1"/>
    <col min="8978" max="8978" width="21.33203125" style="349" customWidth="1"/>
    <col min="8979" max="8979" width="11.5546875" style="349" customWidth="1"/>
    <col min="8980" max="9219" width="9.109375" style="349"/>
    <col min="9220" max="9220" width="3" style="349" customWidth="1"/>
    <col min="9221" max="9221" width="11.5546875" style="349" bestFit="1" customWidth="1"/>
    <col min="9222" max="9222" width="17.5546875" style="349" bestFit="1" customWidth="1"/>
    <col min="9223" max="9223" width="18.88671875" style="349" customWidth="1"/>
    <col min="9224" max="9224" width="23" style="349" customWidth="1"/>
    <col min="9225" max="9225" width="21.6640625" style="349" customWidth="1"/>
    <col min="9226" max="9226" width="23.5546875" style="349" customWidth="1"/>
    <col min="9227" max="9230" width="21.6640625" style="349" customWidth="1"/>
    <col min="9231" max="9232" width="23.33203125" style="349" customWidth="1"/>
    <col min="9233" max="9233" width="20.44140625" style="349" bestFit="1" customWidth="1"/>
    <col min="9234" max="9234" width="21.33203125" style="349" customWidth="1"/>
    <col min="9235" max="9235" width="11.5546875" style="349" customWidth="1"/>
    <col min="9236" max="9475" width="9.109375" style="349"/>
    <col min="9476" max="9476" width="3" style="349" customWidth="1"/>
    <col min="9477" max="9477" width="11.5546875" style="349" bestFit="1" customWidth="1"/>
    <col min="9478" max="9478" width="17.5546875" style="349" bestFit="1" customWidth="1"/>
    <col min="9479" max="9479" width="18.88671875" style="349" customWidth="1"/>
    <col min="9480" max="9480" width="23" style="349" customWidth="1"/>
    <col min="9481" max="9481" width="21.6640625" style="349" customWidth="1"/>
    <col min="9482" max="9482" width="23.5546875" style="349" customWidth="1"/>
    <col min="9483" max="9486" width="21.6640625" style="349" customWidth="1"/>
    <col min="9487" max="9488" width="23.33203125" style="349" customWidth="1"/>
    <col min="9489" max="9489" width="20.44140625" style="349" bestFit="1" customWidth="1"/>
    <col min="9490" max="9490" width="21.33203125" style="349" customWidth="1"/>
    <col min="9491" max="9491" width="11.5546875" style="349" customWidth="1"/>
    <col min="9492" max="9731" width="9.109375" style="349"/>
    <col min="9732" max="9732" width="3" style="349" customWidth="1"/>
    <col min="9733" max="9733" width="11.5546875" style="349" bestFit="1" customWidth="1"/>
    <col min="9734" max="9734" width="17.5546875" style="349" bestFit="1" customWidth="1"/>
    <col min="9735" max="9735" width="18.88671875" style="349" customWidth="1"/>
    <col min="9736" max="9736" width="23" style="349" customWidth="1"/>
    <col min="9737" max="9737" width="21.6640625" style="349" customWidth="1"/>
    <col min="9738" max="9738" width="23.5546875" style="349" customWidth="1"/>
    <col min="9739" max="9742" width="21.6640625" style="349" customWidth="1"/>
    <col min="9743" max="9744" width="23.33203125" style="349" customWidth="1"/>
    <col min="9745" max="9745" width="20.44140625" style="349" bestFit="1" customWidth="1"/>
    <col min="9746" max="9746" width="21.33203125" style="349" customWidth="1"/>
    <col min="9747" max="9747" width="11.5546875" style="349" customWidth="1"/>
    <col min="9748" max="9987" width="9.109375" style="349"/>
    <col min="9988" max="9988" width="3" style="349" customWidth="1"/>
    <col min="9989" max="9989" width="11.5546875" style="349" bestFit="1" customWidth="1"/>
    <col min="9990" max="9990" width="17.5546875" style="349" bestFit="1" customWidth="1"/>
    <col min="9991" max="9991" width="18.88671875" style="349" customWidth="1"/>
    <col min="9992" max="9992" width="23" style="349" customWidth="1"/>
    <col min="9993" max="9993" width="21.6640625" style="349" customWidth="1"/>
    <col min="9994" max="9994" width="23.5546875" style="349" customWidth="1"/>
    <col min="9995" max="9998" width="21.6640625" style="349" customWidth="1"/>
    <col min="9999" max="10000" width="23.33203125" style="349" customWidth="1"/>
    <col min="10001" max="10001" width="20.44140625" style="349" bestFit="1" customWidth="1"/>
    <col min="10002" max="10002" width="21.33203125" style="349" customWidth="1"/>
    <col min="10003" max="10003" width="11.5546875" style="349" customWidth="1"/>
    <col min="10004" max="10243" width="9.109375" style="349"/>
    <col min="10244" max="10244" width="3" style="349" customWidth="1"/>
    <col min="10245" max="10245" width="11.5546875" style="349" bestFit="1" customWidth="1"/>
    <col min="10246" max="10246" width="17.5546875" style="349" bestFit="1" customWidth="1"/>
    <col min="10247" max="10247" width="18.88671875" style="349" customWidth="1"/>
    <col min="10248" max="10248" width="23" style="349" customWidth="1"/>
    <col min="10249" max="10249" width="21.6640625" style="349" customWidth="1"/>
    <col min="10250" max="10250" width="23.5546875" style="349" customWidth="1"/>
    <col min="10251" max="10254" width="21.6640625" style="349" customWidth="1"/>
    <col min="10255" max="10256" width="23.33203125" style="349" customWidth="1"/>
    <col min="10257" max="10257" width="20.44140625" style="349" bestFit="1" customWidth="1"/>
    <col min="10258" max="10258" width="21.33203125" style="349" customWidth="1"/>
    <col min="10259" max="10259" width="11.5546875" style="349" customWidth="1"/>
    <col min="10260" max="10499" width="9.109375" style="349"/>
    <col min="10500" max="10500" width="3" style="349" customWidth="1"/>
    <col min="10501" max="10501" width="11.5546875" style="349" bestFit="1" customWidth="1"/>
    <col min="10502" max="10502" width="17.5546875" style="349" bestFit="1" customWidth="1"/>
    <col min="10503" max="10503" width="18.88671875" style="349" customWidth="1"/>
    <col min="10504" max="10504" width="23" style="349" customWidth="1"/>
    <col min="10505" max="10505" width="21.6640625" style="349" customWidth="1"/>
    <col min="10506" max="10506" width="23.5546875" style="349" customWidth="1"/>
    <col min="10507" max="10510" width="21.6640625" style="349" customWidth="1"/>
    <col min="10511" max="10512" width="23.33203125" style="349" customWidth="1"/>
    <col min="10513" max="10513" width="20.44140625" style="349" bestFit="1" customWidth="1"/>
    <col min="10514" max="10514" width="21.33203125" style="349" customWidth="1"/>
    <col min="10515" max="10515" width="11.5546875" style="349" customWidth="1"/>
    <col min="10516" max="10755" width="9.109375" style="349"/>
    <col min="10756" max="10756" width="3" style="349" customWidth="1"/>
    <col min="10757" max="10757" width="11.5546875" style="349" bestFit="1" customWidth="1"/>
    <col min="10758" max="10758" width="17.5546875" style="349" bestFit="1" customWidth="1"/>
    <col min="10759" max="10759" width="18.88671875" style="349" customWidth="1"/>
    <col min="10760" max="10760" width="23" style="349" customWidth="1"/>
    <col min="10761" max="10761" width="21.6640625" style="349" customWidth="1"/>
    <col min="10762" max="10762" width="23.5546875" style="349" customWidth="1"/>
    <col min="10763" max="10766" width="21.6640625" style="349" customWidth="1"/>
    <col min="10767" max="10768" width="23.33203125" style="349" customWidth="1"/>
    <col min="10769" max="10769" width="20.44140625" style="349" bestFit="1" customWidth="1"/>
    <col min="10770" max="10770" width="21.33203125" style="349" customWidth="1"/>
    <col min="10771" max="10771" width="11.5546875" style="349" customWidth="1"/>
    <col min="10772" max="11011" width="9.109375" style="349"/>
    <col min="11012" max="11012" width="3" style="349" customWidth="1"/>
    <col min="11013" max="11013" width="11.5546875" style="349" bestFit="1" customWidth="1"/>
    <col min="11014" max="11014" width="17.5546875" style="349" bestFit="1" customWidth="1"/>
    <col min="11015" max="11015" width="18.88671875" style="349" customWidth="1"/>
    <col min="11016" max="11016" width="23" style="349" customWidth="1"/>
    <col min="11017" max="11017" width="21.6640625" style="349" customWidth="1"/>
    <col min="11018" max="11018" width="23.5546875" style="349" customWidth="1"/>
    <col min="11019" max="11022" width="21.6640625" style="349" customWidth="1"/>
    <col min="11023" max="11024" width="23.33203125" style="349" customWidth="1"/>
    <col min="11025" max="11025" width="20.44140625" style="349" bestFit="1" customWidth="1"/>
    <col min="11026" max="11026" width="21.33203125" style="349" customWidth="1"/>
    <col min="11027" max="11027" width="11.5546875" style="349" customWidth="1"/>
    <col min="11028" max="11267" width="9.109375" style="349"/>
    <col min="11268" max="11268" width="3" style="349" customWidth="1"/>
    <col min="11269" max="11269" width="11.5546875" style="349" bestFit="1" customWidth="1"/>
    <col min="11270" max="11270" width="17.5546875" style="349" bestFit="1" customWidth="1"/>
    <col min="11271" max="11271" width="18.88671875" style="349" customWidth="1"/>
    <col min="11272" max="11272" width="23" style="349" customWidth="1"/>
    <col min="11273" max="11273" width="21.6640625" style="349" customWidth="1"/>
    <col min="11274" max="11274" width="23.5546875" style="349" customWidth="1"/>
    <col min="11275" max="11278" width="21.6640625" style="349" customWidth="1"/>
    <col min="11279" max="11280" width="23.33203125" style="349" customWidth="1"/>
    <col min="11281" max="11281" width="20.44140625" style="349" bestFit="1" customWidth="1"/>
    <col min="11282" max="11282" width="21.33203125" style="349" customWidth="1"/>
    <col min="11283" max="11283" width="11.5546875" style="349" customWidth="1"/>
    <col min="11284" max="11523" width="9.109375" style="349"/>
    <col min="11524" max="11524" width="3" style="349" customWidth="1"/>
    <col min="11525" max="11525" width="11.5546875" style="349" bestFit="1" customWidth="1"/>
    <col min="11526" max="11526" width="17.5546875" style="349" bestFit="1" customWidth="1"/>
    <col min="11527" max="11527" width="18.88671875" style="349" customWidth="1"/>
    <col min="11528" max="11528" width="23" style="349" customWidth="1"/>
    <col min="11529" max="11529" width="21.6640625" style="349" customWidth="1"/>
    <col min="11530" max="11530" width="23.5546875" style="349" customWidth="1"/>
    <col min="11531" max="11534" width="21.6640625" style="349" customWidth="1"/>
    <col min="11535" max="11536" width="23.33203125" style="349" customWidth="1"/>
    <col min="11537" max="11537" width="20.44140625" style="349" bestFit="1" customWidth="1"/>
    <col min="11538" max="11538" width="21.33203125" style="349" customWidth="1"/>
    <col min="11539" max="11539" width="11.5546875" style="349" customWidth="1"/>
    <col min="11540" max="11779" width="9.109375" style="349"/>
    <col min="11780" max="11780" width="3" style="349" customWidth="1"/>
    <col min="11781" max="11781" width="11.5546875" style="349" bestFit="1" customWidth="1"/>
    <col min="11782" max="11782" width="17.5546875" style="349" bestFit="1" customWidth="1"/>
    <col min="11783" max="11783" width="18.88671875" style="349" customWidth="1"/>
    <col min="11784" max="11784" width="23" style="349" customWidth="1"/>
    <col min="11785" max="11785" width="21.6640625" style="349" customWidth="1"/>
    <col min="11786" max="11786" width="23.5546875" style="349" customWidth="1"/>
    <col min="11787" max="11790" width="21.6640625" style="349" customWidth="1"/>
    <col min="11791" max="11792" width="23.33203125" style="349" customWidth="1"/>
    <col min="11793" max="11793" width="20.44140625" style="349" bestFit="1" customWidth="1"/>
    <col min="11794" max="11794" width="21.33203125" style="349" customWidth="1"/>
    <col min="11795" max="11795" width="11.5546875" style="349" customWidth="1"/>
    <col min="11796" max="12035" width="9.109375" style="349"/>
    <col min="12036" max="12036" width="3" style="349" customWidth="1"/>
    <col min="12037" max="12037" width="11.5546875" style="349" bestFit="1" customWidth="1"/>
    <col min="12038" max="12038" width="17.5546875" style="349" bestFit="1" customWidth="1"/>
    <col min="12039" max="12039" width="18.88671875" style="349" customWidth="1"/>
    <col min="12040" max="12040" width="23" style="349" customWidth="1"/>
    <col min="12041" max="12041" width="21.6640625" style="349" customWidth="1"/>
    <col min="12042" max="12042" width="23.5546875" style="349" customWidth="1"/>
    <col min="12043" max="12046" width="21.6640625" style="349" customWidth="1"/>
    <col min="12047" max="12048" width="23.33203125" style="349" customWidth="1"/>
    <col min="12049" max="12049" width="20.44140625" style="349" bestFit="1" customWidth="1"/>
    <col min="12050" max="12050" width="21.33203125" style="349" customWidth="1"/>
    <col min="12051" max="12051" width="11.5546875" style="349" customWidth="1"/>
    <col min="12052" max="12291" width="9.109375" style="349"/>
    <col min="12292" max="12292" width="3" style="349" customWidth="1"/>
    <col min="12293" max="12293" width="11.5546875" style="349" bestFit="1" customWidth="1"/>
    <col min="12294" max="12294" width="17.5546875" style="349" bestFit="1" customWidth="1"/>
    <col min="12295" max="12295" width="18.88671875" style="349" customWidth="1"/>
    <col min="12296" max="12296" width="23" style="349" customWidth="1"/>
    <col min="12297" max="12297" width="21.6640625" style="349" customWidth="1"/>
    <col min="12298" max="12298" width="23.5546875" style="349" customWidth="1"/>
    <col min="12299" max="12302" width="21.6640625" style="349" customWidth="1"/>
    <col min="12303" max="12304" width="23.33203125" style="349" customWidth="1"/>
    <col min="12305" max="12305" width="20.44140625" style="349" bestFit="1" customWidth="1"/>
    <col min="12306" max="12306" width="21.33203125" style="349" customWidth="1"/>
    <col min="12307" max="12307" width="11.5546875" style="349" customWidth="1"/>
    <col min="12308" max="12547" width="9.109375" style="349"/>
    <col min="12548" max="12548" width="3" style="349" customWidth="1"/>
    <col min="12549" max="12549" width="11.5546875" style="349" bestFit="1" customWidth="1"/>
    <col min="12550" max="12550" width="17.5546875" style="349" bestFit="1" customWidth="1"/>
    <col min="12551" max="12551" width="18.88671875" style="349" customWidth="1"/>
    <col min="12552" max="12552" width="23" style="349" customWidth="1"/>
    <col min="12553" max="12553" width="21.6640625" style="349" customWidth="1"/>
    <col min="12554" max="12554" width="23.5546875" style="349" customWidth="1"/>
    <col min="12555" max="12558" width="21.6640625" style="349" customWidth="1"/>
    <col min="12559" max="12560" width="23.33203125" style="349" customWidth="1"/>
    <col min="12561" max="12561" width="20.44140625" style="349" bestFit="1" customWidth="1"/>
    <col min="12562" max="12562" width="21.33203125" style="349" customWidth="1"/>
    <col min="12563" max="12563" width="11.5546875" style="349" customWidth="1"/>
    <col min="12564" max="12803" width="9.109375" style="349"/>
    <col min="12804" max="12804" width="3" style="349" customWidth="1"/>
    <col min="12805" max="12805" width="11.5546875" style="349" bestFit="1" customWidth="1"/>
    <col min="12806" max="12806" width="17.5546875" style="349" bestFit="1" customWidth="1"/>
    <col min="12807" max="12807" width="18.88671875" style="349" customWidth="1"/>
    <col min="12808" max="12808" width="23" style="349" customWidth="1"/>
    <col min="12809" max="12809" width="21.6640625" style="349" customWidth="1"/>
    <col min="12810" max="12810" width="23.5546875" style="349" customWidth="1"/>
    <col min="12811" max="12814" width="21.6640625" style="349" customWidth="1"/>
    <col min="12815" max="12816" width="23.33203125" style="349" customWidth="1"/>
    <col min="12817" max="12817" width="20.44140625" style="349" bestFit="1" customWidth="1"/>
    <col min="12818" max="12818" width="21.33203125" style="349" customWidth="1"/>
    <col min="12819" max="12819" width="11.5546875" style="349" customWidth="1"/>
    <col min="12820" max="13059" width="9.109375" style="349"/>
    <col min="13060" max="13060" width="3" style="349" customWidth="1"/>
    <col min="13061" max="13061" width="11.5546875" style="349" bestFit="1" customWidth="1"/>
    <col min="13062" max="13062" width="17.5546875" style="349" bestFit="1" customWidth="1"/>
    <col min="13063" max="13063" width="18.88671875" style="349" customWidth="1"/>
    <col min="13064" max="13064" width="23" style="349" customWidth="1"/>
    <col min="13065" max="13065" width="21.6640625" style="349" customWidth="1"/>
    <col min="13066" max="13066" width="23.5546875" style="349" customWidth="1"/>
    <col min="13067" max="13070" width="21.6640625" style="349" customWidth="1"/>
    <col min="13071" max="13072" width="23.33203125" style="349" customWidth="1"/>
    <col min="13073" max="13073" width="20.44140625" style="349" bestFit="1" customWidth="1"/>
    <col min="13074" max="13074" width="21.33203125" style="349" customWidth="1"/>
    <col min="13075" max="13075" width="11.5546875" style="349" customWidth="1"/>
    <col min="13076" max="13315" width="9.109375" style="349"/>
    <col min="13316" max="13316" width="3" style="349" customWidth="1"/>
    <col min="13317" max="13317" width="11.5546875" style="349" bestFit="1" customWidth="1"/>
    <col min="13318" max="13318" width="17.5546875" style="349" bestFit="1" customWidth="1"/>
    <col min="13319" max="13319" width="18.88671875" style="349" customWidth="1"/>
    <col min="13320" max="13320" width="23" style="349" customWidth="1"/>
    <col min="13321" max="13321" width="21.6640625" style="349" customWidth="1"/>
    <col min="13322" max="13322" width="23.5546875" style="349" customWidth="1"/>
    <col min="13323" max="13326" width="21.6640625" style="349" customWidth="1"/>
    <col min="13327" max="13328" width="23.33203125" style="349" customWidth="1"/>
    <col min="13329" max="13329" width="20.44140625" style="349" bestFit="1" customWidth="1"/>
    <col min="13330" max="13330" width="21.33203125" style="349" customWidth="1"/>
    <col min="13331" max="13331" width="11.5546875" style="349" customWidth="1"/>
    <col min="13332" max="13571" width="9.109375" style="349"/>
    <col min="13572" max="13572" width="3" style="349" customWidth="1"/>
    <col min="13573" max="13573" width="11.5546875" style="349" bestFit="1" customWidth="1"/>
    <col min="13574" max="13574" width="17.5546875" style="349" bestFit="1" customWidth="1"/>
    <col min="13575" max="13575" width="18.88671875" style="349" customWidth="1"/>
    <col min="13576" max="13576" width="23" style="349" customWidth="1"/>
    <col min="13577" max="13577" width="21.6640625" style="349" customWidth="1"/>
    <col min="13578" max="13578" width="23.5546875" style="349" customWidth="1"/>
    <col min="13579" max="13582" width="21.6640625" style="349" customWidth="1"/>
    <col min="13583" max="13584" width="23.33203125" style="349" customWidth="1"/>
    <col min="13585" max="13585" width="20.44140625" style="349" bestFit="1" customWidth="1"/>
    <col min="13586" max="13586" width="21.33203125" style="349" customWidth="1"/>
    <col min="13587" max="13587" width="11.5546875" style="349" customWidth="1"/>
    <col min="13588" max="13827" width="9.109375" style="349"/>
    <col min="13828" max="13828" width="3" style="349" customWidth="1"/>
    <col min="13829" max="13829" width="11.5546875" style="349" bestFit="1" customWidth="1"/>
    <col min="13830" max="13830" width="17.5546875" style="349" bestFit="1" customWidth="1"/>
    <col min="13831" max="13831" width="18.88671875" style="349" customWidth="1"/>
    <col min="13832" max="13832" width="23" style="349" customWidth="1"/>
    <col min="13833" max="13833" width="21.6640625" style="349" customWidth="1"/>
    <col min="13834" max="13834" width="23.5546875" style="349" customWidth="1"/>
    <col min="13835" max="13838" width="21.6640625" style="349" customWidth="1"/>
    <col min="13839" max="13840" width="23.33203125" style="349" customWidth="1"/>
    <col min="13841" max="13841" width="20.44140625" style="349" bestFit="1" customWidth="1"/>
    <col min="13842" max="13842" width="21.33203125" style="349" customWidth="1"/>
    <col min="13843" max="13843" width="11.5546875" style="349" customWidth="1"/>
    <col min="13844" max="14083" width="9.109375" style="349"/>
    <col min="14084" max="14084" width="3" style="349" customWidth="1"/>
    <col min="14085" max="14085" width="11.5546875" style="349" bestFit="1" customWidth="1"/>
    <col min="14086" max="14086" width="17.5546875" style="349" bestFit="1" customWidth="1"/>
    <col min="14087" max="14087" width="18.88671875" style="349" customWidth="1"/>
    <col min="14088" max="14088" width="23" style="349" customWidth="1"/>
    <col min="14089" max="14089" width="21.6640625" style="349" customWidth="1"/>
    <col min="14090" max="14090" width="23.5546875" style="349" customWidth="1"/>
    <col min="14091" max="14094" width="21.6640625" style="349" customWidth="1"/>
    <col min="14095" max="14096" width="23.33203125" style="349" customWidth="1"/>
    <col min="14097" max="14097" width="20.44140625" style="349" bestFit="1" customWidth="1"/>
    <col min="14098" max="14098" width="21.33203125" style="349" customWidth="1"/>
    <col min="14099" max="14099" width="11.5546875" style="349" customWidth="1"/>
    <col min="14100" max="14339" width="9.109375" style="349"/>
    <col min="14340" max="14340" width="3" style="349" customWidth="1"/>
    <col min="14341" max="14341" width="11.5546875" style="349" bestFit="1" customWidth="1"/>
    <col min="14342" max="14342" width="17.5546875" style="349" bestFit="1" customWidth="1"/>
    <col min="14343" max="14343" width="18.88671875" style="349" customWidth="1"/>
    <col min="14344" max="14344" width="23" style="349" customWidth="1"/>
    <col min="14345" max="14345" width="21.6640625" style="349" customWidth="1"/>
    <col min="14346" max="14346" width="23.5546875" style="349" customWidth="1"/>
    <col min="14347" max="14350" width="21.6640625" style="349" customWidth="1"/>
    <col min="14351" max="14352" width="23.33203125" style="349" customWidth="1"/>
    <col min="14353" max="14353" width="20.44140625" style="349" bestFit="1" customWidth="1"/>
    <col min="14354" max="14354" width="21.33203125" style="349" customWidth="1"/>
    <col min="14355" max="14355" width="11.5546875" style="349" customWidth="1"/>
    <col min="14356" max="14595" width="9.109375" style="349"/>
    <col min="14596" max="14596" width="3" style="349" customWidth="1"/>
    <col min="14597" max="14597" width="11.5546875" style="349" bestFit="1" customWidth="1"/>
    <col min="14598" max="14598" width="17.5546875" style="349" bestFit="1" customWidth="1"/>
    <col min="14599" max="14599" width="18.88671875" style="349" customWidth="1"/>
    <col min="14600" max="14600" width="23" style="349" customWidth="1"/>
    <col min="14601" max="14601" width="21.6640625" style="349" customWidth="1"/>
    <col min="14602" max="14602" width="23.5546875" style="349" customWidth="1"/>
    <col min="14603" max="14606" width="21.6640625" style="349" customWidth="1"/>
    <col min="14607" max="14608" width="23.33203125" style="349" customWidth="1"/>
    <col min="14609" max="14609" width="20.44140625" style="349" bestFit="1" customWidth="1"/>
    <col min="14610" max="14610" width="21.33203125" style="349" customWidth="1"/>
    <col min="14611" max="14611" width="11.5546875" style="349" customWidth="1"/>
    <col min="14612" max="14851" width="9.109375" style="349"/>
    <col min="14852" max="14852" width="3" style="349" customWidth="1"/>
    <col min="14853" max="14853" width="11.5546875" style="349" bestFit="1" customWidth="1"/>
    <col min="14854" max="14854" width="17.5546875" style="349" bestFit="1" customWidth="1"/>
    <col min="14855" max="14855" width="18.88671875" style="349" customWidth="1"/>
    <col min="14856" max="14856" width="23" style="349" customWidth="1"/>
    <col min="14857" max="14857" width="21.6640625" style="349" customWidth="1"/>
    <col min="14858" max="14858" width="23.5546875" style="349" customWidth="1"/>
    <col min="14859" max="14862" width="21.6640625" style="349" customWidth="1"/>
    <col min="14863" max="14864" width="23.33203125" style="349" customWidth="1"/>
    <col min="14865" max="14865" width="20.44140625" style="349" bestFit="1" customWidth="1"/>
    <col min="14866" max="14866" width="21.33203125" style="349" customWidth="1"/>
    <col min="14867" max="14867" width="11.5546875" style="349" customWidth="1"/>
    <col min="14868" max="15107" width="9.109375" style="349"/>
    <col min="15108" max="15108" width="3" style="349" customWidth="1"/>
    <col min="15109" max="15109" width="11.5546875" style="349" bestFit="1" customWidth="1"/>
    <col min="15110" max="15110" width="17.5546875" style="349" bestFit="1" customWidth="1"/>
    <col min="15111" max="15111" width="18.88671875" style="349" customWidth="1"/>
    <col min="15112" max="15112" width="23" style="349" customWidth="1"/>
    <col min="15113" max="15113" width="21.6640625" style="349" customWidth="1"/>
    <col min="15114" max="15114" width="23.5546875" style="349" customWidth="1"/>
    <col min="15115" max="15118" width="21.6640625" style="349" customWidth="1"/>
    <col min="15119" max="15120" width="23.33203125" style="349" customWidth="1"/>
    <col min="15121" max="15121" width="20.44140625" style="349" bestFit="1" customWidth="1"/>
    <col min="15122" max="15122" width="21.33203125" style="349" customWidth="1"/>
    <col min="15123" max="15123" width="11.5546875" style="349" customWidth="1"/>
    <col min="15124" max="15363" width="9.109375" style="349"/>
    <col min="15364" max="15364" width="3" style="349" customWidth="1"/>
    <col min="15365" max="15365" width="11.5546875" style="349" bestFit="1" customWidth="1"/>
    <col min="15366" max="15366" width="17.5546875" style="349" bestFit="1" customWidth="1"/>
    <col min="15367" max="15367" width="18.88671875" style="349" customWidth="1"/>
    <col min="15368" max="15368" width="23" style="349" customWidth="1"/>
    <col min="15369" max="15369" width="21.6640625" style="349" customWidth="1"/>
    <col min="15370" max="15370" width="23.5546875" style="349" customWidth="1"/>
    <col min="15371" max="15374" width="21.6640625" style="349" customWidth="1"/>
    <col min="15375" max="15376" width="23.33203125" style="349" customWidth="1"/>
    <col min="15377" max="15377" width="20.44140625" style="349" bestFit="1" customWidth="1"/>
    <col min="15378" max="15378" width="21.33203125" style="349" customWidth="1"/>
    <col min="15379" max="15379" width="11.5546875" style="349" customWidth="1"/>
    <col min="15380" max="15619" width="9.109375" style="349"/>
    <col min="15620" max="15620" width="3" style="349" customWidth="1"/>
    <col min="15621" max="15621" width="11.5546875" style="349" bestFit="1" customWidth="1"/>
    <col min="15622" max="15622" width="17.5546875" style="349" bestFit="1" customWidth="1"/>
    <col min="15623" max="15623" width="18.88671875" style="349" customWidth="1"/>
    <col min="15624" max="15624" width="23" style="349" customWidth="1"/>
    <col min="15625" max="15625" width="21.6640625" style="349" customWidth="1"/>
    <col min="15626" max="15626" width="23.5546875" style="349" customWidth="1"/>
    <col min="15627" max="15630" width="21.6640625" style="349" customWidth="1"/>
    <col min="15631" max="15632" width="23.33203125" style="349" customWidth="1"/>
    <col min="15633" max="15633" width="20.44140625" style="349" bestFit="1" customWidth="1"/>
    <col min="15634" max="15634" width="21.33203125" style="349" customWidth="1"/>
    <col min="15635" max="15635" width="11.5546875" style="349" customWidth="1"/>
    <col min="15636" max="15875" width="9.109375" style="349"/>
    <col min="15876" max="15876" width="3" style="349" customWidth="1"/>
    <col min="15877" max="15877" width="11.5546875" style="349" bestFit="1" customWidth="1"/>
    <col min="15878" max="15878" width="17.5546875" style="349" bestFit="1" customWidth="1"/>
    <col min="15879" max="15879" width="18.88671875" style="349" customWidth="1"/>
    <col min="15880" max="15880" width="23" style="349" customWidth="1"/>
    <col min="15881" max="15881" width="21.6640625" style="349" customWidth="1"/>
    <col min="15882" max="15882" width="23.5546875" style="349" customWidth="1"/>
    <col min="15883" max="15886" width="21.6640625" style="349" customWidth="1"/>
    <col min="15887" max="15888" width="23.33203125" style="349" customWidth="1"/>
    <col min="15889" max="15889" width="20.44140625" style="349" bestFit="1" customWidth="1"/>
    <col min="15890" max="15890" width="21.33203125" style="349" customWidth="1"/>
    <col min="15891" max="15891" width="11.5546875" style="349" customWidth="1"/>
    <col min="15892" max="16131" width="9.109375" style="349"/>
    <col min="16132" max="16132" width="3" style="349" customWidth="1"/>
    <col min="16133" max="16133" width="11.5546875" style="349" bestFit="1" customWidth="1"/>
    <col min="16134" max="16134" width="17.5546875" style="349" bestFit="1" customWidth="1"/>
    <col min="16135" max="16135" width="18.88671875" style="349" customWidth="1"/>
    <col min="16136" max="16136" width="23" style="349" customWidth="1"/>
    <col min="16137" max="16137" width="21.6640625" style="349" customWidth="1"/>
    <col min="16138" max="16138" width="23.5546875" style="349" customWidth="1"/>
    <col min="16139" max="16142" width="21.6640625" style="349" customWidth="1"/>
    <col min="16143" max="16144" width="23.33203125" style="349" customWidth="1"/>
    <col min="16145" max="16145" width="20.44140625" style="349" bestFit="1" customWidth="1"/>
    <col min="16146" max="16146" width="21.33203125" style="349" customWidth="1"/>
    <col min="16147" max="16147" width="11.5546875" style="349" customWidth="1"/>
    <col min="16148" max="16384" width="9.109375" style="349"/>
  </cols>
  <sheetData>
    <row r="1" spans="2:18" ht="24.75" customHeight="1" x14ac:dyDescent="0.2">
      <c r="B1" s="1" t="str">
        <f>ÍNDICE!A1</f>
        <v>OBJETO:</v>
      </c>
      <c r="C1" s="2" t="str">
        <f>VLOOKUP(B1,ÍNDICE!A:G,2,FALSE)</f>
        <v>PAVIMENTAÇÃO ASFÁLTICA E DRENAGEM</v>
      </c>
      <c r="D1" s="2"/>
      <c r="E1" s="293"/>
      <c r="F1" s="293"/>
      <c r="G1" s="2"/>
      <c r="H1" s="2"/>
      <c r="I1" s="2"/>
      <c r="J1" s="2"/>
      <c r="K1" s="2"/>
      <c r="L1" s="2"/>
      <c r="M1" s="2"/>
      <c r="N1" s="294"/>
      <c r="O1" s="295"/>
      <c r="P1" s="295"/>
      <c r="Q1" s="296"/>
    </row>
    <row r="2" spans="2:18" ht="19.5" customHeight="1" x14ac:dyDescent="0.2">
      <c r="B2" s="8" t="str">
        <f>ÍNDICE!A2</f>
        <v>CONTRATANTE:</v>
      </c>
      <c r="C2" s="298" t="str">
        <f>VLOOKUP(B2,ÍNDICE!A:G,2,FALSE)</f>
        <v>PREFEITURA MUNICIPAL DE CANARANA</v>
      </c>
      <c r="D2" s="9"/>
      <c r="E2" s="299"/>
      <c r="F2" s="299"/>
      <c r="G2" s="9"/>
      <c r="H2" s="9"/>
      <c r="I2" s="9"/>
      <c r="J2" s="9"/>
      <c r="K2" s="9"/>
      <c r="L2" s="9"/>
      <c r="M2" s="9"/>
      <c r="N2" s="300"/>
      <c r="O2" s="301"/>
      <c r="P2" s="301"/>
      <c r="Q2" s="302"/>
    </row>
    <row r="3" spans="2:18" ht="19.5" customHeight="1" x14ac:dyDescent="0.2">
      <c r="B3" s="8" t="str">
        <f>ÍNDICE!A3</f>
        <v>LOCAL:</v>
      </c>
      <c r="C3" s="298" t="str">
        <f>VLOOKUP(B3,ÍNDICE!A:G,2,FALSE)</f>
        <v>BAIRRO JARDIM FORTALEZA - PARTE 1</v>
      </c>
      <c r="D3" s="9"/>
      <c r="E3" s="299"/>
      <c r="F3" s="299"/>
      <c r="G3" s="9"/>
      <c r="H3" s="9"/>
      <c r="I3" s="9"/>
      <c r="J3" s="9"/>
      <c r="K3" s="9"/>
      <c r="L3" s="9"/>
      <c r="M3" s="9"/>
      <c r="N3" s="303"/>
      <c r="O3" s="301"/>
      <c r="P3" s="301"/>
      <c r="Q3" s="302"/>
    </row>
    <row r="4" spans="2:18" ht="19.5" customHeight="1" x14ac:dyDescent="0.2">
      <c r="B4" s="14" t="s">
        <v>29</v>
      </c>
      <c r="C4" s="304" t="str">
        <f ca="1">VLOOKUP(B4,ÍNDICE!A:G,2,FALSE)</f>
        <v>JUNHO/2026</v>
      </c>
      <c r="D4" s="17"/>
      <c r="E4" s="305"/>
      <c r="F4" s="305"/>
      <c r="G4" s="15"/>
      <c r="H4" s="15"/>
      <c r="I4" s="15"/>
      <c r="J4" s="15"/>
      <c r="K4" s="15"/>
      <c r="L4" s="15"/>
      <c r="M4" s="15"/>
      <c r="N4" s="306"/>
      <c r="O4" s="307"/>
      <c r="P4" s="307"/>
      <c r="Q4" s="308"/>
    </row>
    <row r="5" spans="2:18" s="297" customFormat="1" ht="30" customHeight="1" x14ac:dyDescent="0.25">
      <c r="B5" s="1156" t="s">
        <v>200</v>
      </c>
      <c r="C5" s="1157"/>
      <c r="D5" s="1156"/>
      <c r="E5" s="1156"/>
      <c r="F5" s="1156"/>
      <c r="G5" s="1156"/>
      <c r="H5" s="1156"/>
      <c r="I5" s="1156"/>
      <c r="J5" s="1156"/>
      <c r="K5" s="1156"/>
      <c r="L5" s="1156"/>
      <c r="M5" s="1156"/>
      <c r="N5" s="1156"/>
      <c r="O5" s="1156"/>
      <c r="P5" s="1156"/>
      <c r="Q5" s="1156"/>
    </row>
    <row r="6" spans="2:18" s="309" customFormat="1" ht="20.25" customHeight="1" x14ac:dyDescent="0.3">
      <c r="B6" s="1158" t="s">
        <v>201</v>
      </c>
      <c r="C6" s="1161" t="s">
        <v>202</v>
      </c>
      <c r="D6" s="1163" t="s">
        <v>202</v>
      </c>
      <c r="E6" s="1165" t="s">
        <v>203</v>
      </c>
      <c r="F6" s="1166"/>
      <c r="G6" s="1165" t="s">
        <v>204</v>
      </c>
      <c r="H6" s="1166"/>
      <c r="I6" s="1165" t="s">
        <v>205</v>
      </c>
      <c r="J6" s="1166"/>
      <c r="K6" s="1167" t="s">
        <v>206</v>
      </c>
      <c r="L6" s="1169" t="s">
        <v>207</v>
      </c>
      <c r="M6" s="1171" t="s">
        <v>208</v>
      </c>
      <c r="N6" s="1172"/>
      <c r="O6" s="1172"/>
      <c r="P6" s="1172"/>
      <c r="Q6" s="1173"/>
    </row>
    <row r="7" spans="2:18" s="312" customFormat="1" ht="16.5" customHeight="1" x14ac:dyDescent="0.3">
      <c r="B7" s="1159"/>
      <c r="C7" s="1162"/>
      <c r="D7" s="1164"/>
      <c r="E7" s="310" t="s">
        <v>142</v>
      </c>
      <c r="F7" s="311" t="s">
        <v>209</v>
      </c>
      <c r="G7" s="310" t="s">
        <v>142</v>
      </c>
      <c r="H7" s="311" t="s">
        <v>209</v>
      </c>
      <c r="I7" s="310" t="s">
        <v>142</v>
      </c>
      <c r="J7" s="311" t="s">
        <v>209</v>
      </c>
      <c r="K7" s="1168"/>
      <c r="L7" s="1170"/>
      <c r="M7" s="1174"/>
      <c r="N7" s="1175"/>
      <c r="O7" s="1175"/>
      <c r="P7" s="1175"/>
      <c r="Q7" s="1176"/>
    </row>
    <row r="8" spans="2:18" s="318" customFormat="1" ht="20.100000000000001" customHeight="1" x14ac:dyDescent="0.3">
      <c r="B8" s="1160"/>
      <c r="C8" s="313" t="s">
        <v>210</v>
      </c>
      <c r="D8" s="314" t="s">
        <v>211</v>
      </c>
      <c r="E8" s="315" t="s">
        <v>212</v>
      </c>
      <c r="F8" s="316" t="s">
        <v>213</v>
      </c>
      <c r="G8" s="315" t="s">
        <v>212</v>
      </c>
      <c r="H8" s="316" t="s">
        <v>213</v>
      </c>
      <c r="I8" s="315" t="s">
        <v>212</v>
      </c>
      <c r="J8" s="316" t="s">
        <v>213</v>
      </c>
      <c r="K8" s="316" t="s">
        <v>214</v>
      </c>
      <c r="L8" s="316" t="s">
        <v>213</v>
      </c>
      <c r="M8" s="317" t="s">
        <v>215</v>
      </c>
      <c r="N8" s="317" t="s">
        <v>216</v>
      </c>
      <c r="O8" s="317" t="s">
        <v>217</v>
      </c>
      <c r="P8" s="317" t="s">
        <v>218</v>
      </c>
      <c r="Q8" s="317" t="s">
        <v>219</v>
      </c>
      <c r="R8" s="312"/>
    </row>
    <row r="9" spans="2:18" s="309" customFormat="1" ht="20.25" customHeight="1" x14ac:dyDescent="0.3">
      <c r="B9" s="1147" t="s">
        <v>220</v>
      </c>
      <c r="C9" s="1148"/>
      <c r="D9" s="1148"/>
      <c r="E9" s="1148"/>
      <c r="F9" s="1148"/>
      <c r="G9" s="1148"/>
      <c r="H9" s="1148"/>
      <c r="I9" s="1148"/>
      <c r="J9" s="1148"/>
      <c r="K9" s="1148"/>
      <c r="L9" s="1148"/>
      <c r="M9" s="1148"/>
      <c r="N9" s="1148"/>
      <c r="O9" s="1148"/>
      <c r="P9" s="1148"/>
      <c r="Q9" s="1149"/>
    </row>
    <row r="10" spans="2:18" s="309" customFormat="1" ht="27" customHeight="1" x14ac:dyDescent="0.3">
      <c r="B10" s="319">
        <v>46029</v>
      </c>
      <c r="C10" s="320"/>
      <c r="D10" s="321"/>
      <c r="E10" s="322">
        <v>4.2</v>
      </c>
      <c r="F10" s="322"/>
      <c r="G10" s="322">
        <v>30</v>
      </c>
      <c r="H10" s="322"/>
      <c r="I10" s="322">
        <f>95.8-G10</f>
        <v>65.8</v>
      </c>
      <c r="J10" s="322"/>
      <c r="K10" s="322"/>
      <c r="L10" s="322">
        <f>K10+D10</f>
        <v>0</v>
      </c>
      <c r="M10" s="323" t="s">
        <v>221</v>
      </c>
      <c r="N10" s="323" t="s">
        <v>222</v>
      </c>
      <c r="O10" s="323" t="s">
        <v>223</v>
      </c>
      <c r="P10" s="323" t="s">
        <v>224</v>
      </c>
      <c r="Q10" s="323" t="s">
        <v>225</v>
      </c>
      <c r="R10" s="324">
        <v>93589</v>
      </c>
    </row>
    <row r="11" spans="2:18" s="309" customFormat="1" ht="27" customHeight="1" x14ac:dyDescent="0.25">
      <c r="B11" s="325">
        <v>46029</v>
      </c>
      <c r="C11" s="326"/>
      <c r="D11" s="327"/>
      <c r="E11" s="328">
        <f>0.35+5.33</f>
        <v>5.68</v>
      </c>
      <c r="F11" s="328"/>
      <c r="G11" s="329">
        <v>30</v>
      </c>
      <c r="H11" s="328"/>
      <c r="I11" s="328">
        <f>435-G11</f>
        <v>405</v>
      </c>
      <c r="J11" s="328"/>
      <c r="K11" s="328"/>
      <c r="L11" s="328">
        <f t="shared" ref="L11:L12" si="0">K11+D11</f>
        <v>0</v>
      </c>
      <c r="M11" s="330" t="s">
        <v>226</v>
      </c>
      <c r="N11" s="330" t="s">
        <v>172</v>
      </c>
      <c r="O11" s="330" t="s">
        <v>227</v>
      </c>
      <c r="P11" s="330" t="s">
        <v>228</v>
      </c>
      <c r="Q11" s="330" t="s">
        <v>172</v>
      </c>
      <c r="R11" s="324">
        <v>95875</v>
      </c>
    </row>
    <row r="12" spans="2:18" s="309" customFormat="1" ht="27" customHeight="1" x14ac:dyDescent="0.25">
      <c r="B12" s="325">
        <v>46072</v>
      </c>
      <c r="C12" s="327"/>
      <c r="D12" s="327"/>
      <c r="E12" s="328">
        <v>0.35</v>
      </c>
      <c r="F12" s="328"/>
      <c r="G12" s="329">
        <v>30</v>
      </c>
      <c r="H12" s="328"/>
      <c r="I12" s="328">
        <f>427-G12</f>
        <v>397</v>
      </c>
      <c r="J12" s="328"/>
      <c r="K12" s="328"/>
      <c r="L12" s="328">
        <f t="shared" si="0"/>
        <v>0</v>
      </c>
      <c r="M12" s="330" t="s">
        <v>229</v>
      </c>
      <c r="N12" s="330" t="s">
        <v>230</v>
      </c>
      <c r="O12" s="330" t="s">
        <v>231</v>
      </c>
      <c r="P12" s="330" t="s">
        <v>224</v>
      </c>
      <c r="Q12" s="330" t="s">
        <v>232</v>
      </c>
      <c r="R12" s="324">
        <v>93590</v>
      </c>
    </row>
    <row r="13" spans="2:18" s="309" customFormat="1" ht="18.75" customHeight="1" x14ac:dyDescent="0.25">
      <c r="B13" s="331" t="s">
        <v>233</v>
      </c>
      <c r="C13" s="332">
        <f>C10</f>
        <v>0</v>
      </c>
      <c r="D13" s="333">
        <f>D10</f>
        <v>0</v>
      </c>
      <c r="E13" s="334"/>
      <c r="F13" s="334"/>
      <c r="G13" s="334"/>
      <c r="H13" s="334"/>
      <c r="I13" s="334"/>
      <c r="J13" s="334"/>
      <c r="K13" s="335"/>
      <c r="L13" s="335"/>
      <c r="M13" s="335"/>
      <c r="N13" s="335"/>
      <c r="O13" s="335"/>
      <c r="P13" s="335"/>
      <c r="Q13" s="336"/>
    </row>
    <row r="14" spans="2:18" s="309" customFormat="1" ht="20.25" customHeight="1" x14ac:dyDescent="0.25">
      <c r="B14" s="1147" t="s">
        <v>234</v>
      </c>
      <c r="C14" s="1148"/>
      <c r="D14" s="1148"/>
      <c r="E14" s="1148"/>
      <c r="F14" s="1148"/>
      <c r="G14" s="1148"/>
      <c r="H14" s="1148"/>
      <c r="I14" s="1148"/>
      <c r="J14" s="1148"/>
      <c r="K14" s="1148"/>
      <c r="L14" s="1148"/>
      <c r="M14" s="1148"/>
      <c r="N14" s="1148"/>
      <c r="O14" s="1148"/>
      <c r="P14" s="1148"/>
      <c r="Q14" s="1149"/>
    </row>
    <row r="15" spans="2:18" s="309" customFormat="1" ht="27" customHeight="1" x14ac:dyDescent="0.25">
      <c r="B15" s="319">
        <f>B10</f>
        <v>46029</v>
      </c>
      <c r="C15" s="320"/>
      <c r="D15" s="321"/>
      <c r="E15" s="322">
        <f>E10</f>
        <v>4.2</v>
      </c>
      <c r="F15" s="322"/>
      <c r="G15" s="322">
        <f>G10</f>
        <v>30</v>
      </c>
      <c r="H15" s="322"/>
      <c r="I15" s="322">
        <f>I10</f>
        <v>65.8</v>
      </c>
      <c r="J15" s="322"/>
      <c r="K15" s="322"/>
      <c r="L15" s="322"/>
      <c r="M15" s="323" t="str">
        <f>M10</f>
        <v>PEDREIRA SHALON</v>
      </c>
      <c r="N15" s="323" t="str">
        <f t="shared" ref="N15:Q15" si="1">N10</f>
        <v xml:space="preserve">20.739.103/0001-85 </v>
      </c>
      <c r="O15" s="323" t="str">
        <f t="shared" si="1"/>
        <v>ÁGUA BOA</v>
      </c>
      <c r="P15" s="323" t="str">
        <f t="shared" si="1"/>
        <v>(66) 99281-0169</v>
      </c>
      <c r="Q15" s="323" t="str">
        <f t="shared" si="1"/>
        <v>Ingridi Oliveira</v>
      </c>
      <c r="R15" s="324"/>
    </row>
    <row r="16" spans="2:18" s="309" customFormat="1" ht="27" customHeight="1" x14ac:dyDescent="0.25">
      <c r="B16" s="325">
        <f t="shared" ref="B16:B17" si="2">B11</f>
        <v>46029</v>
      </c>
      <c r="C16" s="337"/>
      <c r="D16" s="327"/>
      <c r="E16" s="328">
        <f t="shared" ref="E16:G17" si="3">E11</f>
        <v>5.68</v>
      </c>
      <c r="F16" s="328"/>
      <c r="G16" s="328">
        <f t="shared" si="3"/>
        <v>30</v>
      </c>
      <c r="H16" s="328"/>
      <c r="I16" s="328">
        <f t="shared" ref="I16:I17" si="4">I11</f>
        <v>405</v>
      </c>
      <c r="J16" s="328"/>
      <c r="K16" s="328"/>
      <c r="L16" s="328"/>
      <c r="M16" s="338" t="str">
        <f t="shared" ref="M16:Q17" si="5">M11</f>
        <v>J A  MACHNIC-ME</v>
      </c>
      <c r="N16" s="338" t="str">
        <f t="shared" si="5"/>
        <v>-</v>
      </c>
      <c r="O16" s="338" t="str">
        <f t="shared" si="5"/>
        <v>PRIMAVERA DO LESTE</v>
      </c>
      <c r="P16" s="338" t="str">
        <f t="shared" si="5"/>
        <v>(66) 99636-4053</v>
      </c>
      <c r="Q16" s="338" t="str">
        <f t="shared" si="5"/>
        <v>-</v>
      </c>
      <c r="R16" s="324"/>
    </row>
    <row r="17" spans="2:23" s="309" customFormat="1" ht="27" customHeight="1" x14ac:dyDescent="0.25">
      <c r="B17" s="325">
        <f t="shared" si="2"/>
        <v>46072</v>
      </c>
      <c r="C17" s="337"/>
      <c r="D17" s="327"/>
      <c r="E17" s="328">
        <f t="shared" si="3"/>
        <v>0.35</v>
      </c>
      <c r="F17" s="328"/>
      <c r="G17" s="328">
        <f t="shared" si="3"/>
        <v>30</v>
      </c>
      <c r="H17" s="328"/>
      <c r="I17" s="328">
        <f t="shared" si="4"/>
        <v>397</v>
      </c>
      <c r="J17" s="328"/>
      <c r="K17" s="328"/>
      <c r="L17" s="328"/>
      <c r="M17" s="338" t="str">
        <f t="shared" si="5"/>
        <v>BRITAZIL</v>
      </c>
      <c r="N17" s="338" t="str">
        <f t="shared" si="5"/>
        <v>28.942.414/0001-59</v>
      </c>
      <c r="O17" s="338" t="str">
        <f t="shared" si="5"/>
        <v>CONFRESA</v>
      </c>
      <c r="P17" s="338" t="str">
        <f t="shared" si="5"/>
        <v>(66) 99281-0169</v>
      </c>
      <c r="Q17" s="338" t="str">
        <f t="shared" si="5"/>
        <v xml:space="preserve">Francieli Darui </v>
      </c>
      <c r="R17" s="324"/>
    </row>
    <row r="18" spans="2:23" s="309" customFormat="1" ht="18.75" customHeight="1" x14ac:dyDescent="0.25">
      <c r="B18" s="331" t="s">
        <v>233</v>
      </c>
      <c r="C18" s="332">
        <f>C15</f>
        <v>0</v>
      </c>
      <c r="D18" s="333">
        <f>D15</f>
        <v>0</v>
      </c>
      <c r="E18" s="334"/>
      <c r="F18" s="334"/>
      <c r="G18" s="334"/>
      <c r="H18" s="334"/>
      <c r="I18" s="334"/>
      <c r="J18" s="334"/>
      <c r="K18" s="335"/>
      <c r="L18" s="335"/>
      <c r="M18" s="335"/>
      <c r="N18" s="335"/>
      <c r="O18" s="335"/>
      <c r="P18" s="335"/>
      <c r="Q18" s="336"/>
    </row>
    <row r="19" spans="2:23" s="309" customFormat="1" ht="20.25" customHeight="1" x14ac:dyDescent="0.25">
      <c r="B19" s="1147" t="s">
        <v>235</v>
      </c>
      <c r="C19" s="1148"/>
      <c r="D19" s="1148"/>
      <c r="E19" s="1148"/>
      <c r="F19" s="1148"/>
      <c r="G19" s="1148"/>
      <c r="H19" s="1148"/>
      <c r="I19" s="1148"/>
      <c r="J19" s="1148"/>
      <c r="K19" s="1148"/>
      <c r="L19" s="1148"/>
      <c r="M19" s="1148"/>
      <c r="N19" s="1148"/>
      <c r="O19" s="1148"/>
      <c r="P19" s="1148"/>
      <c r="Q19" s="1149"/>
    </row>
    <row r="20" spans="2:23" s="309" customFormat="1" ht="27" customHeight="1" x14ac:dyDescent="0.25">
      <c r="B20" s="319">
        <f>B15</f>
        <v>46029</v>
      </c>
      <c r="C20" s="320"/>
      <c r="D20" s="321"/>
      <c r="E20" s="322">
        <f t="shared" ref="E20:E22" si="6">E15</f>
        <v>4.2</v>
      </c>
      <c r="F20" s="322"/>
      <c r="G20" s="322">
        <f>G15</f>
        <v>30</v>
      </c>
      <c r="H20" s="322"/>
      <c r="I20" s="322">
        <f>I15</f>
        <v>65.8</v>
      </c>
      <c r="J20" s="322"/>
      <c r="K20" s="322"/>
      <c r="L20" s="322">
        <f>K20+D20</f>
        <v>0</v>
      </c>
      <c r="M20" s="323" t="str">
        <f t="shared" ref="M20:Q22" si="7">M15</f>
        <v>PEDREIRA SHALON</v>
      </c>
      <c r="N20" s="323" t="str">
        <f t="shared" si="7"/>
        <v xml:space="preserve">20.739.103/0001-85 </v>
      </c>
      <c r="O20" s="323" t="str">
        <f t="shared" si="7"/>
        <v>ÁGUA BOA</v>
      </c>
      <c r="P20" s="323" t="str">
        <f t="shared" si="7"/>
        <v>(66) 99281-0169</v>
      </c>
      <c r="Q20" s="323" t="str">
        <f t="shared" si="7"/>
        <v>Ingridi Oliveira</v>
      </c>
    </row>
    <row r="21" spans="2:23" s="309" customFormat="1" ht="27" customHeight="1" x14ac:dyDescent="0.25">
      <c r="B21" s="325">
        <f>B16</f>
        <v>46029</v>
      </c>
      <c r="C21" s="337"/>
      <c r="D21" s="327"/>
      <c r="E21" s="328">
        <f t="shared" si="6"/>
        <v>5.68</v>
      </c>
      <c r="F21" s="328"/>
      <c r="G21" s="328">
        <f t="shared" ref="G21:G22" si="8">G16</f>
        <v>30</v>
      </c>
      <c r="H21" s="328"/>
      <c r="I21" s="328">
        <f t="shared" ref="I21:I22" si="9">I16</f>
        <v>405</v>
      </c>
      <c r="J21" s="328"/>
      <c r="K21" s="328"/>
      <c r="L21" s="328">
        <f t="shared" ref="L21:L22" si="10">K21+D21</f>
        <v>0</v>
      </c>
      <c r="M21" s="338" t="str">
        <f t="shared" si="7"/>
        <v>J A  MACHNIC-ME</v>
      </c>
      <c r="N21" s="338" t="str">
        <f t="shared" si="7"/>
        <v>-</v>
      </c>
      <c r="O21" s="338" t="str">
        <f t="shared" si="7"/>
        <v>PRIMAVERA DO LESTE</v>
      </c>
      <c r="P21" s="338" t="str">
        <f t="shared" si="7"/>
        <v>(66) 99636-4053</v>
      </c>
      <c r="Q21" s="338" t="str">
        <f t="shared" si="7"/>
        <v>-</v>
      </c>
    </row>
    <row r="22" spans="2:23" s="309" customFormat="1" ht="27" customHeight="1" x14ac:dyDescent="0.25">
      <c r="B22" s="325">
        <f>B17</f>
        <v>46072</v>
      </c>
      <c r="C22" s="337"/>
      <c r="D22" s="327"/>
      <c r="E22" s="328">
        <f t="shared" si="6"/>
        <v>0.35</v>
      </c>
      <c r="F22" s="328"/>
      <c r="G22" s="328">
        <f t="shared" si="8"/>
        <v>30</v>
      </c>
      <c r="H22" s="328"/>
      <c r="I22" s="328">
        <f t="shared" si="9"/>
        <v>397</v>
      </c>
      <c r="J22" s="328"/>
      <c r="K22" s="328"/>
      <c r="L22" s="328">
        <f t="shared" si="10"/>
        <v>0</v>
      </c>
      <c r="M22" s="338" t="str">
        <f t="shared" si="7"/>
        <v>BRITAZIL</v>
      </c>
      <c r="N22" s="338" t="str">
        <f t="shared" si="7"/>
        <v>28.942.414/0001-59</v>
      </c>
      <c r="O22" s="338" t="str">
        <f t="shared" si="7"/>
        <v>CONFRESA</v>
      </c>
      <c r="P22" s="338" t="str">
        <f t="shared" si="7"/>
        <v>(66) 99281-0169</v>
      </c>
      <c r="Q22" s="338" t="str">
        <f t="shared" si="7"/>
        <v xml:space="preserve">Francieli Darui </v>
      </c>
    </row>
    <row r="23" spans="2:23" s="309" customFormat="1" ht="18.75" customHeight="1" x14ac:dyDescent="0.25">
      <c r="B23" s="331" t="s">
        <v>233</v>
      </c>
      <c r="C23" s="332">
        <f>C20</f>
        <v>0</v>
      </c>
      <c r="D23" s="333">
        <f>D20</f>
        <v>0</v>
      </c>
      <c r="E23" s="334"/>
      <c r="F23" s="334"/>
      <c r="G23" s="334"/>
      <c r="H23" s="334"/>
      <c r="I23" s="334"/>
      <c r="J23" s="334"/>
      <c r="K23" s="335"/>
      <c r="L23" s="335"/>
      <c r="M23" s="335"/>
      <c r="N23" s="335"/>
      <c r="O23" s="335"/>
      <c r="P23" s="335"/>
      <c r="Q23" s="336"/>
    </row>
    <row r="24" spans="2:23" s="309" customFormat="1" ht="18.75" customHeight="1" x14ac:dyDescent="0.25">
      <c r="B24" s="1147" t="s">
        <v>236</v>
      </c>
      <c r="C24" s="1148"/>
      <c r="D24" s="1148"/>
      <c r="E24" s="1148"/>
      <c r="F24" s="1148"/>
      <c r="G24" s="1148"/>
      <c r="H24" s="1148"/>
      <c r="I24" s="1148"/>
      <c r="J24" s="1148"/>
      <c r="K24" s="1148"/>
      <c r="L24" s="1148"/>
      <c r="M24" s="1148"/>
      <c r="N24" s="1148"/>
      <c r="O24" s="1148"/>
      <c r="P24" s="1148"/>
      <c r="Q24" s="1149"/>
    </row>
    <row r="25" spans="2:23" s="309" customFormat="1" ht="26.25" customHeight="1" x14ac:dyDescent="0.25">
      <c r="B25" s="319">
        <f>B20</f>
        <v>46029</v>
      </c>
      <c r="C25" s="320"/>
      <c r="D25" s="321"/>
      <c r="E25" s="322">
        <f t="shared" ref="E25:E27" si="11">E20</f>
        <v>4.2</v>
      </c>
      <c r="F25" s="322"/>
      <c r="G25" s="322">
        <f>G20</f>
        <v>30</v>
      </c>
      <c r="H25" s="322"/>
      <c r="I25" s="322">
        <f>I20</f>
        <v>65.8</v>
      </c>
      <c r="J25" s="322"/>
      <c r="K25" s="322"/>
      <c r="L25" s="322">
        <f>K25+D25</f>
        <v>0</v>
      </c>
      <c r="M25" s="323" t="str">
        <f t="shared" ref="M25:Q27" si="12">M20</f>
        <v>PEDREIRA SHALON</v>
      </c>
      <c r="N25" s="323" t="str">
        <f t="shared" si="12"/>
        <v xml:space="preserve">20.739.103/0001-85 </v>
      </c>
      <c r="O25" s="323" t="str">
        <f t="shared" si="12"/>
        <v>ÁGUA BOA</v>
      </c>
      <c r="P25" s="323" t="str">
        <f t="shared" si="12"/>
        <v>(66) 99281-0169</v>
      </c>
      <c r="Q25" s="323" t="str">
        <f t="shared" si="12"/>
        <v>Ingridi Oliveira</v>
      </c>
    </row>
    <row r="26" spans="2:23" s="309" customFormat="1" ht="26.25" customHeight="1" x14ac:dyDescent="0.25">
      <c r="B26" s="325">
        <f>B21</f>
        <v>46029</v>
      </c>
      <c r="C26" s="337"/>
      <c r="D26" s="327"/>
      <c r="E26" s="328">
        <f t="shared" si="11"/>
        <v>5.68</v>
      </c>
      <c r="F26" s="328"/>
      <c r="G26" s="328">
        <f t="shared" ref="G26:G27" si="13">G21</f>
        <v>30</v>
      </c>
      <c r="H26" s="328"/>
      <c r="I26" s="328">
        <f t="shared" ref="I26:I27" si="14">I21</f>
        <v>405</v>
      </c>
      <c r="J26" s="328"/>
      <c r="K26" s="328"/>
      <c r="L26" s="328">
        <f t="shared" ref="L26:L27" si="15">K26+D26</f>
        <v>0</v>
      </c>
      <c r="M26" s="338" t="str">
        <f t="shared" si="12"/>
        <v>J A  MACHNIC-ME</v>
      </c>
      <c r="N26" s="338" t="str">
        <f t="shared" si="12"/>
        <v>-</v>
      </c>
      <c r="O26" s="338" t="str">
        <f t="shared" si="12"/>
        <v>PRIMAVERA DO LESTE</v>
      </c>
      <c r="P26" s="338" t="str">
        <f t="shared" si="12"/>
        <v>(66) 99636-4053</v>
      </c>
      <c r="Q26" s="338" t="str">
        <f t="shared" si="12"/>
        <v>-</v>
      </c>
    </row>
    <row r="27" spans="2:23" s="309" customFormat="1" ht="26.25" customHeight="1" x14ac:dyDescent="0.25">
      <c r="B27" s="325">
        <f>B22</f>
        <v>46072</v>
      </c>
      <c r="C27" s="337"/>
      <c r="D27" s="327"/>
      <c r="E27" s="328">
        <f t="shared" si="11"/>
        <v>0.35</v>
      </c>
      <c r="F27" s="328"/>
      <c r="G27" s="328">
        <f t="shared" si="13"/>
        <v>30</v>
      </c>
      <c r="H27" s="328"/>
      <c r="I27" s="328">
        <f t="shared" si="14"/>
        <v>397</v>
      </c>
      <c r="J27" s="328"/>
      <c r="K27" s="328"/>
      <c r="L27" s="328">
        <f t="shared" si="15"/>
        <v>0</v>
      </c>
      <c r="M27" s="338" t="str">
        <f t="shared" si="12"/>
        <v>BRITAZIL</v>
      </c>
      <c r="N27" s="338" t="str">
        <f t="shared" si="12"/>
        <v>28.942.414/0001-59</v>
      </c>
      <c r="O27" s="338" t="str">
        <f t="shared" si="12"/>
        <v>CONFRESA</v>
      </c>
      <c r="P27" s="338" t="str">
        <f t="shared" si="12"/>
        <v>(66) 99281-0169</v>
      </c>
      <c r="Q27" s="338" t="str">
        <f t="shared" si="12"/>
        <v xml:space="preserve">Francieli Darui </v>
      </c>
    </row>
    <row r="28" spans="2:23" s="309" customFormat="1" ht="18.75" customHeight="1" x14ac:dyDescent="0.25">
      <c r="B28" s="331" t="s">
        <v>233</v>
      </c>
      <c r="C28" s="332">
        <f>C25</f>
        <v>0</v>
      </c>
      <c r="D28" s="333">
        <f>D25</f>
        <v>0</v>
      </c>
      <c r="E28" s="334"/>
      <c r="F28" s="334"/>
      <c r="G28" s="334"/>
      <c r="H28" s="334"/>
      <c r="I28" s="334"/>
      <c r="J28" s="334"/>
      <c r="K28" s="335"/>
      <c r="L28" s="335"/>
      <c r="M28" s="335"/>
      <c r="N28" s="335"/>
      <c r="O28" s="335"/>
      <c r="P28" s="335"/>
      <c r="Q28" s="336"/>
    </row>
    <row r="29" spans="2:23" s="297" customFormat="1" ht="15" customHeight="1" x14ac:dyDescent="0.25">
      <c r="B29" s="1150" t="s">
        <v>237</v>
      </c>
      <c r="C29" s="1151"/>
      <c r="D29" s="1151"/>
      <c r="E29" s="1151"/>
      <c r="F29" s="1151"/>
      <c r="G29" s="1151"/>
      <c r="H29" s="1151"/>
      <c r="I29" s="1151"/>
      <c r="J29" s="1151"/>
      <c r="K29" s="1151"/>
      <c r="L29" s="1151"/>
      <c r="M29" s="1151"/>
      <c r="N29" s="1151"/>
      <c r="O29" s="1151"/>
      <c r="P29" s="1151"/>
      <c r="Q29" s="1152"/>
      <c r="R29" s="339"/>
      <c r="S29" s="339"/>
      <c r="T29" s="339"/>
      <c r="U29" s="339"/>
      <c r="V29" s="339"/>
      <c r="W29" s="340"/>
    </row>
    <row r="30" spans="2:23" s="297" customFormat="1" ht="15" customHeight="1" x14ac:dyDescent="0.25">
      <c r="B30" s="1153" t="s">
        <v>238</v>
      </c>
      <c r="C30" s="1154"/>
      <c r="D30" s="1154"/>
      <c r="E30" s="1154"/>
      <c r="F30" s="1154"/>
      <c r="G30" s="1154"/>
      <c r="H30" s="1154"/>
      <c r="I30" s="1154"/>
      <c r="J30" s="1154"/>
      <c r="K30" s="1154"/>
      <c r="L30" s="1154"/>
      <c r="M30" s="1154"/>
      <c r="N30" s="1154"/>
      <c r="O30" s="1154"/>
      <c r="P30" s="1154"/>
      <c r="Q30" s="1155"/>
      <c r="R30" s="339"/>
      <c r="S30" s="339"/>
      <c r="T30" s="339"/>
      <c r="U30" s="339"/>
      <c r="V30" s="339"/>
      <c r="W30" s="340"/>
    </row>
    <row r="31" spans="2:23" s="297" customFormat="1" ht="15" customHeight="1" x14ac:dyDescent="0.25">
      <c r="B31" s="1138" t="s">
        <v>239</v>
      </c>
      <c r="C31" s="1139"/>
      <c r="D31" s="1139"/>
      <c r="E31" s="1139"/>
      <c r="F31" s="1139"/>
      <c r="G31" s="1139"/>
      <c r="H31" s="1139"/>
      <c r="I31" s="1139"/>
      <c r="J31" s="1139"/>
      <c r="K31" s="1139"/>
      <c r="L31" s="1139"/>
      <c r="M31" s="1139"/>
      <c r="N31" s="1139"/>
      <c r="O31" s="1139"/>
      <c r="P31" s="1139"/>
      <c r="Q31" s="1140"/>
      <c r="R31" s="341"/>
      <c r="S31" s="341"/>
      <c r="T31" s="341"/>
      <c r="U31" s="341"/>
      <c r="V31" s="341"/>
      <c r="W31" s="342"/>
    </row>
    <row r="32" spans="2:23" s="297" customFormat="1" ht="15" customHeight="1" x14ac:dyDescent="0.25">
      <c r="B32" s="1141" t="s">
        <v>240</v>
      </c>
      <c r="C32" s="1142"/>
      <c r="D32" s="1142"/>
      <c r="E32" s="1142"/>
      <c r="F32" s="1142"/>
      <c r="G32" s="1142"/>
      <c r="H32" s="1142"/>
      <c r="I32" s="1142"/>
      <c r="J32" s="1142"/>
      <c r="K32" s="1142"/>
      <c r="L32" s="1142"/>
      <c r="M32" s="1142"/>
      <c r="N32" s="1142"/>
      <c r="O32" s="1142"/>
      <c r="P32" s="1142"/>
      <c r="Q32" s="1143"/>
      <c r="R32" s="343"/>
      <c r="S32" s="343"/>
      <c r="T32" s="343"/>
      <c r="U32" s="343"/>
      <c r="V32" s="343"/>
      <c r="W32" s="343"/>
    </row>
    <row r="33" spans="2:23" s="297" customFormat="1" ht="15" customHeight="1" x14ac:dyDescent="0.25">
      <c r="B33" s="1141"/>
      <c r="C33" s="1142"/>
      <c r="D33" s="1142"/>
      <c r="E33" s="1142"/>
      <c r="F33" s="1142"/>
      <c r="G33" s="1142"/>
      <c r="H33" s="1142"/>
      <c r="I33" s="1142"/>
      <c r="J33" s="1142"/>
      <c r="K33" s="1142"/>
      <c r="L33" s="1142"/>
      <c r="M33" s="1142"/>
      <c r="N33" s="1142"/>
      <c r="O33" s="1142"/>
      <c r="P33" s="1142"/>
      <c r="Q33" s="1143"/>
      <c r="R33" s="343"/>
      <c r="S33" s="343"/>
      <c r="T33" s="343"/>
      <c r="U33" s="343"/>
      <c r="V33" s="343"/>
      <c r="W33" s="343"/>
    </row>
    <row r="34" spans="2:23" s="297" customFormat="1" x14ac:dyDescent="0.25">
      <c r="B34" s="1141"/>
      <c r="C34" s="1142"/>
      <c r="D34" s="1142"/>
      <c r="E34" s="1142"/>
      <c r="F34" s="1142"/>
      <c r="G34" s="1142"/>
      <c r="H34" s="1142"/>
      <c r="I34" s="1142"/>
      <c r="J34" s="1142"/>
      <c r="K34" s="1142"/>
      <c r="L34" s="1142"/>
      <c r="M34" s="1142"/>
      <c r="N34" s="1142"/>
      <c r="O34" s="1142"/>
      <c r="P34" s="1142"/>
      <c r="Q34" s="1143"/>
      <c r="R34" s="343"/>
      <c r="S34" s="343"/>
      <c r="T34" s="343"/>
      <c r="U34" s="343"/>
      <c r="V34" s="343"/>
      <c r="W34" s="343"/>
    </row>
    <row r="35" spans="2:23" s="297" customFormat="1" ht="5.25" customHeight="1" x14ac:dyDescent="0.25">
      <c r="B35" s="1141"/>
      <c r="C35" s="1142"/>
      <c r="D35" s="1142"/>
      <c r="E35" s="1142"/>
      <c r="F35" s="1142"/>
      <c r="G35" s="1142"/>
      <c r="H35" s="1142"/>
      <c r="I35" s="1142"/>
      <c r="J35" s="1142"/>
      <c r="K35" s="1142"/>
      <c r="L35" s="1142"/>
      <c r="M35" s="1142"/>
      <c r="N35" s="1142"/>
      <c r="O35" s="1142"/>
      <c r="P35" s="1142"/>
      <c r="Q35" s="1143"/>
      <c r="R35" s="343"/>
      <c r="S35" s="343"/>
      <c r="T35" s="343"/>
      <c r="U35" s="343"/>
      <c r="V35" s="343"/>
      <c r="W35" s="343"/>
    </row>
    <row r="36" spans="2:23" s="297" customFormat="1" ht="33.75" customHeight="1" x14ac:dyDescent="0.25">
      <c r="B36" s="1141" t="s">
        <v>241</v>
      </c>
      <c r="C36" s="1142"/>
      <c r="D36" s="1142"/>
      <c r="E36" s="1142"/>
      <c r="F36" s="1142"/>
      <c r="G36" s="1142"/>
      <c r="H36" s="1142"/>
      <c r="I36" s="1142"/>
      <c r="J36" s="1142"/>
      <c r="K36" s="1142"/>
      <c r="L36" s="1142"/>
      <c r="M36" s="1142"/>
      <c r="N36" s="1142"/>
      <c r="O36" s="1142"/>
      <c r="P36" s="1142"/>
      <c r="Q36" s="1143"/>
      <c r="R36" s="343"/>
      <c r="S36" s="343"/>
      <c r="T36" s="343"/>
      <c r="U36" s="343"/>
      <c r="V36" s="343"/>
      <c r="W36" s="343"/>
    </row>
    <row r="37" spans="2:23" s="297" customFormat="1" ht="21.75" customHeight="1" x14ac:dyDescent="0.25">
      <c r="B37" s="1144" t="s">
        <v>242</v>
      </c>
      <c r="C37" s="1145"/>
      <c r="D37" s="1145"/>
      <c r="E37" s="1145"/>
      <c r="F37" s="1145"/>
      <c r="G37" s="1145"/>
      <c r="H37" s="1145"/>
      <c r="I37" s="1145"/>
      <c r="J37" s="1145"/>
      <c r="K37" s="1145"/>
      <c r="L37" s="1145"/>
      <c r="M37" s="1145"/>
      <c r="N37" s="1145"/>
      <c r="O37" s="1145"/>
      <c r="P37" s="1145"/>
      <c r="Q37" s="1146"/>
      <c r="R37" s="343"/>
      <c r="S37" s="343"/>
      <c r="T37" s="343"/>
      <c r="U37" s="343"/>
      <c r="V37" s="343"/>
      <c r="W37" s="343"/>
    </row>
    <row r="38" spans="2:23" s="297" customFormat="1" x14ac:dyDescent="0.25">
      <c r="B38" s="344"/>
      <c r="C38" s="344"/>
      <c r="D38" s="344"/>
      <c r="E38" s="344"/>
      <c r="F38" s="344"/>
      <c r="G38" s="344"/>
      <c r="H38" s="344"/>
      <c r="I38" s="344"/>
      <c r="J38" s="344"/>
      <c r="K38" s="344"/>
      <c r="L38" s="344"/>
      <c r="M38" s="344"/>
      <c r="N38" s="344"/>
      <c r="O38" s="344"/>
      <c r="P38" s="344"/>
      <c r="Q38" s="344"/>
    </row>
    <row r="39" spans="2:23" s="297" customFormat="1" x14ac:dyDescent="0.25">
      <c r="B39" s="344"/>
      <c r="C39" s="344"/>
      <c r="D39" s="344"/>
      <c r="E39" s="344"/>
      <c r="F39" s="344"/>
      <c r="G39" s="344"/>
      <c r="H39" s="344"/>
      <c r="I39" s="344"/>
      <c r="J39" s="344"/>
      <c r="K39" s="344"/>
      <c r="L39" s="344"/>
      <c r="M39" s="344"/>
      <c r="N39" s="344"/>
      <c r="O39" s="344"/>
      <c r="P39" s="344"/>
      <c r="Q39" s="344"/>
    </row>
    <row r="40" spans="2:23" s="297" customFormat="1" x14ac:dyDescent="0.25">
      <c r="B40" s="345"/>
      <c r="C40" s="346"/>
      <c r="D40" s="347"/>
      <c r="E40" s="347"/>
      <c r="F40" s="347"/>
      <c r="G40" s="347"/>
      <c r="H40" s="347"/>
      <c r="I40" s="347"/>
      <c r="J40" s="347"/>
      <c r="K40" s="347"/>
      <c r="L40" s="347"/>
      <c r="M40" s="347"/>
      <c r="N40" s="347"/>
      <c r="O40" s="347"/>
      <c r="P40" s="347"/>
      <c r="Q40" s="347"/>
    </row>
    <row r="41" spans="2:23" s="297" customFormat="1" x14ac:dyDescent="0.25">
      <c r="B41" s="345"/>
      <c r="C41" s="346"/>
      <c r="D41" s="347"/>
      <c r="E41" s="347"/>
      <c r="F41" s="347"/>
      <c r="G41" s="347"/>
      <c r="H41" s="347"/>
      <c r="I41" s="347"/>
      <c r="J41" s="347"/>
      <c r="K41" s="347"/>
      <c r="L41" s="347"/>
      <c r="M41" s="347"/>
      <c r="N41" s="347"/>
      <c r="O41" s="347"/>
      <c r="P41" s="347"/>
      <c r="Q41" s="347"/>
    </row>
    <row r="42" spans="2:23" s="297" customFormat="1" x14ac:dyDescent="0.25">
      <c r="B42" s="345"/>
      <c r="C42" s="346"/>
      <c r="D42" s="347"/>
      <c r="E42" s="347"/>
      <c r="F42" s="347"/>
      <c r="G42" s="347"/>
      <c r="H42" s="347"/>
      <c r="I42" s="347"/>
      <c r="J42" s="347"/>
      <c r="K42" s="347"/>
      <c r="L42" s="347"/>
      <c r="M42" s="347"/>
      <c r="N42" s="347"/>
      <c r="O42" s="347"/>
      <c r="P42" s="347"/>
      <c r="Q42" s="347"/>
    </row>
    <row r="43" spans="2:23" s="297" customFormat="1" x14ac:dyDescent="0.25">
      <c r="B43" s="345"/>
      <c r="C43" s="346"/>
      <c r="D43" s="347"/>
      <c r="E43" s="347"/>
      <c r="F43" s="347"/>
      <c r="G43" s="347"/>
      <c r="H43" s="347"/>
      <c r="I43" s="347"/>
      <c r="J43" s="347"/>
      <c r="K43" s="347"/>
      <c r="L43" s="347"/>
      <c r="M43" s="347"/>
      <c r="N43" s="347"/>
      <c r="O43" s="347"/>
      <c r="P43" s="347"/>
      <c r="Q43" s="347"/>
    </row>
    <row r="44" spans="2:23" s="297" customFormat="1" x14ac:dyDescent="0.25">
      <c r="B44" s="345"/>
      <c r="C44" s="346"/>
      <c r="D44" s="347"/>
      <c r="E44" s="347"/>
      <c r="F44" s="347"/>
      <c r="G44" s="347"/>
      <c r="H44" s="347"/>
      <c r="I44" s="347"/>
      <c r="J44" s="347"/>
      <c r="K44" s="347"/>
      <c r="L44" s="347"/>
      <c r="M44" s="347"/>
      <c r="N44" s="347"/>
      <c r="O44" s="347"/>
      <c r="P44" s="347"/>
      <c r="Q44" s="347"/>
    </row>
    <row r="45" spans="2:23" s="297" customFormat="1" x14ac:dyDescent="0.25">
      <c r="B45" s="345"/>
      <c r="C45" s="346"/>
      <c r="D45" s="347"/>
      <c r="E45" s="348"/>
      <c r="F45" s="347"/>
      <c r="G45" s="347"/>
      <c r="H45" s="347"/>
      <c r="I45" s="347"/>
      <c r="J45" s="347"/>
      <c r="K45" s="347"/>
      <c r="L45" s="347"/>
      <c r="M45" s="347"/>
      <c r="N45" s="347"/>
      <c r="O45" s="347"/>
      <c r="P45" s="347"/>
      <c r="Q45" s="347"/>
    </row>
    <row r="46" spans="2:23" s="297" customFormat="1" x14ac:dyDescent="0.25">
      <c r="B46" s="345"/>
      <c r="C46" s="346"/>
      <c r="D46" s="347"/>
      <c r="E46" s="348" t="e">
        <f>#REF!*D15</f>
        <v>#REF!</v>
      </c>
      <c r="F46" s="347"/>
      <c r="G46" s="347"/>
      <c r="H46" s="347"/>
      <c r="I46" s="347"/>
      <c r="J46" s="347"/>
      <c r="K46" s="347"/>
      <c r="L46" s="347"/>
      <c r="M46" s="347"/>
      <c r="N46" s="347"/>
      <c r="O46" s="347"/>
      <c r="P46" s="347"/>
      <c r="Q46" s="347"/>
    </row>
    <row r="47" spans="2:23" s="297" customFormat="1" x14ac:dyDescent="0.25">
      <c r="B47" s="345"/>
      <c r="C47" s="346"/>
      <c r="D47" s="347"/>
      <c r="E47" s="348" t="e">
        <f>#REF!*D20</f>
        <v>#REF!</v>
      </c>
      <c r="F47" s="347"/>
      <c r="G47" s="347"/>
      <c r="H47" s="347"/>
      <c r="I47" s="347"/>
      <c r="J47" s="347"/>
      <c r="K47" s="347"/>
      <c r="L47" s="347"/>
      <c r="M47" s="347"/>
      <c r="N47" s="347"/>
      <c r="O47" s="347"/>
      <c r="P47" s="347"/>
      <c r="Q47" s="347"/>
    </row>
    <row r="48" spans="2:23" s="297" customFormat="1" x14ac:dyDescent="0.25">
      <c r="B48" s="345"/>
      <c r="C48" s="346"/>
      <c r="D48" s="347"/>
      <c r="E48" s="348" t="e">
        <f>SUM(E46:E47)</f>
        <v>#REF!</v>
      </c>
      <c r="F48" s="347"/>
      <c r="G48" s="347"/>
      <c r="H48" s="347"/>
      <c r="I48" s="347"/>
      <c r="J48" s="347"/>
      <c r="K48" s="347"/>
      <c r="L48" s="347"/>
      <c r="M48" s="347"/>
      <c r="N48" s="347"/>
      <c r="O48" s="347"/>
      <c r="P48" s="347"/>
      <c r="Q48" s="347"/>
    </row>
    <row r="49" spans="2:17" s="297" customFormat="1" x14ac:dyDescent="0.25">
      <c r="B49" s="345"/>
      <c r="C49" s="346"/>
      <c r="D49" s="347"/>
      <c r="E49" s="347"/>
      <c r="F49" s="347"/>
      <c r="G49" s="347"/>
      <c r="H49" s="347"/>
      <c r="I49" s="347"/>
      <c r="J49" s="347"/>
      <c r="K49" s="347"/>
      <c r="L49" s="347"/>
      <c r="M49" s="347"/>
      <c r="N49" s="347"/>
      <c r="O49" s="347"/>
      <c r="P49" s="347"/>
      <c r="Q49" s="347"/>
    </row>
    <row r="50" spans="2:17" s="297" customFormat="1" x14ac:dyDescent="0.25">
      <c r="B50" s="345"/>
      <c r="C50" s="346"/>
      <c r="D50" s="347"/>
      <c r="E50" s="347"/>
      <c r="F50" s="347"/>
      <c r="G50" s="347"/>
      <c r="H50" s="347"/>
      <c r="I50" s="347"/>
      <c r="J50" s="347"/>
      <c r="K50" s="347"/>
      <c r="L50" s="347"/>
      <c r="M50" s="347"/>
      <c r="N50" s="347"/>
      <c r="O50" s="347"/>
      <c r="P50" s="347"/>
      <c r="Q50" s="347"/>
    </row>
    <row r="51" spans="2:17" s="297" customFormat="1" x14ac:dyDescent="0.25">
      <c r="B51" s="345"/>
      <c r="C51" s="346"/>
      <c r="D51" s="347"/>
      <c r="E51" s="347"/>
      <c r="F51" s="347"/>
      <c r="G51" s="347"/>
      <c r="H51" s="347"/>
      <c r="I51" s="347"/>
      <c r="J51" s="347"/>
      <c r="K51" s="347"/>
      <c r="L51" s="347"/>
      <c r="M51" s="347"/>
      <c r="N51" s="347"/>
      <c r="O51" s="347"/>
      <c r="P51" s="347"/>
      <c r="Q51" s="347"/>
    </row>
    <row r="52" spans="2:17" s="297" customFormat="1" x14ac:dyDescent="0.25">
      <c r="B52" s="345"/>
      <c r="C52" s="346"/>
      <c r="D52" s="347"/>
      <c r="E52" s="347"/>
      <c r="F52" s="347"/>
      <c r="G52" s="347"/>
      <c r="H52" s="347"/>
      <c r="I52" s="347"/>
      <c r="J52" s="347"/>
      <c r="K52" s="347"/>
      <c r="L52" s="347"/>
      <c r="M52" s="347"/>
      <c r="N52" s="347"/>
      <c r="O52" s="347"/>
      <c r="P52" s="347"/>
      <c r="Q52" s="347"/>
    </row>
    <row r="53" spans="2:17" s="297" customFormat="1" x14ac:dyDescent="0.25">
      <c r="B53" s="345"/>
      <c r="C53" s="346"/>
      <c r="D53" s="347"/>
      <c r="E53" s="347"/>
      <c r="F53" s="347"/>
      <c r="G53" s="347"/>
      <c r="H53" s="347"/>
      <c r="I53" s="347"/>
      <c r="J53" s="347"/>
      <c r="K53" s="347"/>
      <c r="L53" s="347"/>
      <c r="M53" s="347"/>
      <c r="N53" s="347"/>
      <c r="O53" s="347"/>
      <c r="P53" s="347"/>
      <c r="Q53" s="347"/>
    </row>
    <row r="54" spans="2:17" s="297" customFormat="1" x14ac:dyDescent="0.25">
      <c r="B54" s="345"/>
      <c r="C54" s="346"/>
      <c r="D54" s="347"/>
      <c r="E54" s="347"/>
      <c r="F54" s="347"/>
      <c r="G54" s="347"/>
      <c r="H54" s="347"/>
      <c r="I54" s="347"/>
      <c r="J54" s="347"/>
      <c r="K54" s="347"/>
      <c r="L54" s="347"/>
      <c r="M54" s="347"/>
      <c r="N54" s="347"/>
      <c r="O54" s="347"/>
      <c r="P54" s="347"/>
      <c r="Q54" s="347"/>
    </row>
    <row r="55" spans="2:17" s="297" customFormat="1" x14ac:dyDescent="0.25">
      <c r="B55" s="345"/>
      <c r="C55" s="346"/>
      <c r="D55" s="347"/>
      <c r="E55" s="347"/>
      <c r="F55" s="347"/>
      <c r="G55" s="347"/>
      <c r="H55" s="347"/>
      <c r="I55" s="347"/>
      <c r="J55" s="347"/>
      <c r="K55" s="347"/>
      <c r="L55" s="347"/>
      <c r="M55" s="347"/>
      <c r="N55" s="347"/>
      <c r="O55" s="347"/>
      <c r="P55" s="347"/>
      <c r="Q55" s="347"/>
    </row>
    <row r="56" spans="2:17" s="297" customFormat="1" x14ac:dyDescent="0.25">
      <c r="B56" s="345"/>
      <c r="C56" s="346"/>
      <c r="D56" s="347"/>
      <c r="E56" s="347"/>
      <c r="F56" s="347"/>
      <c r="G56" s="347"/>
      <c r="H56" s="347"/>
      <c r="I56" s="347"/>
      <c r="J56" s="347"/>
      <c r="K56" s="347"/>
      <c r="L56" s="347"/>
      <c r="M56" s="347"/>
      <c r="N56" s="347"/>
      <c r="O56" s="347"/>
      <c r="P56" s="347"/>
      <c r="Q56" s="347"/>
    </row>
    <row r="57" spans="2:17" s="297" customFormat="1" x14ac:dyDescent="0.25">
      <c r="B57" s="345"/>
      <c r="C57" s="346"/>
      <c r="D57" s="347"/>
      <c r="E57" s="347"/>
      <c r="F57" s="347"/>
      <c r="G57" s="347"/>
      <c r="H57" s="347"/>
      <c r="I57" s="347"/>
      <c r="J57" s="347"/>
      <c r="K57" s="347"/>
      <c r="L57" s="347"/>
      <c r="M57" s="347"/>
      <c r="N57" s="347"/>
      <c r="O57" s="347"/>
      <c r="P57" s="347"/>
      <c r="Q57" s="347"/>
    </row>
    <row r="58" spans="2:17" s="297" customFormat="1" x14ac:dyDescent="0.25">
      <c r="B58" s="345"/>
      <c r="C58" s="346"/>
      <c r="D58" s="347"/>
      <c r="E58" s="347"/>
      <c r="F58" s="347"/>
      <c r="G58" s="347"/>
      <c r="H58" s="347"/>
      <c r="I58" s="347"/>
      <c r="J58" s="347"/>
      <c r="K58" s="347"/>
      <c r="L58" s="347"/>
      <c r="M58" s="347"/>
      <c r="N58" s="347"/>
      <c r="O58" s="347"/>
      <c r="P58" s="347"/>
      <c r="Q58" s="347"/>
    </row>
    <row r="59" spans="2:17" s="297" customFormat="1" x14ac:dyDescent="0.25">
      <c r="B59" s="345"/>
      <c r="C59" s="346"/>
      <c r="D59" s="347"/>
      <c r="E59" s="347"/>
      <c r="F59" s="347"/>
      <c r="G59" s="347"/>
      <c r="H59" s="347"/>
      <c r="I59" s="347"/>
      <c r="J59" s="347"/>
      <c r="K59" s="347"/>
      <c r="L59" s="347"/>
      <c r="M59" s="347"/>
      <c r="N59" s="347"/>
      <c r="O59" s="347"/>
      <c r="P59" s="347"/>
      <c r="Q59" s="347"/>
    </row>
    <row r="60" spans="2:17" s="297" customFormat="1" x14ac:dyDescent="0.25">
      <c r="B60" s="345"/>
      <c r="C60" s="346"/>
      <c r="D60" s="347"/>
      <c r="E60" s="347"/>
      <c r="F60" s="347"/>
      <c r="G60" s="347"/>
      <c r="H60" s="347"/>
      <c r="I60" s="347"/>
      <c r="J60" s="347"/>
      <c r="K60" s="347"/>
      <c r="L60" s="347"/>
      <c r="M60" s="347"/>
      <c r="N60" s="347"/>
      <c r="O60" s="347"/>
      <c r="P60" s="347"/>
      <c r="Q60" s="347"/>
    </row>
    <row r="61" spans="2:17" s="297" customFormat="1" x14ac:dyDescent="0.25">
      <c r="B61" s="345"/>
      <c r="C61" s="346"/>
      <c r="D61" s="347"/>
      <c r="E61" s="347"/>
      <c r="F61" s="347"/>
      <c r="G61" s="347"/>
      <c r="H61" s="347"/>
      <c r="I61" s="347"/>
      <c r="J61" s="347"/>
      <c r="K61" s="347"/>
      <c r="L61" s="347"/>
      <c r="M61" s="347"/>
      <c r="N61" s="347"/>
      <c r="O61" s="347"/>
      <c r="P61" s="347"/>
      <c r="Q61" s="347"/>
    </row>
    <row r="62" spans="2:17" s="297" customFormat="1" x14ac:dyDescent="0.25">
      <c r="B62" s="345"/>
      <c r="C62" s="346"/>
      <c r="D62" s="347"/>
      <c r="E62" s="347"/>
      <c r="F62" s="347"/>
      <c r="G62" s="347"/>
      <c r="H62" s="347"/>
      <c r="I62" s="347"/>
      <c r="J62" s="347"/>
      <c r="K62" s="347"/>
      <c r="L62" s="347"/>
      <c r="M62" s="347"/>
      <c r="N62" s="347"/>
      <c r="O62" s="347"/>
      <c r="P62" s="347"/>
      <c r="Q62" s="347"/>
    </row>
    <row r="63" spans="2:17" s="297" customFormat="1" x14ac:dyDescent="0.25">
      <c r="B63" s="345"/>
      <c r="C63" s="346"/>
      <c r="D63" s="347"/>
      <c r="E63" s="347"/>
      <c r="F63" s="347"/>
      <c r="G63" s="347"/>
      <c r="H63" s="347"/>
      <c r="I63" s="347"/>
      <c r="J63" s="347"/>
      <c r="K63" s="347"/>
      <c r="L63" s="347"/>
      <c r="M63" s="347"/>
      <c r="N63" s="347"/>
      <c r="O63" s="347"/>
      <c r="P63" s="347"/>
      <c r="Q63" s="347"/>
    </row>
    <row r="64" spans="2:17" s="297" customFormat="1" x14ac:dyDescent="0.25">
      <c r="B64" s="345"/>
      <c r="C64" s="346"/>
      <c r="D64" s="347"/>
      <c r="E64" s="347"/>
      <c r="F64" s="347"/>
      <c r="G64" s="347"/>
      <c r="H64" s="347"/>
      <c r="I64" s="347"/>
      <c r="J64" s="347"/>
      <c r="K64" s="347"/>
      <c r="L64" s="347"/>
      <c r="M64" s="347"/>
      <c r="N64" s="347"/>
      <c r="O64" s="347"/>
      <c r="P64" s="347"/>
      <c r="Q64" s="347"/>
    </row>
    <row r="65" spans="2:17" s="297" customFormat="1" x14ac:dyDescent="0.25">
      <c r="B65" s="345"/>
      <c r="C65" s="346"/>
      <c r="D65" s="347"/>
      <c r="E65" s="347"/>
      <c r="F65" s="347"/>
      <c r="G65" s="347"/>
      <c r="H65" s="347"/>
      <c r="I65" s="347"/>
      <c r="J65" s="347"/>
      <c r="K65" s="347"/>
      <c r="L65" s="347"/>
      <c r="M65" s="347"/>
      <c r="N65" s="347"/>
      <c r="O65" s="347"/>
      <c r="P65" s="347"/>
      <c r="Q65" s="347"/>
    </row>
    <row r="66" spans="2:17" s="297" customFormat="1" x14ac:dyDescent="0.25">
      <c r="B66" s="345"/>
      <c r="C66" s="346"/>
      <c r="D66" s="347"/>
      <c r="E66" s="347"/>
      <c r="F66" s="347"/>
      <c r="G66" s="347"/>
      <c r="H66" s="347"/>
      <c r="I66" s="347"/>
      <c r="J66" s="347"/>
      <c r="K66" s="347"/>
      <c r="L66" s="347"/>
      <c r="M66" s="347"/>
      <c r="N66" s="347"/>
      <c r="O66" s="347"/>
      <c r="P66" s="347"/>
      <c r="Q66" s="347"/>
    </row>
    <row r="67" spans="2:17" s="297" customFormat="1" x14ac:dyDescent="0.25">
      <c r="B67" s="345"/>
      <c r="C67" s="346"/>
      <c r="D67" s="347"/>
      <c r="E67" s="347"/>
      <c r="F67" s="347"/>
      <c r="G67" s="347"/>
      <c r="H67" s="347"/>
      <c r="I67" s="347"/>
      <c r="J67" s="347"/>
      <c r="K67" s="347"/>
      <c r="L67" s="347"/>
      <c r="M67" s="347"/>
      <c r="N67" s="347"/>
      <c r="O67" s="347"/>
      <c r="P67" s="347"/>
      <c r="Q67" s="347"/>
    </row>
    <row r="68" spans="2:17" s="297" customFormat="1" x14ac:dyDescent="0.25">
      <c r="B68" s="345"/>
      <c r="C68" s="346"/>
      <c r="D68" s="347"/>
      <c r="E68" s="347"/>
      <c r="F68" s="347"/>
      <c r="G68" s="347"/>
      <c r="H68" s="347"/>
      <c r="I68" s="347"/>
      <c r="J68" s="347"/>
      <c r="K68" s="347"/>
      <c r="L68" s="347"/>
      <c r="M68" s="347"/>
      <c r="N68" s="347"/>
      <c r="O68" s="347"/>
      <c r="P68" s="347"/>
      <c r="Q68" s="347"/>
    </row>
    <row r="69" spans="2:17" s="297" customFormat="1" x14ac:dyDescent="0.25">
      <c r="B69" s="345"/>
      <c r="C69" s="346"/>
      <c r="D69" s="347"/>
      <c r="E69" s="347"/>
      <c r="F69" s="347"/>
      <c r="G69" s="347"/>
      <c r="H69" s="347"/>
      <c r="I69" s="347"/>
      <c r="J69" s="347"/>
      <c r="K69" s="347"/>
      <c r="L69" s="347"/>
      <c r="M69" s="347"/>
      <c r="N69" s="347"/>
      <c r="O69" s="347"/>
      <c r="P69" s="347"/>
      <c r="Q69" s="347"/>
    </row>
    <row r="70" spans="2:17" s="297" customFormat="1" x14ac:dyDescent="0.25">
      <c r="B70" s="345"/>
      <c r="C70" s="346"/>
      <c r="D70" s="347"/>
      <c r="E70" s="347"/>
      <c r="F70" s="347"/>
      <c r="G70" s="347"/>
      <c r="H70" s="347"/>
      <c r="I70" s="347"/>
      <c r="J70" s="347"/>
      <c r="K70" s="347"/>
      <c r="L70" s="347"/>
      <c r="M70" s="347"/>
      <c r="N70" s="347"/>
      <c r="O70" s="347"/>
      <c r="P70" s="347"/>
      <c r="Q70" s="347"/>
    </row>
    <row r="71" spans="2:17" s="297" customFormat="1" x14ac:dyDescent="0.25">
      <c r="B71" s="345"/>
      <c r="C71" s="346"/>
      <c r="D71" s="347"/>
      <c r="E71" s="347"/>
      <c r="F71" s="347"/>
      <c r="G71" s="347"/>
      <c r="H71" s="347"/>
      <c r="I71" s="347"/>
      <c r="J71" s="347"/>
      <c r="K71" s="347"/>
      <c r="L71" s="347"/>
      <c r="M71" s="347"/>
      <c r="N71" s="347"/>
      <c r="O71" s="347"/>
      <c r="P71" s="347"/>
      <c r="Q71" s="347"/>
    </row>
    <row r="72" spans="2:17" s="297" customFormat="1" x14ac:dyDescent="0.25">
      <c r="B72" s="345"/>
      <c r="C72" s="346"/>
      <c r="D72" s="347"/>
      <c r="E72" s="347"/>
      <c r="F72" s="347"/>
      <c r="G72" s="347"/>
      <c r="H72" s="347"/>
      <c r="I72" s="347"/>
      <c r="J72" s="347"/>
      <c r="K72" s="347"/>
      <c r="L72" s="347"/>
      <c r="M72" s="347"/>
      <c r="N72" s="347"/>
      <c r="O72" s="347"/>
      <c r="P72" s="347"/>
      <c r="Q72" s="347"/>
    </row>
    <row r="73" spans="2:17" s="297" customFormat="1" x14ac:dyDescent="0.25">
      <c r="B73" s="345"/>
      <c r="C73" s="346"/>
      <c r="D73" s="347"/>
      <c r="E73" s="347"/>
      <c r="F73" s="347"/>
      <c r="G73" s="347"/>
      <c r="H73" s="347"/>
      <c r="I73" s="347"/>
      <c r="J73" s="347"/>
      <c r="K73" s="347"/>
      <c r="L73" s="347"/>
      <c r="M73" s="347"/>
      <c r="N73" s="347"/>
      <c r="O73" s="347"/>
      <c r="P73" s="347"/>
      <c r="Q73" s="347"/>
    </row>
    <row r="74" spans="2:17" s="297" customFormat="1" x14ac:dyDescent="0.25">
      <c r="B74" s="345"/>
      <c r="C74" s="346"/>
      <c r="D74" s="347"/>
      <c r="E74" s="347"/>
      <c r="F74" s="347"/>
      <c r="G74" s="347"/>
      <c r="H74" s="347"/>
      <c r="I74" s="347"/>
      <c r="J74" s="347"/>
      <c r="K74" s="347"/>
      <c r="L74" s="347"/>
      <c r="M74" s="347"/>
      <c r="N74" s="347"/>
      <c r="O74" s="347"/>
      <c r="P74" s="347"/>
      <c r="Q74" s="347"/>
    </row>
    <row r="75" spans="2:17" s="297" customFormat="1" x14ac:dyDescent="0.25">
      <c r="B75" s="345"/>
      <c r="C75" s="346"/>
      <c r="D75" s="347"/>
      <c r="E75" s="347"/>
      <c r="F75" s="347"/>
      <c r="G75" s="347"/>
      <c r="H75" s="347"/>
      <c r="I75" s="347"/>
      <c r="J75" s="347"/>
      <c r="K75" s="347"/>
      <c r="L75" s="347"/>
      <c r="M75" s="347"/>
      <c r="N75" s="347"/>
      <c r="O75" s="347"/>
      <c r="P75" s="347"/>
      <c r="Q75" s="347"/>
    </row>
    <row r="76" spans="2:17" s="297" customFormat="1" x14ac:dyDescent="0.25">
      <c r="B76" s="345"/>
      <c r="C76" s="346"/>
      <c r="D76" s="347"/>
      <c r="E76" s="347"/>
      <c r="F76" s="347"/>
      <c r="G76" s="347"/>
      <c r="H76" s="347"/>
      <c r="I76" s="347"/>
      <c r="J76" s="347"/>
      <c r="K76" s="347"/>
      <c r="L76" s="347"/>
      <c r="M76" s="347"/>
      <c r="N76" s="347"/>
      <c r="O76" s="347"/>
      <c r="P76" s="347"/>
      <c r="Q76" s="347"/>
    </row>
    <row r="77" spans="2:17" s="297" customFormat="1" x14ac:dyDescent="0.25">
      <c r="B77" s="345"/>
      <c r="C77" s="346"/>
      <c r="D77" s="347"/>
      <c r="E77" s="347"/>
      <c r="F77" s="347"/>
      <c r="G77" s="347"/>
      <c r="H77" s="347"/>
      <c r="I77" s="347"/>
      <c r="J77" s="347"/>
      <c r="K77" s="347"/>
      <c r="L77" s="347"/>
      <c r="M77" s="347"/>
      <c r="N77" s="347"/>
      <c r="O77" s="347"/>
      <c r="P77" s="347"/>
      <c r="Q77" s="347"/>
    </row>
    <row r="78" spans="2:17" s="297" customFormat="1" x14ac:dyDescent="0.25">
      <c r="B78" s="345"/>
      <c r="C78" s="346"/>
      <c r="D78" s="347"/>
      <c r="E78" s="347"/>
      <c r="F78" s="347"/>
      <c r="G78" s="347"/>
      <c r="H78" s="347"/>
      <c r="I78" s="347"/>
      <c r="J78" s="347"/>
      <c r="K78" s="347"/>
      <c r="L78" s="347"/>
      <c r="M78" s="347"/>
      <c r="N78" s="347"/>
      <c r="O78" s="347"/>
      <c r="P78" s="347"/>
      <c r="Q78" s="347"/>
    </row>
    <row r="79" spans="2:17" s="297" customFormat="1" x14ac:dyDescent="0.25">
      <c r="B79" s="345"/>
      <c r="C79" s="346"/>
      <c r="D79" s="347"/>
      <c r="E79" s="347"/>
      <c r="F79" s="347"/>
      <c r="G79" s="347"/>
      <c r="H79" s="347"/>
      <c r="I79" s="347"/>
      <c r="J79" s="347"/>
      <c r="K79" s="347"/>
      <c r="L79" s="347"/>
      <c r="M79" s="347"/>
      <c r="N79" s="347"/>
      <c r="O79" s="347"/>
      <c r="P79" s="347"/>
      <c r="Q79" s="347"/>
    </row>
    <row r="80" spans="2:17" s="297" customFormat="1" x14ac:dyDescent="0.25">
      <c r="B80" s="345"/>
      <c r="C80" s="346"/>
      <c r="D80" s="347"/>
      <c r="E80" s="347"/>
      <c r="F80" s="347"/>
      <c r="G80" s="347"/>
      <c r="H80" s="347"/>
      <c r="I80" s="347"/>
      <c r="J80" s="347"/>
      <c r="K80" s="347"/>
      <c r="L80" s="347"/>
      <c r="M80" s="347"/>
      <c r="N80" s="347"/>
      <c r="O80" s="347"/>
      <c r="P80" s="347"/>
      <c r="Q80" s="347"/>
    </row>
    <row r="81" spans="2:17" s="297" customFormat="1" x14ac:dyDescent="0.25">
      <c r="B81" s="345"/>
      <c r="C81" s="346"/>
      <c r="D81" s="347"/>
      <c r="E81" s="347"/>
      <c r="F81" s="347"/>
      <c r="G81" s="347"/>
      <c r="H81" s="347"/>
      <c r="I81" s="347"/>
      <c r="J81" s="347"/>
      <c r="K81" s="347"/>
      <c r="L81" s="347"/>
      <c r="M81" s="347"/>
      <c r="N81" s="347"/>
      <c r="O81" s="347"/>
      <c r="P81" s="347"/>
      <c r="Q81" s="347"/>
    </row>
    <row r="82" spans="2:17" s="297" customFormat="1" x14ac:dyDescent="0.25">
      <c r="B82" s="345"/>
      <c r="C82" s="346"/>
      <c r="D82" s="347"/>
      <c r="E82" s="347"/>
      <c r="F82" s="347"/>
      <c r="G82" s="347"/>
      <c r="H82" s="347"/>
      <c r="I82" s="347"/>
      <c r="J82" s="347"/>
      <c r="K82" s="347"/>
      <c r="L82" s="347"/>
      <c r="M82" s="347"/>
      <c r="N82" s="347"/>
      <c r="O82" s="347"/>
      <c r="P82" s="347"/>
      <c r="Q82" s="347"/>
    </row>
    <row r="83" spans="2:17" s="297" customFormat="1" x14ac:dyDescent="0.25">
      <c r="B83" s="345"/>
      <c r="C83" s="346"/>
      <c r="D83" s="347"/>
      <c r="E83" s="347"/>
      <c r="F83" s="347"/>
      <c r="G83" s="347"/>
      <c r="H83" s="347"/>
      <c r="I83" s="347"/>
      <c r="J83" s="347"/>
      <c r="K83" s="347"/>
      <c r="L83" s="347"/>
      <c r="M83" s="347"/>
      <c r="N83" s="347"/>
      <c r="O83" s="347"/>
      <c r="P83" s="347"/>
      <c r="Q83" s="347"/>
    </row>
    <row r="84" spans="2:17" s="297" customFormat="1" x14ac:dyDescent="0.25">
      <c r="B84" s="345"/>
      <c r="C84" s="346"/>
      <c r="D84" s="347"/>
      <c r="E84" s="347"/>
      <c r="F84" s="347"/>
      <c r="G84" s="347"/>
      <c r="H84" s="347"/>
      <c r="I84" s="347"/>
      <c r="J84" s="347"/>
      <c r="K84" s="347"/>
      <c r="L84" s="347"/>
      <c r="M84" s="347"/>
      <c r="N84" s="347"/>
      <c r="O84" s="347"/>
      <c r="P84" s="347"/>
      <c r="Q84" s="347"/>
    </row>
    <row r="85" spans="2:17" s="297" customFormat="1" x14ac:dyDescent="0.25">
      <c r="B85" s="345"/>
      <c r="C85" s="346"/>
      <c r="D85" s="347"/>
      <c r="E85" s="347"/>
      <c r="F85" s="347"/>
      <c r="G85" s="347"/>
      <c r="H85" s="347"/>
      <c r="I85" s="347"/>
      <c r="J85" s="347"/>
      <c r="K85" s="347"/>
      <c r="L85" s="347"/>
      <c r="M85" s="347"/>
      <c r="N85" s="347"/>
      <c r="O85" s="347"/>
      <c r="P85" s="347"/>
      <c r="Q85" s="347"/>
    </row>
    <row r="86" spans="2:17" s="297" customFormat="1" x14ac:dyDescent="0.25">
      <c r="B86" s="345"/>
      <c r="C86" s="346"/>
      <c r="D86" s="347"/>
      <c r="E86" s="347"/>
      <c r="F86" s="347"/>
      <c r="G86" s="347"/>
      <c r="H86" s="347"/>
      <c r="I86" s="347"/>
      <c r="J86" s="347"/>
      <c r="K86" s="347"/>
      <c r="L86" s="347"/>
      <c r="M86" s="347"/>
      <c r="N86" s="347"/>
      <c r="O86" s="347"/>
      <c r="P86" s="347"/>
      <c r="Q86" s="347"/>
    </row>
    <row r="87" spans="2:17" s="297" customFormat="1" x14ac:dyDescent="0.25">
      <c r="B87" s="345"/>
      <c r="C87" s="346"/>
      <c r="D87" s="347"/>
      <c r="E87" s="347"/>
      <c r="F87" s="347"/>
      <c r="G87" s="347"/>
      <c r="H87" s="347"/>
      <c r="I87" s="347"/>
      <c r="J87" s="347"/>
      <c r="K87" s="347"/>
      <c r="L87" s="347"/>
      <c r="M87" s="347"/>
      <c r="N87" s="347"/>
      <c r="O87" s="347"/>
      <c r="P87" s="347"/>
      <c r="Q87" s="347"/>
    </row>
    <row r="88" spans="2:17" s="297" customFormat="1" x14ac:dyDescent="0.25">
      <c r="B88" s="345"/>
      <c r="C88" s="346"/>
      <c r="D88" s="347"/>
      <c r="E88" s="347"/>
      <c r="F88" s="347"/>
      <c r="G88" s="347"/>
      <c r="H88" s="347"/>
      <c r="I88" s="347"/>
      <c r="J88" s="347"/>
      <c r="K88" s="347"/>
      <c r="L88" s="347"/>
      <c r="M88" s="347"/>
      <c r="N88" s="347"/>
      <c r="O88" s="347"/>
      <c r="P88" s="347"/>
      <c r="Q88" s="347"/>
    </row>
    <row r="89" spans="2:17" s="297" customFormat="1" x14ac:dyDescent="0.25">
      <c r="B89" s="345"/>
      <c r="C89" s="346"/>
      <c r="D89" s="347"/>
      <c r="E89" s="347"/>
      <c r="F89" s="347"/>
      <c r="G89" s="347"/>
      <c r="H89" s="347"/>
      <c r="I89" s="347"/>
      <c r="J89" s="347"/>
      <c r="K89" s="347"/>
      <c r="L89" s="347"/>
      <c r="M89" s="347"/>
      <c r="N89" s="347"/>
      <c r="O89" s="347"/>
      <c r="P89" s="347"/>
      <c r="Q89" s="347"/>
    </row>
    <row r="90" spans="2:17" s="297" customFormat="1" x14ac:dyDescent="0.25">
      <c r="B90" s="345"/>
      <c r="C90" s="346"/>
      <c r="D90" s="347"/>
      <c r="E90" s="347"/>
      <c r="F90" s="347"/>
      <c r="G90" s="347"/>
      <c r="H90" s="347"/>
      <c r="I90" s="347"/>
      <c r="J90" s="347"/>
      <c r="K90" s="347"/>
      <c r="L90" s="347"/>
      <c r="M90" s="347"/>
      <c r="N90" s="347"/>
      <c r="O90" s="347"/>
      <c r="P90" s="347"/>
      <c r="Q90" s="347"/>
    </row>
    <row r="91" spans="2:17" s="297" customFormat="1" x14ac:dyDescent="0.25">
      <c r="B91" s="345"/>
      <c r="C91" s="346"/>
      <c r="D91" s="347"/>
      <c r="E91" s="347"/>
      <c r="F91" s="347"/>
      <c r="G91" s="347"/>
      <c r="H91" s="347"/>
      <c r="I91" s="347"/>
      <c r="J91" s="347"/>
      <c r="K91" s="347"/>
      <c r="L91" s="347"/>
      <c r="M91" s="347"/>
      <c r="N91" s="347"/>
      <c r="O91" s="347"/>
      <c r="P91" s="347"/>
      <c r="Q91" s="347"/>
    </row>
    <row r="92" spans="2:17" s="297" customFormat="1" x14ac:dyDescent="0.25">
      <c r="B92" s="345"/>
      <c r="C92" s="346"/>
      <c r="D92" s="347"/>
      <c r="E92" s="347"/>
      <c r="F92" s="347"/>
      <c r="G92" s="347"/>
      <c r="H92" s="347"/>
      <c r="I92" s="347"/>
      <c r="J92" s="347"/>
      <c r="K92" s="347"/>
      <c r="L92" s="347"/>
      <c r="M92" s="347"/>
      <c r="N92" s="347"/>
      <c r="O92" s="347"/>
      <c r="P92" s="347"/>
      <c r="Q92" s="347"/>
    </row>
    <row r="93" spans="2:17" s="297" customFormat="1" x14ac:dyDescent="0.25">
      <c r="B93" s="345"/>
      <c r="C93" s="346"/>
      <c r="D93" s="347"/>
      <c r="E93" s="347"/>
      <c r="F93" s="347"/>
      <c r="G93" s="347"/>
      <c r="H93" s="347"/>
      <c r="I93" s="347"/>
      <c r="J93" s="347"/>
      <c r="K93" s="347"/>
      <c r="L93" s="347"/>
      <c r="M93" s="347"/>
      <c r="N93" s="347"/>
      <c r="O93" s="347"/>
      <c r="P93" s="347"/>
      <c r="Q93" s="347"/>
    </row>
    <row r="94" spans="2:17" s="297" customFormat="1" x14ac:dyDescent="0.25">
      <c r="B94" s="345"/>
      <c r="C94" s="346"/>
      <c r="D94" s="347"/>
      <c r="E94" s="347"/>
      <c r="F94" s="347"/>
      <c r="G94" s="347"/>
      <c r="H94" s="347"/>
      <c r="I94" s="347"/>
      <c r="J94" s="347"/>
      <c r="K94" s="347"/>
      <c r="L94" s="347"/>
      <c r="M94" s="347"/>
      <c r="N94" s="347"/>
      <c r="O94" s="347"/>
      <c r="P94" s="347"/>
      <c r="Q94" s="347"/>
    </row>
    <row r="95" spans="2:17" s="297" customFormat="1" x14ac:dyDescent="0.25">
      <c r="B95" s="345"/>
      <c r="C95" s="346"/>
      <c r="D95" s="347"/>
      <c r="E95" s="347"/>
      <c r="F95" s="347"/>
      <c r="G95" s="347"/>
      <c r="H95" s="347"/>
      <c r="I95" s="347"/>
      <c r="J95" s="347"/>
      <c r="K95" s="347"/>
      <c r="L95" s="347"/>
      <c r="M95" s="347"/>
      <c r="N95" s="347"/>
      <c r="O95" s="347"/>
      <c r="P95" s="347"/>
      <c r="Q95" s="347"/>
    </row>
    <row r="96" spans="2:17" s="297" customFormat="1" x14ac:dyDescent="0.25">
      <c r="B96" s="345"/>
      <c r="C96" s="346"/>
      <c r="D96" s="347"/>
      <c r="E96" s="347"/>
      <c r="F96" s="347"/>
      <c r="G96" s="347"/>
      <c r="H96" s="347"/>
      <c r="I96" s="347"/>
      <c r="J96" s="347"/>
      <c r="K96" s="347"/>
      <c r="L96" s="347"/>
      <c r="M96" s="347"/>
      <c r="N96" s="347"/>
      <c r="O96" s="347"/>
      <c r="P96" s="347"/>
      <c r="Q96" s="347"/>
    </row>
    <row r="97" spans="2:17" s="297" customFormat="1" x14ac:dyDescent="0.25">
      <c r="B97" s="345"/>
      <c r="C97" s="346"/>
      <c r="D97" s="347"/>
      <c r="E97" s="347"/>
      <c r="F97" s="347"/>
      <c r="G97" s="347"/>
      <c r="H97" s="347"/>
      <c r="I97" s="347"/>
      <c r="J97" s="347"/>
      <c r="K97" s="347"/>
      <c r="L97" s="347"/>
      <c r="M97" s="347"/>
      <c r="N97" s="347"/>
      <c r="O97" s="347"/>
      <c r="P97" s="347"/>
      <c r="Q97" s="347"/>
    </row>
    <row r="98" spans="2:17" s="297" customFormat="1" x14ac:dyDescent="0.25">
      <c r="B98" s="345"/>
      <c r="C98" s="346"/>
      <c r="D98" s="347"/>
      <c r="E98" s="347"/>
      <c r="F98" s="347"/>
      <c r="G98" s="347"/>
      <c r="H98" s="347"/>
      <c r="I98" s="347"/>
      <c r="J98" s="347"/>
      <c r="K98" s="347"/>
      <c r="L98" s="347"/>
      <c r="M98" s="347"/>
      <c r="N98" s="347"/>
      <c r="O98" s="347"/>
      <c r="P98" s="347"/>
      <c r="Q98" s="347"/>
    </row>
    <row r="99" spans="2:17" s="297" customFormat="1" x14ac:dyDescent="0.25">
      <c r="B99" s="345"/>
      <c r="C99" s="346"/>
      <c r="D99" s="347"/>
      <c r="E99" s="347"/>
      <c r="F99" s="347"/>
      <c r="G99" s="347"/>
      <c r="H99" s="347"/>
      <c r="I99" s="347"/>
      <c r="J99" s="347"/>
      <c r="K99" s="347"/>
      <c r="L99" s="347"/>
      <c r="M99" s="347"/>
      <c r="N99" s="347"/>
      <c r="O99" s="347"/>
      <c r="P99" s="347"/>
      <c r="Q99" s="347"/>
    </row>
    <row r="100" spans="2:17" s="297" customFormat="1" x14ac:dyDescent="0.25">
      <c r="B100" s="345"/>
      <c r="C100" s="346"/>
      <c r="D100" s="347"/>
      <c r="E100" s="347"/>
      <c r="F100" s="347"/>
      <c r="G100" s="347"/>
      <c r="H100" s="347"/>
      <c r="I100" s="347"/>
      <c r="J100" s="347"/>
      <c r="K100" s="347"/>
      <c r="L100" s="347"/>
      <c r="M100" s="347"/>
      <c r="N100" s="347"/>
      <c r="O100" s="347"/>
      <c r="P100" s="347"/>
      <c r="Q100" s="347"/>
    </row>
    <row r="101" spans="2:17" s="297" customFormat="1" x14ac:dyDescent="0.25">
      <c r="B101" s="345"/>
      <c r="C101" s="346"/>
      <c r="D101" s="347"/>
      <c r="E101" s="347"/>
      <c r="F101" s="347"/>
      <c r="G101" s="347"/>
      <c r="H101" s="347"/>
      <c r="I101" s="347"/>
      <c r="J101" s="347"/>
      <c r="K101" s="347"/>
      <c r="L101" s="347"/>
      <c r="M101" s="347"/>
      <c r="N101" s="347"/>
      <c r="O101" s="347"/>
      <c r="P101" s="347"/>
      <c r="Q101" s="347"/>
    </row>
    <row r="102" spans="2:17" s="297" customFormat="1" x14ac:dyDescent="0.25">
      <c r="B102" s="345"/>
      <c r="C102" s="346"/>
      <c r="D102" s="347"/>
      <c r="E102" s="347"/>
      <c r="F102" s="347"/>
      <c r="G102" s="347"/>
      <c r="H102" s="347"/>
      <c r="I102" s="347"/>
      <c r="J102" s="347"/>
      <c r="K102" s="347"/>
      <c r="L102" s="347"/>
      <c r="M102" s="347"/>
      <c r="N102" s="347"/>
      <c r="O102" s="347"/>
      <c r="P102" s="347"/>
      <c r="Q102" s="347"/>
    </row>
    <row r="103" spans="2:17" s="297" customFormat="1" x14ac:dyDescent="0.25">
      <c r="B103" s="345"/>
      <c r="C103" s="346"/>
      <c r="D103" s="347"/>
      <c r="E103" s="347"/>
      <c r="F103" s="347"/>
      <c r="G103" s="347"/>
      <c r="H103" s="347"/>
      <c r="I103" s="347"/>
      <c r="J103" s="347"/>
      <c r="K103" s="347"/>
      <c r="L103" s="347"/>
      <c r="M103" s="347"/>
      <c r="N103" s="347"/>
      <c r="O103" s="347"/>
      <c r="P103" s="347"/>
      <c r="Q103" s="347"/>
    </row>
    <row r="104" spans="2:17" s="297" customFormat="1" x14ac:dyDescent="0.25">
      <c r="B104" s="345"/>
      <c r="C104" s="346"/>
      <c r="D104" s="347"/>
      <c r="E104" s="347"/>
      <c r="F104" s="347"/>
      <c r="G104" s="347"/>
      <c r="H104" s="347"/>
      <c r="I104" s="347"/>
      <c r="J104" s="347"/>
      <c r="K104" s="347"/>
      <c r="L104" s="347"/>
      <c r="M104" s="347"/>
      <c r="N104" s="347"/>
      <c r="O104" s="347"/>
      <c r="P104" s="347"/>
      <c r="Q104" s="347"/>
    </row>
    <row r="105" spans="2:17" s="297" customFormat="1" x14ac:dyDescent="0.25">
      <c r="B105" s="345"/>
      <c r="C105" s="346"/>
      <c r="D105" s="347"/>
      <c r="E105" s="347"/>
      <c r="F105" s="347"/>
      <c r="G105" s="347"/>
      <c r="H105" s="347"/>
      <c r="I105" s="347"/>
      <c r="J105" s="347"/>
      <c r="K105" s="347"/>
      <c r="L105" s="347"/>
      <c r="M105" s="347"/>
      <c r="N105" s="347"/>
      <c r="O105" s="347"/>
      <c r="P105" s="347"/>
      <c r="Q105" s="347"/>
    </row>
    <row r="106" spans="2:17" s="297" customFormat="1" x14ac:dyDescent="0.25">
      <c r="B106" s="345"/>
      <c r="C106" s="346"/>
      <c r="D106" s="347"/>
      <c r="E106" s="347"/>
      <c r="F106" s="347"/>
      <c r="G106" s="347"/>
      <c r="H106" s="347"/>
      <c r="I106" s="347"/>
      <c r="J106" s="347"/>
      <c r="K106" s="347"/>
      <c r="L106" s="347"/>
      <c r="M106" s="347"/>
      <c r="N106" s="347"/>
      <c r="O106" s="347"/>
      <c r="P106" s="347"/>
      <c r="Q106" s="347"/>
    </row>
    <row r="107" spans="2:17" s="297" customFormat="1" x14ac:dyDescent="0.25">
      <c r="B107" s="345"/>
      <c r="C107" s="346"/>
      <c r="D107" s="347"/>
      <c r="E107" s="347"/>
      <c r="F107" s="347"/>
      <c r="G107" s="347"/>
      <c r="H107" s="347"/>
      <c r="I107" s="347"/>
      <c r="J107" s="347"/>
      <c r="K107" s="347"/>
      <c r="L107" s="347"/>
      <c r="M107" s="347"/>
      <c r="N107" s="347"/>
      <c r="O107" s="347"/>
      <c r="P107" s="347"/>
      <c r="Q107" s="347"/>
    </row>
    <row r="108" spans="2:17" s="297" customFormat="1" x14ac:dyDescent="0.25">
      <c r="B108" s="345"/>
      <c r="C108" s="346"/>
      <c r="D108" s="347"/>
      <c r="E108" s="347"/>
      <c r="F108" s="347"/>
      <c r="G108" s="347"/>
      <c r="H108" s="347"/>
      <c r="I108" s="347"/>
      <c r="J108" s="347"/>
      <c r="K108" s="347"/>
      <c r="L108" s="347"/>
      <c r="M108" s="347"/>
      <c r="N108" s="347"/>
      <c r="O108" s="347"/>
      <c r="P108" s="347"/>
      <c r="Q108" s="347"/>
    </row>
    <row r="109" spans="2:17" s="297" customFormat="1" x14ac:dyDescent="0.25">
      <c r="B109" s="345"/>
      <c r="C109" s="346"/>
      <c r="D109" s="347"/>
      <c r="E109" s="347"/>
      <c r="F109" s="347"/>
      <c r="G109" s="347"/>
      <c r="H109" s="347"/>
      <c r="I109" s="347"/>
      <c r="J109" s="347"/>
      <c r="K109" s="347"/>
      <c r="L109" s="347"/>
      <c r="M109" s="347"/>
      <c r="N109" s="347"/>
      <c r="O109" s="347"/>
      <c r="P109" s="347"/>
      <c r="Q109" s="347"/>
    </row>
    <row r="110" spans="2:17" s="297" customFormat="1" x14ac:dyDescent="0.25">
      <c r="B110" s="345"/>
      <c r="C110" s="346"/>
      <c r="D110" s="347"/>
      <c r="E110" s="347"/>
      <c r="F110" s="347"/>
      <c r="G110" s="347"/>
      <c r="H110" s="347"/>
      <c r="I110" s="347"/>
      <c r="J110" s="347"/>
      <c r="K110" s="347"/>
      <c r="L110" s="347"/>
      <c r="M110" s="347"/>
      <c r="N110" s="347"/>
      <c r="O110" s="347"/>
      <c r="P110" s="347"/>
      <c r="Q110" s="347"/>
    </row>
    <row r="111" spans="2:17" s="297" customFormat="1" x14ac:dyDescent="0.25">
      <c r="B111" s="345"/>
      <c r="C111" s="346"/>
      <c r="D111" s="347"/>
      <c r="E111" s="347"/>
      <c r="F111" s="347"/>
      <c r="G111" s="347"/>
      <c r="H111" s="347"/>
      <c r="I111" s="347"/>
      <c r="J111" s="347"/>
      <c r="K111" s="347"/>
      <c r="L111" s="347"/>
      <c r="M111" s="347"/>
      <c r="N111" s="347"/>
      <c r="O111" s="347"/>
      <c r="P111" s="347"/>
      <c r="Q111" s="347"/>
    </row>
    <row r="112" spans="2:17" s="297" customFormat="1" x14ac:dyDescent="0.25">
      <c r="B112" s="345"/>
      <c r="C112" s="346"/>
      <c r="D112" s="347"/>
      <c r="E112" s="347"/>
      <c r="F112" s="347"/>
      <c r="G112" s="347"/>
      <c r="H112" s="347"/>
      <c r="I112" s="347"/>
      <c r="J112" s="347"/>
      <c r="K112" s="347"/>
      <c r="L112" s="347"/>
      <c r="M112" s="347"/>
      <c r="N112" s="347"/>
      <c r="O112" s="347"/>
      <c r="P112" s="347"/>
      <c r="Q112" s="347"/>
    </row>
    <row r="113" spans="2:17" s="297" customFormat="1" x14ac:dyDescent="0.25">
      <c r="B113" s="345"/>
      <c r="C113" s="346"/>
      <c r="D113" s="347"/>
      <c r="E113" s="347"/>
      <c r="F113" s="347"/>
      <c r="G113" s="347"/>
      <c r="H113" s="347"/>
      <c r="I113" s="347"/>
      <c r="J113" s="347"/>
      <c r="K113" s="347"/>
      <c r="L113" s="347"/>
      <c r="M113" s="347"/>
      <c r="N113" s="347"/>
      <c r="O113" s="347"/>
      <c r="P113" s="347"/>
      <c r="Q113" s="347"/>
    </row>
    <row r="114" spans="2:17" s="297" customFormat="1" x14ac:dyDescent="0.25">
      <c r="B114" s="345"/>
      <c r="C114" s="346"/>
      <c r="D114" s="347"/>
      <c r="E114" s="347"/>
      <c r="F114" s="347"/>
      <c r="G114" s="347"/>
      <c r="H114" s="347"/>
      <c r="I114" s="347"/>
      <c r="J114" s="347"/>
      <c r="K114" s="347"/>
      <c r="L114" s="347"/>
      <c r="M114" s="347"/>
      <c r="N114" s="347"/>
      <c r="O114" s="347"/>
      <c r="P114" s="347"/>
      <c r="Q114" s="347"/>
    </row>
    <row r="115" spans="2:17" s="297" customFormat="1" x14ac:dyDescent="0.25">
      <c r="B115" s="345"/>
      <c r="C115" s="346"/>
      <c r="D115" s="347"/>
      <c r="E115" s="347"/>
      <c r="F115" s="347"/>
      <c r="G115" s="347"/>
      <c r="H115" s="347"/>
      <c r="I115" s="347"/>
      <c r="J115" s="347"/>
      <c r="K115" s="347"/>
      <c r="L115" s="347"/>
      <c r="M115" s="347"/>
      <c r="N115" s="347"/>
      <c r="O115" s="347"/>
      <c r="P115" s="347"/>
      <c r="Q115" s="347"/>
    </row>
    <row r="116" spans="2:17" s="297" customFormat="1" x14ac:dyDescent="0.25">
      <c r="B116" s="345"/>
      <c r="C116" s="346"/>
      <c r="D116" s="347"/>
      <c r="E116" s="347"/>
      <c r="F116" s="347"/>
      <c r="G116" s="347"/>
      <c r="H116" s="347"/>
      <c r="I116" s="347"/>
      <c r="J116" s="347"/>
      <c r="K116" s="347"/>
      <c r="L116" s="347"/>
      <c r="M116" s="347"/>
      <c r="N116" s="347"/>
      <c r="O116" s="347"/>
      <c r="P116" s="347"/>
      <c r="Q116" s="347"/>
    </row>
    <row r="117" spans="2:17" s="297" customFormat="1" x14ac:dyDescent="0.25">
      <c r="B117" s="345"/>
      <c r="C117" s="346"/>
      <c r="D117" s="347"/>
      <c r="E117" s="347"/>
      <c r="F117" s="347"/>
      <c r="G117" s="347"/>
      <c r="H117" s="347"/>
      <c r="I117" s="347"/>
      <c r="J117" s="347"/>
      <c r="K117" s="347"/>
      <c r="L117" s="347"/>
      <c r="M117" s="347"/>
      <c r="N117" s="347"/>
      <c r="O117" s="347"/>
      <c r="P117" s="347"/>
      <c r="Q117" s="347"/>
    </row>
    <row r="118" spans="2:17" s="297" customFormat="1" x14ac:dyDescent="0.25">
      <c r="B118" s="345"/>
      <c r="C118" s="346"/>
      <c r="D118" s="347"/>
      <c r="E118" s="347"/>
      <c r="F118" s="347"/>
      <c r="G118" s="347"/>
      <c r="H118" s="347"/>
      <c r="I118" s="347"/>
      <c r="J118" s="347"/>
      <c r="K118" s="347"/>
      <c r="L118" s="347"/>
      <c r="M118" s="347"/>
      <c r="N118" s="347"/>
      <c r="O118" s="347"/>
      <c r="P118" s="347"/>
      <c r="Q118" s="347"/>
    </row>
    <row r="119" spans="2:17" s="297" customFormat="1" x14ac:dyDescent="0.25">
      <c r="B119" s="345"/>
      <c r="C119" s="346"/>
      <c r="D119" s="347"/>
      <c r="E119" s="347"/>
      <c r="F119" s="347"/>
      <c r="G119" s="347"/>
      <c r="H119" s="347"/>
      <c r="I119" s="347"/>
      <c r="J119" s="347"/>
      <c r="K119" s="347"/>
      <c r="L119" s="347"/>
      <c r="M119" s="347"/>
      <c r="N119" s="347"/>
      <c r="O119" s="347"/>
      <c r="P119" s="347"/>
      <c r="Q119" s="347"/>
    </row>
    <row r="120" spans="2:17" s="297" customFormat="1" x14ac:dyDescent="0.25">
      <c r="B120" s="345"/>
      <c r="C120" s="346"/>
      <c r="D120" s="347"/>
      <c r="E120" s="347"/>
      <c r="F120" s="347"/>
      <c r="G120" s="347"/>
      <c r="H120" s="347"/>
      <c r="I120" s="347"/>
      <c r="J120" s="347"/>
      <c r="K120" s="347"/>
      <c r="L120" s="347"/>
      <c r="M120" s="347"/>
      <c r="N120" s="347"/>
      <c r="O120" s="347"/>
      <c r="P120" s="347"/>
      <c r="Q120" s="347"/>
    </row>
    <row r="121" spans="2:17" s="297" customFormat="1" x14ac:dyDescent="0.25">
      <c r="B121" s="345"/>
      <c r="C121" s="346"/>
      <c r="D121" s="347"/>
      <c r="E121" s="347"/>
      <c r="F121" s="347"/>
      <c r="G121" s="347"/>
      <c r="H121" s="347"/>
      <c r="I121" s="347"/>
      <c r="J121" s="347"/>
      <c r="K121" s="347"/>
      <c r="L121" s="347"/>
      <c r="M121" s="347"/>
      <c r="N121" s="347"/>
      <c r="O121" s="347"/>
      <c r="P121" s="347"/>
      <c r="Q121" s="347"/>
    </row>
    <row r="122" spans="2:17" s="297" customFormat="1" x14ac:dyDescent="0.25">
      <c r="B122" s="345"/>
      <c r="C122" s="346"/>
      <c r="D122" s="347"/>
      <c r="E122" s="347"/>
      <c r="F122" s="347"/>
      <c r="G122" s="347"/>
      <c r="H122" s="347"/>
      <c r="I122" s="347"/>
      <c r="J122" s="347"/>
      <c r="K122" s="347"/>
      <c r="L122" s="347"/>
      <c r="M122" s="347"/>
      <c r="N122" s="347"/>
      <c r="O122" s="347"/>
      <c r="P122" s="347"/>
      <c r="Q122" s="347"/>
    </row>
    <row r="123" spans="2:17" s="297" customFormat="1" x14ac:dyDescent="0.25">
      <c r="B123" s="345"/>
      <c r="C123" s="346"/>
      <c r="D123" s="347"/>
      <c r="E123" s="347"/>
      <c r="F123" s="347"/>
      <c r="G123" s="347"/>
      <c r="H123" s="347"/>
      <c r="I123" s="347"/>
      <c r="J123" s="347"/>
      <c r="K123" s="347"/>
      <c r="L123" s="347"/>
      <c r="M123" s="347"/>
      <c r="N123" s="347"/>
      <c r="O123" s="347"/>
      <c r="P123" s="347"/>
      <c r="Q123" s="347"/>
    </row>
    <row r="124" spans="2:17" s="297" customFormat="1" x14ac:dyDescent="0.25">
      <c r="B124" s="345"/>
      <c r="C124" s="346"/>
      <c r="D124" s="347"/>
      <c r="E124" s="347"/>
      <c r="F124" s="347"/>
      <c r="G124" s="347"/>
      <c r="H124" s="347"/>
      <c r="I124" s="347"/>
      <c r="J124" s="347"/>
      <c r="K124" s="347"/>
      <c r="L124" s="347"/>
      <c r="M124" s="347"/>
      <c r="N124" s="347"/>
      <c r="O124" s="347"/>
      <c r="P124" s="347"/>
      <c r="Q124" s="347"/>
    </row>
    <row r="125" spans="2:17" s="297" customFormat="1" x14ac:dyDescent="0.25">
      <c r="B125" s="345"/>
      <c r="C125" s="346"/>
      <c r="D125" s="347"/>
      <c r="E125" s="347"/>
      <c r="F125" s="347"/>
      <c r="G125" s="347"/>
      <c r="H125" s="347"/>
      <c r="I125" s="347"/>
      <c r="J125" s="347"/>
      <c r="K125" s="347"/>
      <c r="L125" s="347"/>
      <c r="M125" s="347"/>
      <c r="N125" s="347"/>
      <c r="O125" s="347"/>
      <c r="P125" s="347"/>
      <c r="Q125" s="347"/>
    </row>
    <row r="126" spans="2:17" s="297" customFormat="1" x14ac:dyDescent="0.25">
      <c r="B126" s="345"/>
      <c r="C126" s="346"/>
      <c r="D126" s="347"/>
      <c r="E126" s="347"/>
      <c r="F126" s="347"/>
      <c r="G126" s="347"/>
      <c r="H126" s="347"/>
      <c r="I126" s="347"/>
      <c r="J126" s="347"/>
      <c r="K126" s="347"/>
      <c r="L126" s="347"/>
      <c r="M126" s="347"/>
      <c r="N126" s="347"/>
      <c r="O126" s="347"/>
      <c r="P126" s="347"/>
      <c r="Q126" s="347"/>
    </row>
    <row r="127" spans="2:17" s="297" customFormat="1" x14ac:dyDescent="0.25">
      <c r="B127" s="345"/>
      <c r="C127" s="346"/>
      <c r="D127" s="347"/>
      <c r="E127" s="347"/>
      <c r="F127" s="347"/>
      <c r="G127" s="347"/>
      <c r="H127" s="347"/>
      <c r="I127" s="347"/>
      <c r="J127" s="347"/>
      <c r="K127" s="347"/>
      <c r="L127" s="347"/>
      <c r="M127" s="347"/>
      <c r="N127" s="347"/>
      <c r="O127" s="347"/>
      <c r="P127" s="347"/>
      <c r="Q127" s="347"/>
    </row>
    <row r="128" spans="2:17" s="297" customFormat="1" x14ac:dyDescent="0.25">
      <c r="B128" s="345"/>
      <c r="C128" s="346"/>
      <c r="D128" s="347"/>
      <c r="E128" s="347"/>
      <c r="F128" s="347"/>
      <c r="G128" s="347"/>
      <c r="H128" s="347"/>
      <c r="I128" s="347"/>
      <c r="J128" s="347"/>
      <c r="K128" s="347"/>
      <c r="L128" s="347"/>
      <c r="M128" s="347"/>
      <c r="N128" s="347"/>
      <c r="O128" s="347"/>
      <c r="P128" s="347"/>
      <c r="Q128" s="347"/>
    </row>
    <row r="129" spans="2:17" s="297" customFormat="1" x14ac:dyDescent="0.25">
      <c r="B129" s="345"/>
      <c r="C129" s="346"/>
      <c r="D129" s="347"/>
      <c r="E129" s="347"/>
      <c r="F129" s="347"/>
      <c r="G129" s="347"/>
      <c r="H129" s="347"/>
      <c r="I129" s="347"/>
      <c r="J129" s="347"/>
      <c r="K129" s="347"/>
      <c r="L129" s="347"/>
      <c r="M129" s="347"/>
      <c r="N129" s="347"/>
      <c r="O129" s="347"/>
      <c r="P129" s="347"/>
      <c r="Q129" s="347"/>
    </row>
    <row r="130" spans="2:17" s="297" customFormat="1" x14ac:dyDescent="0.25">
      <c r="B130" s="345"/>
      <c r="C130" s="346"/>
      <c r="D130" s="347"/>
      <c r="E130" s="347"/>
      <c r="F130" s="347"/>
      <c r="G130" s="347"/>
      <c r="H130" s="347"/>
      <c r="I130" s="347"/>
      <c r="J130" s="347"/>
      <c r="K130" s="347"/>
      <c r="L130" s="347"/>
      <c r="M130" s="347"/>
      <c r="N130" s="347"/>
      <c r="O130" s="347"/>
      <c r="P130" s="347"/>
      <c r="Q130" s="347"/>
    </row>
    <row r="131" spans="2:17" s="297" customFormat="1" x14ac:dyDescent="0.25">
      <c r="B131" s="345"/>
      <c r="C131" s="346"/>
      <c r="D131" s="347"/>
      <c r="E131" s="347"/>
      <c r="F131" s="347"/>
      <c r="G131" s="347"/>
      <c r="H131" s="347"/>
      <c r="I131" s="347"/>
      <c r="J131" s="347"/>
      <c r="K131" s="347"/>
      <c r="L131" s="347"/>
      <c r="M131" s="347"/>
      <c r="N131" s="347"/>
      <c r="O131" s="347"/>
      <c r="P131" s="347"/>
      <c r="Q131" s="347"/>
    </row>
    <row r="132" spans="2:17" s="297" customFormat="1" x14ac:dyDescent="0.25">
      <c r="B132" s="345"/>
      <c r="C132" s="346"/>
      <c r="D132" s="347"/>
      <c r="E132" s="347"/>
      <c r="F132" s="347"/>
      <c r="G132" s="347"/>
      <c r="H132" s="347"/>
      <c r="I132" s="347"/>
      <c r="J132" s="347"/>
      <c r="K132" s="347"/>
      <c r="L132" s="347"/>
      <c r="M132" s="347"/>
      <c r="N132" s="347"/>
      <c r="O132" s="347"/>
      <c r="P132" s="347"/>
      <c r="Q132" s="347"/>
    </row>
    <row r="133" spans="2:17" s="297" customFormat="1" x14ac:dyDescent="0.25">
      <c r="B133" s="345"/>
      <c r="C133" s="346"/>
      <c r="D133" s="347"/>
      <c r="E133" s="347"/>
      <c r="F133" s="347"/>
      <c r="G133" s="347"/>
      <c r="H133" s="347"/>
      <c r="I133" s="347"/>
      <c r="J133" s="347"/>
      <c r="K133" s="347"/>
      <c r="L133" s="347"/>
      <c r="M133" s="347"/>
      <c r="N133" s="347"/>
      <c r="O133" s="347"/>
      <c r="P133" s="347"/>
      <c r="Q133" s="347"/>
    </row>
    <row r="134" spans="2:17" s="297" customFormat="1" x14ac:dyDescent="0.25">
      <c r="B134" s="345"/>
      <c r="C134" s="346"/>
      <c r="D134" s="347"/>
      <c r="E134" s="347"/>
      <c r="F134" s="347"/>
      <c r="G134" s="347"/>
      <c r="H134" s="347"/>
      <c r="I134" s="347"/>
      <c r="J134" s="347"/>
      <c r="K134" s="347"/>
      <c r="L134" s="347"/>
      <c r="M134" s="347"/>
      <c r="N134" s="347"/>
      <c r="O134" s="347"/>
      <c r="P134" s="347"/>
      <c r="Q134" s="347"/>
    </row>
    <row r="135" spans="2:17" s="297" customFormat="1" x14ac:dyDescent="0.25">
      <c r="B135" s="345"/>
      <c r="C135" s="346"/>
      <c r="D135" s="347"/>
      <c r="E135" s="347"/>
      <c r="F135" s="347"/>
      <c r="G135" s="347"/>
      <c r="H135" s="347"/>
      <c r="I135" s="347"/>
      <c r="J135" s="347"/>
      <c r="K135" s="347"/>
      <c r="L135" s="347"/>
      <c r="M135" s="347"/>
      <c r="N135" s="347"/>
      <c r="O135" s="347"/>
      <c r="P135" s="347"/>
      <c r="Q135" s="347"/>
    </row>
    <row r="136" spans="2:17" s="297" customFormat="1" x14ac:dyDescent="0.25">
      <c r="B136" s="345"/>
      <c r="C136" s="346"/>
      <c r="D136" s="347"/>
      <c r="E136" s="347"/>
      <c r="F136" s="347"/>
      <c r="G136" s="347"/>
      <c r="H136" s="347"/>
      <c r="I136" s="347"/>
      <c r="J136" s="347"/>
      <c r="K136" s="347"/>
      <c r="L136" s="347"/>
      <c r="M136" s="347"/>
      <c r="N136" s="347"/>
      <c r="O136" s="347"/>
      <c r="P136" s="347"/>
      <c r="Q136" s="347"/>
    </row>
    <row r="137" spans="2:17" s="297" customFormat="1" x14ac:dyDescent="0.25">
      <c r="B137" s="345"/>
      <c r="C137" s="346"/>
      <c r="D137" s="347"/>
      <c r="E137" s="347"/>
      <c r="F137" s="347"/>
      <c r="G137" s="347"/>
      <c r="H137" s="347"/>
      <c r="I137" s="347"/>
      <c r="J137" s="347"/>
      <c r="K137" s="347"/>
      <c r="L137" s="347"/>
      <c r="M137" s="347"/>
      <c r="N137" s="347"/>
      <c r="O137" s="347"/>
      <c r="P137" s="347"/>
      <c r="Q137" s="347"/>
    </row>
    <row r="138" spans="2:17" s="297" customFormat="1" x14ac:dyDescent="0.25">
      <c r="B138" s="345"/>
      <c r="C138" s="346"/>
      <c r="D138" s="347"/>
      <c r="E138" s="347"/>
      <c r="F138" s="347"/>
      <c r="G138" s="347"/>
      <c r="H138" s="347"/>
      <c r="I138" s="347"/>
      <c r="J138" s="347"/>
      <c r="K138" s="347"/>
      <c r="L138" s="347"/>
      <c r="M138" s="347"/>
      <c r="N138" s="347"/>
      <c r="O138" s="347"/>
      <c r="P138" s="347"/>
      <c r="Q138" s="347"/>
    </row>
    <row r="139" spans="2:17" s="297" customFormat="1" x14ac:dyDescent="0.25">
      <c r="B139" s="345"/>
      <c r="C139" s="346"/>
      <c r="D139" s="347"/>
      <c r="E139" s="347"/>
      <c r="F139" s="347"/>
      <c r="G139" s="347"/>
      <c r="H139" s="347"/>
      <c r="I139" s="347"/>
      <c r="J139" s="347"/>
      <c r="K139" s="347"/>
      <c r="L139" s="347"/>
      <c r="M139" s="347"/>
      <c r="N139" s="347"/>
      <c r="O139" s="347"/>
      <c r="P139" s="347"/>
      <c r="Q139" s="347"/>
    </row>
    <row r="140" spans="2:17" s="297" customFormat="1" x14ac:dyDescent="0.25">
      <c r="B140" s="345"/>
      <c r="C140" s="346"/>
      <c r="D140" s="347"/>
      <c r="E140" s="347"/>
      <c r="F140" s="347"/>
      <c r="G140" s="347"/>
      <c r="H140" s="347"/>
      <c r="I140" s="347"/>
      <c r="J140" s="347"/>
      <c r="K140" s="347"/>
      <c r="L140" s="347"/>
      <c r="M140" s="347"/>
      <c r="N140" s="347"/>
      <c r="O140" s="347"/>
      <c r="P140" s="347"/>
      <c r="Q140" s="347"/>
    </row>
    <row r="141" spans="2:17" s="297" customFormat="1" x14ac:dyDescent="0.25">
      <c r="B141" s="345"/>
      <c r="C141" s="346"/>
      <c r="D141" s="347"/>
      <c r="E141" s="347"/>
      <c r="F141" s="347"/>
      <c r="G141" s="347"/>
      <c r="H141" s="347"/>
      <c r="I141" s="347"/>
      <c r="J141" s="347"/>
      <c r="K141" s="347"/>
      <c r="L141" s="347"/>
      <c r="M141" s="347"/>
      <c r="N141" s="347"/>
      <c r="O141" s="347"/>
      <c r="P141" s="347"/>
      <c r="Q141" s="347"/>
    </row>
    <row r="142" spans="2:17" s="297" customFormat="1" x14ac:dyDescent="0.25">
      <c r="B142" s="345"/>
      <c r="C142" s="346"/>
      <c r="D142" s="347"/>
      <c r="E142" s="347"/>
      <c r="F142" s="347"/>
      <c r="G142" s="347"/>
      <c r="H142" s="347"/>
      <c r="I142" s="347"/>
      <c r="J142" s="347"/>
      <c r="K142" s="347"/>
      <c r="L142" s="347"/>
      <c r="M142" s="347"/>
      <c r="N142" s="347"/>
      <c r="O142" s="347"/>
      <c r="P142" s="347"/>
      <c r="Q142" s="347"/>
    </row>
    <row r="143" spans="2:17" s="297" customFormat="1" x14ac:dyDescent="0.25">
      <c r="B143" s="345"/>
      <c r="C143" s="346"/>
      <c r="D143" s="347"/>
      <c r="E143" s="347"/>
      <c r="F143" s="347"/>
      <c r="G143" s="347"/>
      <c r="H143" s="347"/>
      <c r="I143" s="347"/>
      <c r="J143" s="347"/>
      <c r="K143" s="347"/>
      <c r="L143" s="347"/>
      <c r="M143" s="347"/>
      <c r="N143" s="347"/>
      <c r="O143" s="347"/>
      <c r="P143" s="347"/>
      <c r="Q143" s="347"/>
    </row>
    <row r="144" spans="2:17" s="297" customFormat="1" x14ac:dyDescent="0.25">
      <c r="B144" s="345"/>
      <c r="C144" s="346"/>
      <c r="D144" s="347"/>
      <c r="E144" s="347"/>
      <c r="F144" s="347"/>
      <c r="G144" s="347"/>
      <c r="H144" s="347"/>
      <c r="I144" s="347"/>
      <c r="J144" s="347"/>
      <c r="K144" s="347"/>
      <c r="L144" s="347"/>
      <c r="M144" s="347"/>
      <c r="N144" s="347"/>
      <c r="O144" s="347"/>
      <c r="P144" s="347"/>
      <c r="Q144" s="347"/>
    </row>
    <row r="145" spans="2:17" s="297" customFormat="1" x14ac:dyDescent="0.25">
      <c r="B145" s="345"/>
      <c r="C145" s="346"/>
      <c r="D145" s="347"/>
      <c r="E145" s="347"/>
      <c r="F145" s="347"/>
      <c r="G145" s="347"/>
      <c r="H145" s="347"/>
      <c r="I145" s="347"/>
      <c r="J145" s="347"/>
      <c r="K145" s="347"/>
      <c r="L145" s="347"/>
      <c r="M145" s="347"/>
      <c r="N145" s="347"/>
      <c r="O145" s="347"/>
      <c r="P145" s="347"/>
      <c r="Q145" s="347"/>
    </row>
    <row r="146" spans="2:17" s="297" customFormat="1" x14ac:dyDescent="0.25">
      <c r="B146" s="345"/>
      <c r="C146" s="346"/>
      <c r="D146" s="347"/>
      <c r="E146" s="347"/>
      <c r="F146" s="347"/>
      <c r="G146" s="347"/>
      <c r="H146" s="347"/>
      <c r="I146" s="347"/>
      <c r="J146" s="347"/>
      <c r="K146" s="347"/>
      <c r="L146" s="347"/>
      <c r="M146" s="347"/>
      <c r="N146" s="347"/>
      <c r="O146" s="347"/>
      <c r="P146" s="347"/>
      <c r="Q146" s="347"/>
    </row>
    <row r="147" spans="2:17" s="297" customFormat="1" x14ac:dyDescent="0.25">
      <c r="B147" s="345"/>
      <c r="C147" s="346"/>
      <c r="D147" s="347"/>
      <c r="E147" s="347"/>
      <c r="F147" s="347"/>
      <c r="G147" s="347"/>
      <c r="H147" s="347"/>
      <c r="I147" s="347"/>
      <c r="J147" s="347"/>
      <c r="K147" s="347"/>
      <c r="L147" s="347"/>
      <c r="M147" s="347"/>
      <c r="N147" s="347"/>
      <c r="O147" s="347"/>
      <c r="P147" s="347"/>
      <c r="Q147" s="347"/>
    </row>
    <row r="148" spans="2:17" s="297" customFormat="1" x14ac:dyDescent="0.25">
      <c r="B148" s="345"/>
      <c r="C148" s="346"/>
      <c r="D148" s="347"/>
      <c r="E148" s="347"/>
      <c r="F148" s="347"/>
      <c r="G148" s="347"/>
      <c r="H148" s="347"/>
      <c r="I148" s="347"/>
      <c r="J148" s="347"/>
      <c r="K148" s="347"/>
      <c r="L148" s="347"/>
      <c r="M148" s="347"/>
      <c r="N148" s="347"/>
      <c r="O148" s="347"/>
      <c r="P148" s="347"/>
      <c r="Q148" s="347"/>
    </row>
    <row r="149" spans="2:17" s="297" customFormat="1" x14ac:dyDescent="0.25">
      <c r="B149" s="345"/>
      <c r="C149" s="346"/>
      <c r="D149" s="347"/>
      <c r="E149" s="347"/>
      <c r="F149" s="347"/>
      <c r="G149" s="347"/>
      <c r="H149" s="347"/>
      <c r="I149" s="347"/>
      <c r="J149" s="347"/>
      <c r="K149" s="347"/>
      <c r="L149" s="347"/>
      <c r="M149" s="347"/>
      <c r="N149" s="347"/>
      <c r="O149" s="347"/>
      <c r="P149" s="347"/>
      <c r="Q149" s="347"/>
    </row>
    <row r="150" spans="2:17" s="297" customFormat="1" x14ac:dyDescent="0.25">
      <c r="B150" s="345"/>
      <c r="C150" s="346"/>
      <c r="D150" s="347"/>
      <c r="E150" s="347"/>
      <c r="F150" s="347"/>
      <c r="G150" s="347"/>
      <c r="H150" s="347"/>
      <c r="I150" s="347"/>
      <c r="J150" s="347"/>
      <c r="K150" s="347"/>
      <c r="L150" s="347"/>
      <c r="M150" s="347"/>
      <c r="N150" s="347"/>
      <c r="O150" s="347"/>
      <c r="P150" s="347"/>
      <c r="Q150" s="347"/>
    </row>
    <row r="151" spans="2:17" s="297" customFormat="1" x14ac:dyDescent="0.25">
      <c r="B151" s="345"/>
      <c r="C151" s="346"/>
      <c r="D151" s="347"/>
      <c r="E151" s="347"/>
      <c r="F151" s="347"/>
      <c r="G151" s="347"/>
      <c r="H151" s="347"/>
      <c r="I151" s="347"/>
      <c r="J151" s="347"/>
      <c r="K151" s="347"/>
      <c r="L151" s="347"/>
      <c r="M151" s="347"/>
      <c r="N151" s="347"/>
      <c r="O151" s="347"/>
      <c r="P151" s="347"/>
      <c r="Q151" s="347"/>
    </row>
    <row r="152" spans="2:17" s="297" customFormat="1" x14ac:dyDescent="0.25">
      <c r="B152" s="345"/>
      <c r="C152" s="346"/>
      <c r="D152" s="347"/>
      <c r="E152" s="347"/>
      <c r="F152" s="347"/>
      <c r="G152" s="347"/>
      <c r="H152" s="347"/>
      <c r="I152" s="347"/>
      <c r="J152" s="347"/>
      <c r="K152" s="347"/>
      <c r="L152" s="347"/>
      <c r="M152" s="347"/>
      <c r="N152" s="347"/>
      <c r="O152" s="347"/>
      <c r="P152" s="347"/>
      <c r="Q152" s="347"/>
    </row>
    <row r="153" spans="2:17" s="297" customFormat="1" x14ac:dyDescent="0.25">
      <c r="B153" s="345"/>
      <c r="C153" s="346"/>
      <c r="D153" s="347"/>
      <c r="E153" s="347"/>
      <c r="F153" s="347"/>
      <c r="G153" s="347"/>
      <c r="H153" s="347"/>
      <c r="I153" s="347"/>
      <c r="J153" s="347"/>
      <c r="K153" s="347"/>
      <c r="L153" s="347"/>
      <c r="M153" s="347"/>
      <c r="N153" s="347"/>
      <c r="O153" s="347"/>
      <c r="P153" s="347"/>
      <c r="Q153" s="347"/>
    </row>
    <row r="154" spans="2:17" s="297" customFormat="1" x14ac:dyDescent="0.25">
      <c r="B154" s="345"/>
      <c r="C154" s="346"/>
      <c r="D154" s="347"/>
      <c r="E154" s="347"/>
      <c r="F154" s="347"/>
      <c r="G154" s="347"/>
      <c r="H154" s="347"/>
      <c r="I154" s="347"/>
      <c r="J154" s="347"/>
      <c r="K154" s="347"/>
      <c r="L154" s="347"/>
      <c r="M154" s="347"/>
      <c r="N154" s="347"/>
      <c r="O154" s="347"/>
      <c r="P154" s="347"/>
      <c r="Q154" s="347"/>
    </row>
    <row r="155" spans="2:17" s="297" customFormat="1" x14ac:dyDescent="0.25">
      <c r="B155" s="345"/>
      <c r="C155" s="346"/>
      <c r="D155" s="347"/>
      <c r="E155" s="347"/>
      <c r="F155" s="347"/>
      <c r="G155" s="347"/>
      <c r="H155" s="347"/>
      <c r="I155" s="347"/>
      <c r="J155" s="347"/>
      <c r="K155" s="347"/>
      <c r="L155" s="347"/>
      <c r="M155" s="347"/>
      <c r="N155" s="347"/>
      <c r="O155" s="347"/>
      <c r="P155" s="347"/>
      <c r="Q155" s="347"/>
    </row>
    <row r="156" spans="2:17" s="297" customFormat="1" x14ac:dyDescent="0.25">
      <c r="B156" s="345"/>
      <c r="C156" s="346"/>
      <c r="D156" s="347"/>
      <c r="E156" s="347"/>
      <c r="F156" s="347"/>
      <c r="G156" s="347"/>
      <c r="H156" s="347"/>
      <c r="I156" s="347"/>
      <c r="J156" s="347"/>
      <c r="K156" s="347"/>
      <c r="L156" s="347"/>
      <c r="M156" s="347"/>
      <c r="N156" s="347"/>
      <c r="O156" s="347"/>
      <c r="P156" s="347"/>
      <c r="Q156" s="347"/>
    </row>
    <row r="157" spans="2:17" s="297" customFormat="1" x14ac:dyDescent="0.25">
      <c r="B157" s="345"/>
      <c r="C157" s="346"/>
      <c r="D157" s="347"/>
      <c r="E157" s="347"/>
      <c r="F157" s="347"/>
      <c r="G157" s="347"/>
      <c r="H157" s="347"/>
      <c r="I157" s="347"/>
      <c r="J157" s="347"/>
      <c r="K157" s="347"/>
      <c r="L157" s="347"/>
      <c r="M157" s="347"/>
      <c r="N157" s="347"/>
      <c r="O157" s="347"/>
      <c r="P157" s="347"/>
      <c r="Q157" s="347"/>
    </row>
    <row r="158" spans="2:17" s="297" customFormat="1" x14ac:dyDescent="0.25">
      <c r="B158" s="345"/>
      <c r="C158" s="346"/>
      <c r="D158" s="347"/>
      <c r="E158" s="347"/>
      <c r="F158" s="347"/>
      <c r="G158" s="347"/>
      <c r="H158" s="347"/>
      <c r="I158" s="347"/>
      <c r="J158" s="347"/>
      <c r="K158" s="347"/>
      <c r="L158" s="347"/>
      <c r="M158" s="347"/>
      <c r="N158" s="347"/>
      <c r="O158" s="347"/>
      <c r="P158" s="347"/>
      <c r="Q158" s="347"/>
    </row>
    <row r="159" spans="2:17" s="297" customFormat="1" x14ac:dyDescent="0.25">
      <c r="B159" s="345"/>
      <c r="C159" s="346"/>
      <c r="D159" s="347"/>
      <c r="E159" s="347"/>
      <c r="F159" s="347"/>
      <c r="G159" s="347"/>
      <c r="H159" s="347"/>
      <c r="I159" s="347"/>
      <c r="J159" s="347"/>
      <c r="K159" s="347"/>
      <c r="L159" s="347"/>
      <c r="M159" s="347"/>
      <c r="N159" s="347"/>
      <c r="O159" s="347"/>
      <c r="P159" s="347"/>
      <c r="Q159" s="347"/>
    </row>
    <row r="160" spans="2:17" s="297" customFormat="1" x14ac:dyDescent="0.25">
      <c r="B160" s="345"/>
      <c r="C160" s="346"/>
      <c r="D160" s="347"/>
      <c r="E160" s="347"/>
      <c r="F160" s="347"/>
      <c r="G160" s="347"/>
      <c r="H160" s="347"/>
      <c r="I160" s="347"/>
      <c r="J160" s="347"/>
      <c r="K160" s="347"/>
      <c r="L160" s="347"/>
      <c r="M160" s="347"/>
      <c r="N160" s="347"/>
      <c r="O160" s="347"/>
      <c r="P160" s="347"/>
      <c r="Q160" s="347"/>
    </row>
    <row r="161" spans="2:17" s="297" customFormat="1" x14ac:dyDescent="0.25">
      <c r="B161" s="345"/>
      <c r="C161" s="346"/>
      <c r="D161" s="347"/>
      <c r="E161" s="347"/>
      <c r="F161" s="347"/>
      <c r="G161" s="347"/>
      <c r="H161" s="347"/>
      <c r="I161" s="347"/>
      <c r="J161" s="347"/>
      <c r="K161" s="347"/>
      <c r="L161" s="347"/>
      <c r="M161" s="347"/>
      <c r="N161" s="347"/>
      <c r="O161" s="347"/>
      <c r="P161" s="347"/>
      <c r="Q161" s="347"/>
    </row>
    <row r="162" spans="2:17" s="297" customFormat="1" x14ac:dyDescent="0.25">
      <c r="B162" s="345"/>
      <c r="C162" s="346"/>
      <c r="D162" s="347"/>
      <c r="E162" s="347"/>
      <c r="F162" s="347"/>
      <c r="G162" s="347"/>
      <c r="H162" s="347"/>
      <c r="I162" s="347"/>
      <c r="J162" s="347"/>
      <c r="K162" s="347"/>
      <c r="L162" s="347"/>
      <c r="M162" s="347"/>
      <c r="N162" s="347"/>
      <c r="O162" s="347"/>
      <c r="P162" s="347"/>
      <c r="Q162" s="347"/>
    </row>
    <row r="163" spans="2:17" s="297" customFormat="1" x14ac:dyDescent="0.25">
      <c r="B163" s="345"/>
      <c r="C163" s="346"/>
      <c r="D163" s="347"/>
      <c r="E163" s="347"/>
      <c r="F163" s="347"/>
      <c r="G163" s="347"/>
      <c r="H163" s="347"/>
      <c r="I163" s="347"/>
      <c r="J163" s="347"/>
      <c r="K163" s="347"/>
      <c r="L163" s="347"/>
      <c r="M163" s="347"/>
      <c r="N163" s="347"/>
      <c r="O163" s="347"/>
      <c r="P163" s="347"/>
      <c r="Q163" s="347"/>
    </row>
    <row r="164" spans="2:17" s="297" customFormat="1" x14ac:dyDescent="0.25">
      <c r="B164" s="345"/>
      <c r="C164" s="346"/>
      <c r="D164" s="347"/>
      <c r="E164" s="347"/>
      <c r="F164" s="347"/>
      <c r="G164" s="347"/>
      <c r="H164" s="347"/>
      <c r="I164" s="347"/>
      <c r="J164" s="347"/>
      <c r="K164" s="347"/>
      <c r="L164" s="347"/>
      <c r="M164" s="347"/>
      <c r="N164" s="347"/>
      <c r="O164" s="347"/>
      <c r="P164" s="347"/>
      <c r="Q164" s="347"/>
    </row>
    <row r="165" spans="2:17" s="297" customFormat="1" x14ac:dyDescent="0.25">
      <c r="B165" s="345"/>
      <c r="C165" s="346"/>
      <c r="D165" s="347"/>
      <c r="E165" s="347"/>
      <c r="F165" s="347"/>
      <c r="G165" s="347"/>
      <c r="H165" s="347"/>
      <c r="I165" s="347"/>
      <c r="J165" s="347"/>
      <c r="K165" s="347"/>
      <c r="L165" s="347"/>
      <c r="M165" s="347"/>
      <c r="N165" s="347"/>
      <c r="O165" s="347"/>
      <c r="P165" s="347"/>
      <c r="Q165" s="347"/>
    </row>
    <row r="166" spans="2:17" s="297" customFormat="1" x14ac:dyDescent="0.25">
      <c r="B166" s="345"/>
      <c r="C166" s="346"/>
      <c r="D166" s="347"/>
      <c r="E166" s="347"/>
      <c r="F166" s="347"/>
      <c r="G166" s="347"/>
      <c r="H166" s="347"/>
      <c r="I166" s="347"/>
      <c r="J166" s="347"/>
      <c r="K166" s="347"/>
      <c r="L166" s="347"/>
      <c r="M166" s="347"/>
      <c r="N166" s="347"/>
      <c r="O166" s="347"/>
      <c r="P166" s="347"/>
      <c r="Q166" s="347"/>
    </row>
    <row r="167" spans="2:17" s="297" customFormat="1" x14ac:dyDescent="0.25">
      <c r="B167" s="345"/>
      <c r="C167" s="346"/>
      <c r="D167" s="347"/>
      <c r="E167" s="347"/>
      <c r="F167" s="347"/>
      <c r="G167" s="347"/>
      <c r="H167" s="347"/>
      <c r="I167" s="347"/>
      <c r="J167" s="347"/>
      <c r="K167" s="347"/>
      <c r="L167" s="347"/>
      <c r="M167" s="347"/>
      <c r="N167" s="347"/>
      <c r="O167" s="347"/>
      <c r="P167" s="347"/>
      <c r="Q167" s="347"/>
    </row>
    <row r="168" spans="2:17" s="297" customFormat="1" x14ac:dyDescent="0.25">
      <c r="B168" s="345"/>
      <c r="C168" s="346"/>
      <c r="D168" s="347"/>
      <c r="E168" s="347"/>
      <c r="F168" s="347"/>
      <c r="G168" s="347"/>
      <c r="H168" s="347"/>
      <c r="I168" s="347"/>
      <c r="J168" s="347"/>
      <c r="K168" s="347"/>
      <c r="L168" s="347"/>
      <c r="M168" s="347"/>
      <c r="N168" s="347"/>
      <c r="O168" s="347"/>
      <c r="P168" s="347"/>
      <c r="Q168" s="347"/>
    </row>
    <row r="169" spans="2:17" s="297" customFormat="1" x14ac:dyDescent="0.25">
      <c r="B169" s="345"/>
      <c r="C169" s="346"/>
      <c r="D169" s="347"/>
      <c r="E169" s="347"/>
      <c r="F169" s="347"/>
      <c r="G169" s="347"/>
      <c r="H169" s="347"/>
      <c r="I169" s="347"/>
      <c r="J169" s="347"/>
      <c r="K169" s="347"/>
      <c r="L169" s="347"/>
      <c r="M169" s="347"/>
      <c r="N169" s="347"/>
      <c r="O169" s="347"/>
      <c r="P169" s="347"/>
      <c r="Q169" s="347"/>
    </row>
    <row r="170" spans="2:17" s="297" customFormat="1" x14ac:dyDescent="0.25">
      <c r="B170" s="345"/>
      <c r="C170" s="346"/>
      <c r="D170" s="347"/>
      <c r="E170" s="347"/>
      <c r="F170" s="347"/>
      <c r="G170" s="347"/>
      <c r="H170" s="347"/>
      <c r="I170" s="347"/>
      <c r="J170" s="347"/>
      <c r="K170" s="347"/>
      <c r="L170" s="347"/>
      <c r="M170" s="347"/>
      <c r="N170" s="347"/>
      <c r="O170" s="347"/>
      <c r="P170" s="347"/>
      <c r="Q170" s="347"/>
    </row>
  </sheetData>
  <mergeCells count="20">
    <mergeCell ref="B5:Q5"/>
    <mergeCell ref="B6:B8"/>
    <mergeCell ref="C6:C7"/>
    <mergeCell ref="D6:D7"/>
    <mergeCell ref="E6:F6"/>
    <mergeCell ref="G6:H6"/>
    <mergeCell ref="I6:J6"/>
    <mergeCell ref="K6:K7"/>
    <mergeCell ref="L6:L7"/>
    <mergeCell ref="M6:Q7"/>
    <mergeCell ref="B31:Q31"/>
    <mergeCell ref="B32:Q35"/>
    <mergeCell ref="B36:Q36"/>
    <mergeCell ref="B37:Q37"/>
    <mergeCell ref="B9:Q9"/>
    <mergeCell ref="B14:Q14"/>
    <mergeCell ref="B19:Q19"/>
    <mergeCell ref="B24:Q24"/>
    <mergeCell ref="B29:Q29"/>
    <mergeCell ref="B30:Q30"/>
  </mergeCells>
  <conditionalFormatting sqref="C4">
    <cfRule type="expression" dxfId="67" priority="1">
      <formula>$H4="VERIFICAR CÓDIGO"</formula>
    </cfRule>
  </conditionalFormatting>
  <printOptions horizontalCentered="1"/>
  <pageMargins left="0.59055118110236227" right="0.59055118110236227" top="1.7716535433070868" bottom="0.78740157480314965" header="0" footer="0"/>
  <pageSetup paperSize="9" scale="53" fitToHeight="100" orientation="landscape" r:id="rId1"/>
  <headerFooter scaleWithDoc="0">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tabColor theme="9" tint="-0.249977111117893"/>
    <pageSetUpPr fitToPage="1"/>
  </sheetPr>
  <dimension ref="A1:O36"/>
  <sheetViews>
    <sheetView showGridLines="0" view="pageBreakPreview" zoomScale="90" zoomScaleNormal="70" zoomScaleSheetLayoutView="90" zoomScalePageLayoutView="85" workbookViewId="0">
      <selection activeCell="K22" sqref="K22:L22"/>
    </sheetView>
  </sheetViews>
  <sheetFormatPr defaultColWidth="9.109375" defaultRowHeight="13.8" x14ac:dyDescent="0.25"/>
  <cols>
    <col min="1" max="1" width="9.109375" style="353"/>
    <col min="2" max="2" width="9.88671875" style="353" bestFit="1" customWidth="1"/>
    <col min="3" max="3" width="9.33203125" style="353" bestFit="1" customWidth="1"/>
    <col min="4" max="4" width="9.109375" style="353"/>
    <col min="5" max="5" width="21.44140625" style="353" bestFit="1" customWidth="1"/>
    <col min="6" max="7" width="20.6640625" style="353" customWidth="1"/>
    <col min="8" max="8" width="18.109375" style="353" customWidth="1"/>
    <col min="9" max="11" width="22.33203125" style="353" customWidth="1"/>
    <col min="12" max="13" width="17.109375" style="353" customWidth="1"/>
    <col min="14" max="14" width="9.33203125" style="353" bestFit="1" customWidth="1"/>
    <col min="15" max="16384" width="9.109375" style="353"/>
  </cols>
  <sheetData>
    <row r="1" spans="1:15" ht="15.75" thickBot="1" x14ac:dyDescent="0.3">
      <c r="B1" s="354"/>
      <c r="E1" s="1202"/>
      <c r="F1" s="1203"/>
      <c r="G1" s="1203"/>
      <c r="H1" s="1203"/>
      <c r="I1" s="1203"/>
      <c r="J1" s="1203"/>
      <c r="K1" s="1203"/>
      <c r="L1" s="1204"/>
      <c r="M1" s="355"/>
    </row>
    <row r="2" spans="1:15" ht="16.5" thickTop="1" thickBot="1" x14ac:dyDescent="0.3">
      <c r="E2" s="1205"/>
      <c r="F2" s="1206"/>
      <c r="G2" s="1206"/>
      <c r="H2" s="1206"/>
      <c r="I2" s="1206"/>
      <c r="J2" s="1206"/>
      <c r="K2" s="1206"/>
      <c r="L2" s="1207"/>
      <c r="M2" s="355"/>
    </row>
    <row r="3" spans="1:15" ht="15" thickTop="1" x14ac:dyDescent="0.2">
      <c r="A3" s="356"/>
      <c r="B3" s="357" t="e">
        <f>1+K8/100+K10/100+K11/100+K12/100</f>
        <v>#VALUE!</v>
      </c>
      <c r="E3" s="1178"/>
      <c r="F3" s="1179"/>
      <c r="G3" s="1179"/>
      <c r="H3" s="1179"/>
      <c r="I3" s="1179"/>
      <c r="J3" s="1179"/>
      <c r="K3" s="1179"/>
      <c r="L3" s="1180"/>
      <c r="M3" s="358"/>
    </row>
    <row r="4" spans="1:15" ht="20.100000000000001" hidden="1" customHeight="1" thickTop="1" x14ac:dyDescent="0.2">
      <c r="A4" s="356"/>
      <c r="B4" s="357">
        <f>1+K13/100+K14/100+K15/100+K16/100</f>
        <v>1.0608000000000002</v>
      </c>
      <c r="E4" s="1" t="str">
        <f>ÍNDICE!$A$1</f>
        <v>OBJETO:</v>
      </c>
      <c r="F4" s="2" t="str">
        <f>VLOOKUP(E4,ÍNDICE!A:G,2,FALSE)</f>
        <v>PAVIMENTAÇÃO ASFÁLTICA E DRENAGEM</v>
      </c>
      <c r="G4" s="359"/>
      <c r="H4" s="360"/>
      <c r="I4" s="360"/>
      <c r="J4" s="4"/>
      <c r="K4" s="4"/>
      <c r="L4" s="5"/>
      <c r="M4" s="361"/>
      <c r="N4" s="301"/>
      <c r="O4" s="301"/>
    </row>
    <row r="5" spans="1:15" ht="20.100000000000001" hidden="1" customHeight="1" thickBot="1" x14ac:dyDescent="0.25">
      <c r="E5" s="8" t="str">
        <f>ÍNDICE!$A$2</f>
        <v>CONTRATANTE:</v>
      </c>
      <c r="F5" s="298" t="str">
        <f>VLOOKUP(E5,ÍNDICE!A:G,2,FALSE)</f>
        <v>PREFEITURA MUNICIPAL DE CANARANA</v>
      </c>
      <c r="G5" s="362"/>
      <c r="J5" s="11"/>
      <c r="K5" s="11"/>
      <c r="L5" s="12"/>
      <c r="M5" s="361"/>
      <c r="N5" s="301"/>
      <c r="O5" s="301"/>
    </row>
    <row r="6" spans="1:15" ht="20.100000000000001" hidden="1" customHeight="1" thickTop="1" thickBot="1" x14ac:dyDescent="0.25">
      <c r="A6" s="356"/>
      <c r="B6" s="357">
        <f>1+K12/100+K14/100+K15/100</f>
        <v>1.0775000000000001</v>
      </c>
      <c r="E6" s="8" t="str">
        <f>ÍNDICE!$A$3</f>
        <v>LOCAL:</v>
      </c>
      <c r="F6" s="298" t="str">
        <f>VLOOKUP(E6,ÍNDICE!A:G,2,FALSE)</f>
        <v>BAIRRO JARDIM FORTALEZA - PARTE 1</v>
      </c>
      <c r="G6" s="362"/>
      <c r="J6" s="11"/>
      <c r="K6" s="11"/>
      <c r="L6" s="12"/>
      <c r="M6" s="363"/>
      <c r="N6" s="301"/>
      <c r="O6" s="301"/>
    </row>
    <row r="7" spans="1:15" ht="20.100000000000001" hidden="1" customHeight="1" thickTop="1" x14ac:dyDescent="0.2">
      <c r="A7" s="356"/>
      <c r="B7" s="357">
        <f>1+K13/100+K15/100+K16/100</f>
        <v>1.0497000000000001</v>
      </c>
      <c r="E7" s="8" t="str">
        <f>ÍNDICE!$A$5</f>
        <v>ÁREA TOTAL:</v>
      </c>
      <c r="F7" s="364">
        <f>VLOOKUP(E7,ÍNDICE!A:G,2,FALSE)</f>
        <v>45834.720000000001</v>
      </c>
      <c r="G7" s="362"/>
      <c r="J7" s="11"/>
      <c r="K7" s="11"/>
      <c r="L7" s="12"/>
      <c r="M7" s="363"/>
      <c r="N7" s="301"/>
      <c r="O7" s="301"/>
    </row>
    <row r="8" spans="1:15" ht="20.100000000000001" hidden="1" customHeight="1" x14ac:dyDescent="0.2">
      <c r="A8" s="356"/>
      <c r="B8" s="365">
        <f>1+K14/100</f>
        <v>1.0111000000000001</v>
      </c>
      <c r="E8" s="14" t="str">
        <f>ÍNDICE!$A$6</f>
        <v>EXTENSÃO TOTAL:</v>
      </c>
      <c r="F8" s="366">
        <f>VLOOKUP(E8,ÍNDICE!A:G,2,FALSE)</f>
        <v>5903.17</v>
      </c>
      <c r="G8" s="367"/>
      <c r="H8" s="368"/>
      <c r="I8" s="368"/>
      <c r="J8" s="369"/>
      <c r="K8" s="369"/>
      <c r="L8" s="370"/>
      <c r="M8" s="363"/>
      <c r="N8" s="301"/>
      <c r="O8" s="301"/>
    </row>
    <row r="9" spans="1:15" ht="22.5" customHeight="1" x14ac:dyDescent="0.2">
      <c r="B9" s="371"/>
      <c r="E9" s="1208" t="str">
        <f>CONCATENATE("BDI - BENEFICIOS E DESPESAS INDIRETAS (SERVIÇOS) - ",ORÇAMENTO!P2)</f>
        <v>BDI - BENEFICIOS E DESPESAS INDIRETAS (SERVIÇOS) - NÃO DESONERADO</v>
      </c>
      <c r="F9" s="1209"/>
      <c r="G9" s="1209"/>
      <c r="H9" s="1209"/>
      <c r="I9" s="1209"/>
      <c r="J9" s="1209"/>
      <c r="K9" s="1209"/>
      <c r="L9" s="1210"/>
      <c r="M9" s="372"/>
      <c r="N9" s="301"/>
      <c r="O9" s="301"/>
    </row>
    <row r="10" spans="1:15" x14ac:dyDescent="0.25">
      <c r="E10" s="1211" t="s">
        <v>243</v>
      </c>
      <c r="F10" s="1213" t="s">
        <v>244</v>
      </c>
      <c r="G10" s="1213"/>
      <c r="H10" s="1213"/>
      <c r="I10" s="1213"/>
      <c r="J10" s="1213"/>
      <c r="K10" s="1213" t="s">
        <v>245</v>
      </c>
      <c r="L10" s="1215"/>
      <c r="M10" s="373"/>
    </row>
    <row r="11" spans="1:15" x14ac:dyDescent="0.25">
      <c r="E11" s="1212"/>
      <c r="F11" s="1214"/>
      <c r="G11" s="1214"/>
      <c r="H11" s="1214"/>
      <c r="I11" s="1214"/>
      <c r="J11" s="1214"/>
      <c r="K11" s="1214" t="s">
        <v>246</v>
      </c>
      <c r="L11" s="1216"/>
      <c r="M11" s="373"/>
    </row>
    <row r="12" spans="1:15" ht="14.4" thickBot="1" x14ac:dyDescent="0.3">
      <c r="B12" s="374" t="s">
        <v>247</v>
      </c>
      <c r="C12" s="374" t="s">
        <v>248</v>
      </c>
      <c r="D12" s="374"/>
      <c r="E12" s="375">
        <v>1</v>
      </c>
      <c r="F12" s="1199" t="s">
        <v>249</v>
      </c>
      <c r="G12" s="1199"/>
      <c r="H12" s="1199"/>
      <c r="I12" s="1199"/>
      <c r="J12" s="1199"/>
      <c r="K12" s="1200">
        <f>K13+K14+K15+K16</f>
        <v>6.08</v>
      </c>
      <c r="L12" s="1201"/>
      <c r="M12" s="376"/>
    </row>
    <row r="13" spans="1:15" ht="14.4" thickBot="1" x14ac:dyDescent="0.3">
      <c r="B13" s="377">
        <v>5.5</v>
      </c>
      <c r="C13" s="378">
        <v>3</v>
      </c>
      <c r="D13" s="379"/>
      <c r="E13" s="380" t="s">
        <v>250</v>
      </c>
      <c r="F13" s="1192" t="s">
        <v>251</v>
      </c>
      <c r="G13" s="1192"/>
      <c r="H13" s="1192"/>
      <c r="I13" s="1192"/>
      <c r="J13" s="1192"/>
      <c r="K13" s="1191">
        <v>4.01</v>
      </c>
      <c r="L13" s="1191"/>
      <c r="M13" s="381"/>
      <c r="N13" s="353">
        <f>1+K13/100+K15/100+K16/100</f>
        <v>1.0497000000000001</v>
      </c>
    </row>
    <row r="14" spans="1:15" ht="15.75" thickBot="1" x14ac:dyDescent="0.3">
      <c r="B14" s="377">
        <v>1.39</v>
      </c>
      <c r="C14" s="378">
        <v>0.59</v>
      </c>
      <c r="D14" s="379"/>
      <c r="E14" s="380" t="s">
        <v>252</v>
      </c>
      <c r="F14" s="1192" t="s">
        <v>253</v>
      </c>
      <c r="G14" s="1192"/>
      <c r="H14" s="1192"/>
      <c r="I14" s="1192"/>
      <c r="J14" s="1192"/>
      <c r="K14" s="1191">
        <v>1.1100000000000001</v>
      </c>
      <c r="L14" s="1191"/>
      <c r="M14" s="381"/>
      <c r="N14" s="353">
        <f>1+K18/100</f>
        <v>1.073</v>
      </c>
    </row>
    <row r="15" spans="1:15" ht="15.75" thickBot="1" x14ac:dyDescent="0.3">
      <c r="B15" s="377">
        <v>1.27</v>
      </c>
      <c r="C15" s="378">
        <v>0.97</v>
      </c>
      <c r="D15" s="379"/>
      <c r="E15" s="380" t="s">
        <v>254</v>
      </c>
      <c r="F15" s="1192" t="s">
        <v>255</v>
      </c>
      <c r="G15" s="1192"/>
      <c r="H15" s="1192"/>
      <c r="I15" s="1192"/>
      <c r="J15" s="1192"/>
      <c r="K15" s="1191">
        <v>0.56000000000000005</v>
      </c>
      <c r="L15" s="1191"/>
      <c r="M15" s="381"/>
      <c r="N15" s="353">
        <f>1+K14/100</f>
        <v>1.0111000000000001</v>
      </c>
    </row>
    <row r="16" spans="1:15" ht="15" x14ac:dyDescent="0.25">
      <c r="B16" s="379"/>
      <c r="C16" s="379"/>
      <c r="D16" s="379"/>
      <c r="E16" s="380" t="s">
        <v>256</v>
      </c>
      <c r="F16" s="1192" t="s">
        <v>257</v>
      </c>
      <c r="G16" s="1192"/>
      <c r="H16" s="1192"/>
      <c r="I16" s="1192"/>
      <c r="J16" s="1192"/>
      <c r="K16" s="1191">
        <v>0.4</v>
      </c>
      <c r="L16" s="1191"/>
      <c r="M16" s="381"/>
      <c r="N16" s="353">
        <f>1-K21/100</f>
        <v>0.94099999999999995</v>
      </c>
    </row>
    <row r="17" spans="2:14" ht="14.25" x14ac:dyDescent="0.2">
      <c r="B17" s="379"/>
      <c r="C17" s="379"/>
      <c r="D17" s="379"/>
      <c r="E17" s="1196"/>
      <c r="F17" s="1197"/>
      <c r="G17" s="1197"/>
      <c r="H17" s="1197"/>
      <c r="I17" s="1197"/>
      <c r="J17" s="1197"/>
      <c r="K17" s="1197"/>
      <c r="L17" s="1198"/>
      <c r="M17" s="358"/>
      <c r="N17" s="353">
        <f>N13*N14*N15/N16</f>
        <v>1.2102341571838471</v>
      </c>
    </row>
    <row r="18" spans="2:14" ht="15.75" thickBot="1" x14ac:dyDescent="0.25">
      <c r="B18" s="382"/>
      <c r="C18" s="382"/>
      <c r="D18" s="382"/>
      <c r="E18" s="375" t="s">
        <v>258</v>
      </c>
      <c r="F18" s="1199" t="s">
        <v>259</v>
      </c>
      <c r="G18" s="1199"/>
      <c r="H18" s="1199"/>
      <c r="I18" s="1199"/>
      <c r="J18" s="1199"/>
      <c r="K18" s="1200">
        <f>K19</f>
        <v>7.3</v>
      </c>
      <c r="L18" s="1201"/>
      <c r="M18" s="376"/>
      <c r="N18" s="383">
        <f>N17-1</f>
        <v>0.21023415718384708</v>
      </c>
    </row>
    <row r="19" spans="2:14" ht="15.75" thickBot="1" x14ac:dyDescent="0.3">
      <c r="B19" s="377">
        <v>8.9600000000000009</v>
      </c>
      <c r="C19" s="378">
        <v>6.16</v>
      </c>
      <c r="E19" s="380" t="s">
        <v>260</v>
      </c>
      <c r="F19" s="1192" t="s">
        <v>261</v>
      </c>
      <c r="G19" s="1192"/>
      <c r="H19" s="1192"/>
      <c r="I19" s="1192"/>
      <c r="J19" s="1192"/>
      <c r="K19" s="1191">
        <v>7.3</v>
      </c>
      <c r="L19" s="1191"/>
      <c r="M19" s="381"/>
    </row>
    <row r="20" spans="2:14" ht="14.25" x14ac:dyDescent="0.2">
      <c r="D20" s="379"/>
      <c r="E20" s="1196"/>
      <c r="F20" s="1197"/>
      <c r="G20" s="1197"/>
      <c r="H20" s="1197"/>
      <c r="I20" s="1197"/>
      <c r="J20" s="1197"/>
      <c r="K20" s="1197"/>
      <c r="L20" s="1198"/>
      <c r="M20" s="358"/>
    </row>
    <row r="21" spans="2:14" ht="15" x14ac:dyDescent="0.2">
      <c r="E21" s="375" t="s">
        <v>262</v>
      </c>
      <c r="F21" s="1199" t="s">
        <v>263</v>
      </c>
      <c r="G21" s="1199"/>
      <c r="H21" s="1199"/>
      <c r="I21" s="1199"/>
      <c r="J21" s="1199"/>
      <c r="K21" s="1200">
        <f>K22+K23+K24+K25</f>
        <v>5.9</v>
      </c>
      <c r="L21" s="1201"/>
      <c r="M21" s="376"/>
    </row>
    <row r="22" spans="2:14" ht="14.25" x14ac:dyDescent="0.2">
      <c r="E22" s="380" t="s">
        <v>264</v>
      </c>
      <c r="F22" s="1192" t="s">
        <v>265</v>
      </c>
      <c r="G22" s="1192"/>
      <c r="H22" s="1192"/>
      <c r="I22" s="1192"/>
      <c r="J22" s="1192"/>
      <c r="K22" s="1191">
        <f>(I32*I33)*100</f>
        <v>2.2500000000000004</v>
      </c>
      <c r="L22" s="1191"/>
      <c r="M22" s="381"/>
    </row>
    <row r="23" spans="2:14" ht="14.25" x14ac:dyDescent="0.2">
      <c r="C23" s="383"/>
      <c r="D23" s="383"/>
      <c r="E23" s="380" t="s">
        <v>266</v>
      </c>
      <c r="F23" s="1189" t="s">
        <v>267</v>
      </c>
      <c r="G23" s="1189"/>
      <c r="H23" s="1189"/>
      <c r="I23" s="1189"/>
      <c r="J23" s="1189"/>
      <c r="K23" s="1190">
        <v>3</v>
      </c>
      <c r="L23" s="1191"/>
      <c r="M23" s="381"/>
    </row>
    <row r="24" spans="2:14" ht="14.25" x14ac:dyDescent="0.2">
      <c r="B24" s="384">
        <f>1+K19/100</f>
        <v>1.073</v>
      </c>
      <c r="E24" s="385" t="s">
        <v>268</v>
      </c>
      <c r="F24" s="1192" t="s">
        <v>269</v>
      </c>
      <c r="G24" s="1192"/>
      <c r="H24" s="1192"/>
      <c r="I24" s="1192"/>
      <c r="J24" s="1192"/>
      <c r="K24" s="1191">
        <v>0.65</v>
      </c>
      <c r="L24" s="1193"/>
      <c r="M24" s="381"/>
    </row>
    <row r="25" spans="2:14" x14ac:dyDescent="0.25">
      <c r="B25" s="384">
        <f>1-K21/100</f>
        <v>0.94099999999999995</v>
      </c>
      <c r="E25" s="380" t="s">
        <v>270</v>
      </c>
      <c r="F25" s="1194" t="s">
        <v>271</v>
      </c>
      <c r="G25" s="1194"/>
      <c r="H25" s="1194"/>
      <c r="I25" s="1194"/>
      <c r="J25" s="1194"/>
      <c r="K25" s="1195">
        <f>IF(ORÇAMENTO!P2="DESONERADO",3.6,0)</f>
        <v>0</v>
      </c>
      <c r="L25" s="1191"/>
      <c r="M25" s="381"/>
    </row>
    <row r="26" spans="2:14" x14ac:dyDescent="0.25">
      <c r="B26" s="384">
        <f>B7*B8*B24</f>
        <v>1.1388303419100003</v>
      </c>
      <c r="E26" s="1178" t="s">
        <v>272</v>
      </c>
      <c r="F26" s="1179"/>
      <c r="G26" s="1179"/>
      <c r="H26" s="1179"/>
      <c r="I26" s="1179"/>
      <c r="J26" s="1179"/>
      <c r="K26" s="1179"/>
      <c r="L26" s="1180"/>
      <c r="M26" s="358"/>
    </row>
    <row r="27" spans="2:14" x14ac:dyDescent="0.25">
      <c r="B27" s="384">
        <f>B26/B25</f>
        <v>1.2102341571838473</v>
      </c>
      <c r="E27" s="1181" t="s">
        <v>273</v>
      </c>
      <c r="F27" s="1182"/>
      <c r="G27" s="1182"/>
      <c r="H27" s="1182"/>
      <c r="I27" s="1182"/>
      <c r="J27" s="1182"/>
      <c r="K27" s="1182"/>
      <c r="L27" s="1183"/>
      <c r="M27" s="386"/>
    </row>
    <row r="28" spans="2:14" x14ac:dyDescent="0.25">
      <c r="B28" s="365">
        <f>B27-1</f>
        <v>0.2102341571838473</v>
      </c>
      <c r="E28" s="1184" t="s">
        <v>274</v>
      </c>
      <c r="F28" s="1184"/>
      <c r="G28" s="1184"/>
      <c r="H28" s="1184"/>
      <c r="I28" s="1184"/>
      <c r="J28" s="1184"/>
      <c r="K28" s="1185">
        <f>TRUNC(N18,4)</f>
        <v>0.2102</v>
      </c>
      <c r="L28" s="1185"/>
      <c r="M28" s="387"/>
    </row>
    <row r="29" spans="2:14" ht="14.4" thickBot="1" x14ac:dyDescent="0.3">
      <c r="B29" s="388">
        <f>B28</f>
        <v>0.2102341571838473</v>
      </c>
      <c r="E29" s="1184"/>
      <c r="F29" s="1184"/>
      <c r="G29" s="1184"/>
      <c r="H29" s="1184"/>
      <c r="I29" s="1184"/>
      <c r="J29" s="1184"/>
      <c r="K29" s="1185"/>
      <c r="L29" s="1185"/>
      <c r="M29" s="387"/>
    </row>
    <row r="30" spans="2:14" ht="14.4" thickTop="1" x14ac:dyDescent="0.25">
      <c r="E30" s="1186" t="s">
        <v>275</v>
      </c>
      <c r="F30" s="1187"/>
      <c r="G30" s="1187"/>
      <c r="H30" s="1187"/>
      <c r="I30" s="1187"/>
      <c r="J30" s="1187"/>
      <c r="K30" s="1187"/>
      <c r="L30" s="1188"/>
      <c r="M30" s="389"/>
    </row>
    <row r="31" spans="2:14" ht="24.75" customHeight="1" x14ac:dyDescent="0.2">
      <c r="E31" s="390"/>
      <c r="F31" s="391"/>
      <c r="G31" s="391"/>
      <c r="H31" s="391"/>
      <c r="I31" s="391"/>
      <c r="J31" s="391"/>
      <c r="K31" s="391"/>
      <c r="L31" s="392"/>
      <c r="M31" s="393"/>
    </row>
    <row r="32" spans="2:14" x14ac:dyDescent="0.25">
      <c r="E32" s="394"/>
      <c r="F32" s="395"/>
      <c r="G32" s="396"/>
      <c r="H32" s="396"/>
      <c r="I32" s="397">
        <v>0.05</v>
      </c>
      <c r="J32" s="1182" t="s">
        <v>276</v>
      </c>
      <c r="K32" s="1182"/>
      <c r="L32" s="398"/>
    </row>
    <row r="33" spans="5:12" ht="10.5" customHeight="1" x14ac:dyDescent="0.25">
      <c r="E33" s="394"/>
      <c r="F33" s="395"/>
      <c r="G33" s="399"/>
      <c r="H33" s="399"/>
      <c r="I33" s="397">
        <v>0.45</v>
      </c>
      <c r="J33" s="1177" t="s">
        <v>277</v>
      </c>
      <c r="K33" s="1177"/>
      <c r="L33" s="398"/>
    </row>
    <row r="34" spans="5:12" ht="11.25" customHeight="1" x14ac:dyDescent="0.2">
      <c r="E34" s="394"/>
      <c r="F34" s="400"/>
      <c r="G34" s="401"/>
      <c r="H34" s="402"/>
      <c r="J34" s="353" t="s">
        <v>278</v>
      </c>
      <c r="L34" s="398"/>
    </row>
    <row r="35" spans="5:12" ht="13.5" customHeight="1" x14ac:dyDescent="0.2">
      <c r="E35" s="403"/>
      <c r="F35" s="404"/>
      <c r="G35" s="405"/>
      <c r="H35" s="406"/>
      <c r="I35" s="368"/>
      <c r="J35" s="368"/>
      <c r="K35" s="368"/>
      <c r="L35" s="407"/>
    </row>
    <row r="36" spans="5:12" ht="21.6" customHeight="1" x14ac:dyDescent="0.2"/>
  </sheetData>
  <mergeCells count="41">
    <mergeCell ref="E1:L1"/>
    <mergeCell ref="E2:L2"/>
    <mergeCell ref="E3:L3"/>
    <mergeCell ref="E9:L9"/>
    <mergeCell ref="E10:E11"/>
    <mergeCell ref="F10:J11"/>
    <mergeCell ref="K10:L10"/>
    <mergeCell ref="K11:L11"/>
    <mergeCell ref="F12:J12"/>
    <mergeCell ref="K12:L12"/>
    <mergeCell ref="F13:J13"/>
    <mergeCell ref="K13:L13"/>
    <mergeCell ref="F14:J14"/>
    <mergeCell ref="K14:L14"/>
    <mergeCell ref="F22:J22"/>
    <mergeCell ref="K22:L22"/>
    <mergeCell ref="F15:J15"/>
    <mergeCell ref="K15:L15"/>
    <mergeCell ref="F16:J16"/>
    <mergeCell ref="K16:L16"/>
    <mergeCell ref="E17:L17"/>
    <mergeCell ref="F18:J18"/>
    <mergeCell ref="K18:L18"/>
    <mergeCell ref="F19:J19"/>
    <mergeCell ref="K19:L19"/>
    <mergeCell ref="E20:L20"/>
    <mergeCell ref="F21:J21"/>
    <mergeCell ref="K21:L21"/>
    <mergeCell ref="F23:J23"/>
    <mergeCell ref="K23:L23"/>
    <mergeCell ref="F24:J24"/>
    <mergeCell ref="K24:L24"/>
    <mergeCell ref="F25:J25"/>
    <mergeCell ref="K25:L25"/>
    <mergeCell ref="J33:K33"/>
    <mergeCell ref="E26:L26"/>
    <mergeCell ref="E27:L27"/>
    <mergeCell ref="E28:J29"/>
    <mergeCell ref="K28:L29"/>
    <mergeCell ref="E30:L30"/>
    <mergeCell ref="J32:K32"/>
  </mergeCells>
  <conditionalFormatting sqref="F7:F8">
    <cfRule type="expression" dxfId="66" priority="1">
      <formula>$H7="VERIFICAR CÓDIGO"</formula>
    </cfRule>
  </conditionalFormatting>
  <dataValidations count="1">
    <dataValidation type="list" allowBlank="1" showInputMessage="1" showErrorMessage="1" sqref="M5">
      <formula1>$O$1:$O$2</formula1>
    </dataValidation>
  </dataValidations>
  <printOptions horizontalCentered="1"/>
  <pageMargins left="0.59055118110236227" right="0.59055118110236227" top="1.7716535433070868" bottom="0.78740157480314965" header="0" footer="0"/>
  <pageSetup paperSize="9" scale="81" orientation="landscape" r:id="rId1"/>
  <headerFooter scaleWithDoc="0">
    <oddHeader>&amp;L&amp;G</oddHeader>
    <oddFooter>&amp;L
_______________________
Vilson Biguelini
Prefeito Municipal
&amp;R
_________________________
Daniella Lima Coli Cardoso
Engenheira Civil
CREA 122.249.676-3</oddFoot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theme="9" tint="-0.249977111117893"/>
    <pageSetUpPr fitToPage="1"/>
  </sheetPr>
  <dimension ref="A2:HD15"/>
  <sheetViews>
    <sheetView showGridLines="0" showZeros="0" view="pageBreakPreview" zoomScaleNormal="115" zoomScaleSheetLayoutView="100" workbookViewId="0">
      <selection activeCell="K22" sqref="K22:L22"/>
    </sheetView>
  </sheetViews>
  <sheetFormatPr defaultColWidth="9.109375" defaultRowHeight="13.8" x14ac:dyDescent="0.3"/>
  <cols>
    <col min="1" max="1" width="21.44140625" style="417" bestFit="1" customWidth="1"/>
    <col min="2" max="2" width="62.44140625" style="417" customWidth="1"/>
    <col min="3" max="6" width="20.33203125" style="417" customWidth="1"/>
    <col min="7" max="16384" width="9.109375" style="417"/>
  </cols>
  <sheetData>
    <row r="2" spans="1:212" s="411" customFormat="1" ht="20.100000000000001" customHeight="1" x14ac:dyDescent="0.2">
      <c r="A2" s="1" t="str">
        <f>ÍNDICE!$A$1</f>
        <v>OBJETO:</v>
      </c>
      <c r="B2" s="408" t="str">
        <f>VLOOKUP(A2,ÍNDICE!A:G,2,FALSE)</f>
        <v>PAVIMENTAÇÃO ASFÁLTICA E DRENAGEM</v>
      </c>
      <c r="C2" s="409"/>
      <c r="D2" s="409"/>
      <c r="E2" s="2"/>
      <c r="F2" s="410"/>
    </row>
    <row r="3" spans="1:212" s="411" customFormat="1" ht="20.100000000000001" customHeight="1" x14ac:dyDescent="0.2">
      <c r="A3" s="8" t="str">
        <f>ÍNDICE!$A$2</f>
        <v>CONTRATANTE:</v>
      </c>
      <c r="B3" s="412" t="str">
        <f>VLOOKUP(A3,ÍNDICE!A:G,2,FALSE)</f>
        <v>PREFEITURA MUNICIPAL DE CANARANA</v>
      </c>
      <c r="E3" s="9"/>
      <c r="F3" s="413"/>
    </row>
    <row r="4" spans="1:212" s="411" customFormat="1" ht="20.100000000000001" customHeight="1" x14ac:dyDescent="0.2">
      <c r="A4" s="8" t="str">
        <f>ÍNDICE!$A$3</f>
        <v>LOCAL:</v>
      </c>
      <c r="B4" s="412" t="str">
        <f>VLOOKUP(A4,ÍNDICE!A:G,2,FALSE)</f>
        <v>BAIRRO JARDIM FORTALEZA - PARTE 1</v>
      </c>
      <c r="E4" s="9"/>
      <c r="F4" s="413"/>
    </row>
    <row r="5" spans="1:212" s="411" customFormat="1" ht="20.100000000000001" customHeight="1" x14ac:dyDescent="0.2">
      <c r="A5" s="8" t="str">
        <f>ÍNDICE!$A$5</f>
        <v>ÁREA TOTAL:</v>
      </c>
      <c r="B5" s="364">
        <f>VLOOKUP(A5,ÍNDICE!A:G,2,FALSE)</f>
        <v>45834.720000000001</v>
      </c>
      <c r="E5" s="9"/>
      <c r="F5" s="413"/>
    </row>
    <row r="6" spans="1:212" s="411" customFormat="1" ht="20.100000000000001" customHeight="1" x14ac:dyDescent="0.2">
      <c r="A6" s="14" t="str">
        <f>ÍNDICE!$A$6</f>
        <v>EXTENSÃO TOTAL:</v>
      </c>
      <c r="B6" s="366">
        <f>VLOOKUP(A6,ÍNDICE!A:G,2,FALSE)</f>
        <v>5903.17</v>
      </c>
      <c r="C6" s="414"/>
      <c r="D6" s="414"/>
      <c r="E6" s="415"/>
      <c r="F6" s="416"/>
    </row>
    <row r="7" spans="1:212" ht="25.5" customHeight="1" x14ac:dyDescent="0.25">
      <c r="A7" s="1219" t="str">
        <f>CONCATENATE("QUADRO DE COMPOSIÇÃO DE INVESTIMENTO - QCI - ",ORÇAMENTO!P2)</f>
        <v>QUADRO DE COMPOSIÇÃO DE INVESTIMENTO - QCI - NÃO DESONERADO</v>
      </c>
      <c r="B7" s="1220"/>
      <c r="C7" s="1220"/>
      <c r="D7" s="1220"/>
      <c r="E7" s="1220"/>
      <c r="F7" s="1221"/>
    </row>
    <row r="8" spans="1:212" ht="14.25" customHeight="1" x14ac:dyDescent="0.3">
      <c r="A8" s="1222" t="s">
        <v>279</v>
      </c>
      <c r="B8" s="1222" t="s">
        <v>280</v>
      </c>
      <c r="C8" s="1223" t="s">
        <v>281</v>
      </c>
      <c r="D8" s="1223" t="s">
        <v>282</v>
      </c>
      <c r="E8" s="1223" t="s">
        <v>283</v>
      </c>
      <c r="F8" s="1223" t="s">
        <v>284</v>
      </c>
    </row>
    <row r="9" spans="1:212" ht="27.75" customHeight="1" x14ac:dyDescent="0.3">
      <c r="A9" s="1222"/>
      <c r="B9" s="1222"/>
      <c r="C9" s="1223"/>
      <c r="D9" s="1223"/>
      <c r="E9" s="1223"/>
      <c r="F9" s="1223"/>
    </row>
    <row r="10" spans="1:212" ht="15" x14ac:dyDescent="0.25">
      <c r="A10" s="418"/>
      <c r="B10" s="419"/>
      <c r="C10" s="420"/>
      <c r="D10" s="421"/>
      <c r="E10" s="422"/>
      <c r="F10" s="423">
        <f>C10+D10</f>
        <v>0</v>
      </c>
    </row>
    <row r="11" spans="1:212" ht="15" x14ac:dyDescent="0.25">
      <c r="A11" s="424"/>
      <c r="B11" s="425"/>
      <c r="C11" s="426"/>
      <c r="D11" s="427"/>
      <c r="E11" s="428"/>
      <c r="F11" s="429"/>
    </row>
    <row r="12" spans="1:212" x14ac:dyDescent="0.3">
      <c r="A12" s="430"/>
      <c r="B12" s="431" t="s">
        <v>285</v>
      </c>
      <c r="C12" s="432"/>
      <c r="D12" s="432"/>
      <c r="E12" s="432">
        <f>E13</f>
        <v>0</v>
      </c>
      <c r="F12" s="432">
        <f>F13</f>
        <v>0</v>
      </c>
    </row>
    <row r="13" spans="1:212" x14ac:dyDescent="0.3">
      <c r="A13" s="433"/>
      <c r="B13" s="434" t="s">
        <v>286</v>
      </c>
      <c r="C13" s="435"/>
      <c r="D13" s="435"/>
      <c r="E13" s="435"/>
      <c r="F13" s="435">
        <f>SUM(C13:E13)</f>
        <v>0</v>
      </c>
      <c r="G13" s="436"/>
      <c r="H13" s="436"/>
      <c r="I13" s="436"/>
      <c r="J13" s="437"/>
      <c r="K13" s="438"/>
      <c r="L13" s="436"/>
      <c r="M13" s="436"/>
      <c r="N13" s="436"/>
      <c r="O13" s="436"/>
      <c r="P13" s="437"/>
      <c r="Q13" s="438"/>
      <c r="R13" s="436"/>
      <c r="S13" s="436"/>
      <c r="T13" s="436"/>
      <c r="U13" s="436"/>
      <c r="V13" s="437"/>
      <c r="W13" s="438"/>
      <c r="X13" s="436"/>
      <c r="Y13" s="436"/>
      <c r="Z13" s="436"/>
      <c r="AA13" s="436"/>
      <c r="AB13" s="437"/>
      <c r="AC13" s="438"/>
      <c r="AD13" s="436"/>
      <c r="AE13" s="436"/>
      <c r="AF13" s="436"/>
      <c r="AG13" s="436"/>
      <c r="AH13" s="437"/>
      <c r="AI13" s="438"/>
      <c r="AJ13" s="436"/>
      <c r="AK13" s="436"/>
      <c r="AL13" s="436"/>
      <c r="AM13" s="436"/>
      <c r="AN13" s="437"/>
      <c r="AO13" s="438"/>
      <c r="AP13" s="436"/>
      <c r="AQ13" s="436"/>
      <c r="AR13" s="436"/>
      <c r="AS13" s="436"/>
      <c r="AT13" s="437"/>
      <c r="AU13" s="438"/>
      <c r="AV13" s="436"/>
      <c r="AW13" s="436"/>
      <c r="AX13" s="436"/>
      <c r="AY13" s="436"/>
      <c r="AZ13" s="437"/>
      <c r="BA13" s="438"/>
      <c r="BB13" s="436"/>
      <c r="BC13" s="436"/>
      <c r="BD13" s="436"/>
      <c r="BE13" s="436"/>
      <c r="BF13" s="437"/>
      <c r="BG13" s="438"/>
      <c r="BH13" s="436"/>
      <c r="BI13" s="436"/>
      <c r="BJ13" s="436"/>
      <c r="BK13" s="436"/>
      <c r="BL13" s="437"/>
      <c r="BM13" s="438"/>
      <c r="BN13" s="436"/>
      <c r="BO13" s="436"/>
      <c r="BP13" s="436"/>
      <c r="BQ13" s="436"/>
      <c r="BR13" s="437"/>
      <c r="BS13" s="438"/>
      <c r="BT13" s="436"/>
      <c r="BU13" s="436"/>
      <c r="BV13" s="436"/>
      <c r="BW13" s="436"/>
      <c r="BX13" s="437"/>
      <c r="BY13" s="438"/>
      <c r="BZ13" s="436"/>
      <c r="CA13" s="436"/>
      <c r="CB13" s="436"/>
      <c r="CC13" s="436"/>
      <c r="CD13" s="437"/>
      <c r="CE13" s="438"/>
      <c r="CF13" s="436"/>
      <c r="CG13" s="436"/>
      <c r="CH13" s="436"/>
      <c r="CI13" s="436"/>
      <c r="CJ13" s="437"/>
      <c r="CK13" s="438"/>
      <c r="CL13" s="436"/>
      <c r="CM13" s="436"/>
      <c r="CN13" s="436"/>
      <c r="CO13" s="436"/>
      <c r="CP13" s="437"/>
      <c r="CQ13" s="438"/>
      <c r="CR13" s="436"/>
      <c r="CS13" s="436"/>
      <c r="CT13" s="436"/>
      <c r="CU13" s="436"/>
      <c r="CV13" s="437"/>
      <c r="CW13" s="438"/>
      <c r="CX13" s="436"/>
      <c r="CY13" s="436"/>
      <c r="CZ13" s="436"/>
      <c r="DA13" s="436"/>
      <c r="DB13" s="437"/>
      <c r="DC13" s="438"/>
      <c r="DD13" s="436"/>
      <c r="DE13" s="436"/>
      <c r="DF13" s="436"/>
      <c r="DG13" s="436"/>
      <c r="DH13" s="437"/>
      <c r="DI13" s="438"/>
      <c r="DJ13" s="436"/>
      <c r="DK13" s="436"/>
      <c r="DL13" s="436"/>
      <c r="DM13" s="436"/>
      <c r="DN13" s="437"/>
      <c r="DO13" s="438"/>
      <c r="DP13" s="436"/>
      <c r="DQ13" s="436"/>
      <c r="DR13" s="436"/>
      <c r="DS13" s="436"/>
      <c r="DT13" s="437"/>
      <c r="DU13" s="438"/>
      <c r="DV13" s="436"/>
      <c r="DW13" s="436"/>
      <c r="DX13" s="436"/>
      <c r="DY13" s="436"/>
      <c r="DZ13" s="437"/>
      <c r="EA13" s="438"/>
      <c r="EB13" s="436"/>
      <c r="EC13" s="436"/>
      <c r="ED13" s="436"/>
      <c r="EE13" s="436"/>
      <c r="EF13" s="437"/>
      <c r="EG13" s="438"/>
      <c r="EH13" s="436"/>
      <c r="EI13" s="436"/>
      <c r="EJ13" s="436"/>
      <c r="EK13" s="436"/>
      <c r="EL13" s="437"/>
      <c r="EM13" s="438"/>
      <c r="EN13" s="436"/>
      <c r="EO13" s="436"/>
      <c r="EP13" s="436"/>
      <c r="EQ13" s="436"/>
      <c r="ER13" s="437"/>
      <c r="ES13" s="438"/>
      <c r="ET13" s="436"/>
      <c r="EU13" s="436"/>
      <c r="EV13" s="436"/>
      <c r="EW13" s="436"/>
      <c r="EX13" s="437"/>
      <c r="EY13" s="438"/>
      <c r="EZ13" s="436"/>
      <c r="FA13" s="436"/>
      <c r="FB13" s="436"/>
      <c r="FC13" s="436"/>
      <c r="FD13" s="437"/>
      <c r="FE13" s="438"/>
      <c r="FF13" s="436"/>
      <c r="FG13" s="436"/>
      <c r="FH13" s="436"/>
      <c r="FI13" s="436"/>
      <c r="FJ13" s="437"/>
      <c r="FK13" s="438"/>
      <c r="FL13" s="436"/>
      <c r="FM13" s="436"/>
      <c r="FN13" s="436"/>
      <c r="FO13" s="436"/>
      <c r="FP13" s="437"/>
      <c r="FQ13" s="438"/>
      <c r="FR13" s="436"/>
      <c r="FS13" s="436"/>
      <c r="FT13" s="436"/>
      <c r="FU13" s="436"/>
      <c r="FV13" s="437"/>
      <c r="FW13" s="438"/>
      <c r="FX13" s="436"/>
      <c r="FY13" s="436"/>
      <c r="FZ13" s="436"/>
      <c r="GA13" s="436"/>
      <c r="GB13" s="437"/>
      <c r="GC13" s="438"/>
      <c r="GD13" s="436"/>
      <c r="GE13" s="436"/>
      <c r="GF13" s="436"/>
      <c r="GG13" s="436"/>
      <c r="GH13" s="437"/>
      <c r="GI13" s="438"/>
      <c r="GJ13" s="436"/>
      <c r="GK13" s="436"/>
      <c r="GL13" s="436"/>
      <c r="GM13" s="436"/>
      <c r="GN13" s="437"/>
      <c r="GO13" s="438"/>
      <c r="GP13" s="436"/>
      <c r="GQ13" s="436"/>
      <c r="GR13" s="436"/>
      <c r="GS13" s="436"/>
      <c r="GT13" s="437"/>
      <c r="GU13" s="438"/>
      <c r="GV13" s="436"/>
      <c r="GW13" s="436"/>
      <c r="GX13" s="436"/>
      <c r="GY13" s="436"/>
      <c r="GZ13" s="437"/>
      <c r="HA13" s="438"/>
      <c r="HB13" s="436"/>
      <c r="HC13" s="436"/>
      <c r="HD13" s="436"/>
    </row>
    <row r="14" spans="1:212" ht="14.25" x14ac:dyDescent="0.25">
      <c r="A14" s="439"/>
      <c r="B14" s="440"/>
      <c r="C14" s="441"/>
      <c r="D14" s="441"/>
      <c r="E14" s="441"/>
      <c r="F14" s="441"/>
    </row>
    <row r="15" spans="1:212" ht="20.100000000000001" customHeight="1" x14ac:dyDescent="0.25">
      <c r="A15" s="1217" t="s">
        <v>287</v>
      </c>
      <c r="B15" s="1218"/>
      <c r="C15" s="442">
        <f>SUM(C12:C13)/2</f>
        <v>0</v>
      </c>
      <c r="D15" s="442">
        <f>SUM(D12:D13)/2</f>
        <v>0</v>
      </c>
      <c r="E15" s="442">
        <f>SUM(E12:E13)/2</f>
        <v>0</v>
      </c>
      <c r="F15" s="442">
        <f>SUM(F12:F13)/2</f>
        <v>0</v>
      </c>
    </row>
  </sheetData>
  <mergeCells count="8">
    <mergeCell ref="A15:B15"/>
    <mergeCell ref="A7:F7"/>
    <mergeCell ref="A8:A9"/>
    <mergeCell ref="B8:B9"/>
    <mergeCell ref="C8:C9"/>
    <mergeCell ref="D8:D9"/>
    <mergeCell ref="E8:E9"/>
    <mergeCell ref="F8:F9"/>
  </mergeCells>
  <conditionalFormatting sqref="B5">
    <cfRule type="expression" dxfId="65" priority="2">
      <formula>$H5="VERIFICAR CÓDIGO"</formula>
    </cfRule>
  </conditionalFormatting>
  <conditionalFormatting sqref="B6">
    <cfRule type="expression" dxfId="64" priority="1">
      <formula>$H6="VERIFICAR CÓDIGO"</formula>
    </cfRule>
  </conditionalFormatting>
  <printOptions horizontalCentered="1"/>
  <pageMargins left="0.59055118110236227" right="0.59055118110236227" top="1.7716535433070868" bottom="0.78740157480314965" header="0" footer="0"/>
  <pageSetup paperSize="9" scale="81" firstPageNumber="25" fitToHeight="100" orientation="landscape" r:id="rId1"/>
  <headerFooter scaleWithDoc="0">
    <oddHeader>&amp;L&amp;G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tabColor theme="9" tint="-0.249977111117893"/>
    <pageSetUpPr fitToPage="1"/>
  </sheetPr>
  <dimension ref="A1:HT16"/>
  <sheetViews>
    <sheetView showGridLines="0" showZeros="0" tabSelected="1" view="pageBreakPreview" zoomScaleNormal="85" zoomScaleSheetLayoutView="100" workbookViewId="0">
      <selection activeCell="B13" sqref="B13"/>
    </sheetView>
  </sheetViews>
  <sheetFormatPr defaultColWidth="8.88671875" defaultRowHeight="13.8" x14ac:dyDescent="0.3"/>
  <cols>
    <col min="1" max="1" width="8.88671875" style="301"/>
    <col min="2" max="2" width="22.109375" style="301" customWidth="1"/>
    <col min="3" max="3" width="98.6640625" style="301" customWidth="1"/>
    <col min="4" max="4" width="30.6640625" style="467" customWidth="1"/>
    <col min="5" max="5" width="30" style="301" customWidth="1"/>
    <col min="6" max="6" width="13.33203125" style="301" customWidth="1"/>
    <col min="7" max="16384" width="8.88671875" style="301"/>
  </cols>
  <sheetData>
    <row r="1" spans="1:228" ht="15" x14ac:dyDescent="0.25">
      <c r="B1" s="1" t="str">
        <f>ÍNDICE!$A$1</f>
        <v>OBJETO:</v>
      </c>
      <c r="C1" s="408" t="str">
        <f>VLOOKUP(B1,ÍNDICE!A:G,2,FALSE)</f>
        <v>PAVIMENTAÇÃO ASFÁLTICA E DRENAGEM</v>
      </c>
      <c r="D1" s="443"/>
      <c r="E1" s="444"/>
    </row>
    <row r="2" spans="1:228" ht="20.100000000000001" customHeight="1" x14ac:dyDescent="0.25">
      <c r="B2" s="8" t="str">
        <f>ÍNDICE!$A$2</f>
        <v>CONTRATANTE:</v>
      </c>
      <c r="C2" s="412" t="str">
        <f>VLOOKUP(B2,ÍNDICE!A:G,2,FALSE)</f>
        <v>PREFEITURA MUNICIPAL DE CANARANA</v>
      </c>
      <c r="D2" s="445"/>
      <c r="E2" s="446"/>
    </row>
    <row r="3" spans="1:228" ht="20.100000000000001" customHeight="1" x14ac:dyDescent="0.25">
      <c r="B3" s="8" t="str">
        <f>ÍNDICE!$A$3</f>
        <v>LOCAL:</v>
      </c>
      <c r="C3" s="412" t="str">
        <f>VLOOKUP(B3,ÍNDICE!A:G,2,FALSE)</f>
        <v>BAIRRO JARDIM FORTALEZA - PARTE 1</v>
      </c>
      <c r="D3" s="445"/>
      <c r="E3" s="447"/>
    </row>
    <row r="4" spans="1:228" ht="20.100000000000001" customHeight="1" x14ac:dyDescent="0.25">
      <c r="B4" s="8" t="str">
        <f>ÍNDICE!$A$5</f>
        <v>ÁREA TOTAL:</v>
      </c>
      <c r="C4" s="364">
        <f>VLOOKUP(B4,ÍNDICE!A:G,2,FALSE)</f>
        <v>45834.720000000001</v>
      </c>
      <c r="D4" s="445"/>
      <c r="E4" s="447"/>
    </row>
    <row r="5" spans="1:228" ht="20.100000000000001" customHeight="1" x14ac:dyDescent="0.25">
      <c r="B5" s="14" t="str">
        <f>ÍNDICE!$A$6</f>
        <v>EXTENSÃO TOTAL:</v>
      </c>
      <c r="C5" s="366">
        <f>VLOOKUP(B5,ÍNDICE!A:G,2,FALSE)</f>
        <v>5903.17</v>
      </c>
      <c r="D5" s="448"/>
      <c r="E5" s="449"/>
    </row>
    <row r="6" spans="1:228" ht="24" customHeight="1" x14ac:dyDescent="0.25">
      <c r="B6" s="1224" t="str">
        <f>CONCATENATE("RESUMO DO ORÇAMENTO - ",ORÇAMENTO!P2)</f>
        <v>RESUMO DO ORÇAMENTO - NÃO DESONERADO</v>
      </c>
      <c r="C6" s="1225"/>
      <c r="D6" s="1225"/>
      <c r="E6" s="1226"/>
    </row>
    <row r="7" spans="1:228" ht="30" customHeight="1" x14ac:dyDescent="0.3">
      <c r="B7" s="450" t="s">
        <v>243</v>
      </c>
      <c r="C7" s="450" t="s">
        <v>288</v>
      </c>
      <c r="D7" s="451" t="s">
        <v>289</v>
      </c>
      <c r="E7" s="452" t="s">
        <v>290</v>
      </c>
    </row>
    <row r="8" spans="1:228" ht="30" customHeight="1" x14ac:dyDescent="0.3">
      <c r="A8" s="301">
        <v>1</v>
      </c>
      <c r="B8" s="453" t="str">
        <f>CONCATENATE(A8,".0")</f>
        <v>1.0</v>
      </c>
      <c r="C8" s="454" t="str">
        <f ca="1">INDEX(ORÇAMENTO!$K:$K,MATCH(RESUMO!$B8,ORÇAMENTO!$J:$J,0))</f>
        <v>ADMINISTRAÇÃO LOCAL</v>
      </c>
      <c r="D8" s="455">
        <f ca="1">INDEX(ORÇAMENTO!$P:$P,MATCH(RESUMO!$B8,ORÇAMENTO!$J:$J,0))</f>
        <v>0</v>
      </c>
      <c r="E8" s="456">
        <f ca="1">INDEX(ORÇAMENTO!$Q:$Q,MATCH(RESUMO!$B8,ORÇAMENTO!$J:$J,0))</f>
        <v>0</v>
      </c>
    </row>
    <row r="9" spans="1:228" ht="30" customHeight="1" x14ac:dyDescent="0.3">
      <c r="A9" s="301">
        <f>A8+1</f>
        <v>2</v>
      </c>
      <c r="B9" s="453" t="str">
        <f t="shared" ref="B9:B14" si="0">CONCATENATE(A9,".0")</f>
        <v>2.0</v>
      </c>
      <c r="C9" s="454" t="str">
        <f ca="1">INDEX(ORÇAMENTO!$K:$K,MATCH(RESUMO!$B9,ORÇAMENTO!$J:$J,0))</f>
        <v>SERVIÇOS PRELIMINARES</v>
      </c>
      <c r="D9" s="455">
        <f ca="1">INDEX(ORÇAMENTO!$P:$P,MATCH(RESUMO!$B9,ORÇAMENTO!$J:$J,0))</f>
        <v>0</v>
      </c>
      <c r="E9" s="456">
        <f ca="1">INDEX(ORÇAMENTO!$Q:$Q,MATCH(RESUMO!$B9,ORÇAMENTO!$J:$J,0))</f>
        <v>0</v>
      </c>
    </row>
    <row r="10" spans="1:228" ht="30" customHeight="1" x14ac:dyDescent="0.3">
      <c r="A10" s="301">
        <f t="shared" ref="A10:A14" si="1">A9+1</f>
        <v>3</v>
      </c>
      <c r="B10" s="453" t="str">
        <f t="shared" si="0"/>
        <v>3.0</v>
      </c>
      <c r="C10" s="454" t="str">
        <f ca="1">INDEX(ORÇAMENTO!$K:$K,MATCH(RESUMO!$B10,ORÇAMENTO!$J:$J,0))</f>
        <v>MOBILIZAÇÃO E DESMOBILIZAÇÃO</v>
      </c>
      <c r="D10" s="455">
        <f ca="1">INDEX(ORÇAMENTO!$P:$P,MATCH(RESUMO!$B10,ORÇAMENTO!$J:$J,0))</f>
        <v>0</v>
      </c>
      <c r="E10" s="456">
        <f ca="1">INDEX(ORÇAMENTO!$Q:$Q,MATCH(RESUMO!$B10,ORÇAMENTO!$J:$J,0))</f>
        <v>0</v>
      </c>
    </row>
    <row r="11" spans="1:228" ht="30" customHeight="1" x14ac:dyDescent="0.3">
      <c r="A11" s="301">
        <f t="shared" si="1"/>
        <v>4</v>
      </c>
      <c r="B11" s="457" t="str">
        <f t="shared" si="0"/>
        <v>4.0</v>
      </c>
      <c r="C11" s="458" t="str">
        <f ca="1">INDEX(ORÇAMENTO!$K:$K,MATCH(RESUMO!$B11,ORÇAMENTO!$J:$J,0))</f>
        <v>TERRAPLANAGEM</v>
      </c>
      <c r="D11" s="459">
        <f ca="1">INDEX(ORÇAMENTO!$P:$P,MATCH(RESUMO!$B11,ORÇAMENTO!$J:$J,0))</f>
        <v>0</v>
      </c>
      <c r="E11" s="460">
        <f ca="1">INDEX(ORÇAMENTO!$Q:$Q,MATCH(RESUMO!$B11,ORÇAMENTO!$J:$J,0))</f>
        <v>0</v>
      </c>
    </row>
    <row r="12" spans="1:228" ht="30" customHeight="1" x14ac:dyDescent="0.3">
      <c r="A12" s="301">
        <f t="shared" si="1"/>
        <v>5</v>
      </c>
      <c r="B12" s="457" t="str">
        <f t="shared" si="0"/>
        <v>5.0</v>
      </c>
      <c r="C12" s="458" t="str">
        <f ca="1">INDEX(ORÇAMENTO!$K:$K,MATCH(RESUMO!$B12,ORÇAMENTO!$J:$J,0))</f>
        <v>PAVIMENTAÇÃO</v>
      </c>
      <c r="D12" s="459">
        <f ca="1">INDEX(ORÇAMENTO!$P:$P,MATCH(RESUMO!$B12,ORÇAMENTO!$J:$J,0))</f>
        <v>0</v>
      </c>
      <c r="E12" s="460">
        <f ca="1">INDEX(ORÇAMENTO!$Q:$Q,MATCH(RESUMO!$B12,ORÇAMENTO!$J:$J,0))</f>
        <v>0</v>
      </c>
    </row>
    <row r="13" spans="1:228" ht="30" customHeight="1" x14ac:dyDescent="0.3">
      <c r="A13" s="301">
        <f t="shared" si="1"/>
        <v>6</v>
      </c>
      <c r="B13" s="457" t="str">
        <f t="shared" si="0"/>
        <v>6.0</v>
      </c>
      <c r="C13" s="458" t="str">
        <f ca="1">INDEX(ORÇAMENTO!$K:$K,MATCH(RESUMO!$B13,ORÇAMENTO!$J:$J,0))</f>
        <v>SINALIZAÇÃO VIÁRIA</v>
      </c>
      <c r="D13" s="459">
        <f ca="1">INDEX(ORÇAMENTO!$P:$P,MATCH(RESUMO!$B13,ORÇAMENTO!$J:$J,0))</f>
        <v>0</v>
      </c>
      <c r="E13" s="460">
        <f ca="1">INDEX(ORÇAMENTO!$Q:$Q,MATCH(RESUMO!$B13,ORÇAMENTO!$J:$J,0))</f>
        <v>0</v>
      </c>
    </row>
    <row r="14" spans="1:228" ht="30" customHeight="1" x14ac:dyDescent="0.3">
      <c r="A14" s="301">
        <f t="shared" si="1"/>
        <v>7</v>
      </c>
      <c r="B14" s="457" t="str">
        <f t="shared" si="0"/>
        <v>7.0</v>
      </c>
      <c r="C14" s="458" t="str">
        <f ca="1">INDEX(ORÇAMENTO!$K:$K,MATCH(RESUMO!$B14,ORÇAMENTO!$J:$J,0))</f>
        <v>SINALIZAÇÃO HORIZONTAL</v>
      </c>
      <c r="D14" s="459">
        <f ca="1">INDEX(ORÇAMENTO!$P:$P,MATCH(RESUMO!$B14,ORÇAMENTO!$J:$J,0))</f>
        <v>0</v>
      </c>
      <c r="E14" s="460">
        <f ca="1">INDEX(ORÇAMENTO!$Q:$Q,MATCH(RESUMO!$B14,ORÇAMENTO!$J:$J,0))</f>
        <v>0</v>
      </c>
    </row>
    <row r="15" spans="1:228" ht="30" customHeight="1" x14ac:dyDescent="0.25">
      <c r="B15" s="1227" t="s">
        <v>291</v>
      </c>
      <c r="C15" s="1228"/>
      <c r="D15" s="461">
        <f ca="1">SUM(D8:D14)</f>
        <v>0</v>
      </c>
      <c r="E15" s="462">
        <f ca="1">SUM(E8:E14)</f>
        <v>0</v>
      </c>
      <c r="F15" s="463"/>
      <c r="G15" s="463"/>
      <c r="H15" s="464"/>
      <c r="I15" s="465"/>
      <c r="J15" s="463"/>
      <c r="K15" s="463"/>
      <c r="L15" s="463"/>
      <c r="M15" s="463"/>
      <c r="N15" s="464"/>
      <c r="O15" s="465"/>
      <c r="P15" s="463"/>
      <c r="Q15" s="463"/>
      <c r="R15" s="463"/>
      <c r="S15" s="463"/>
      <c r="T15" s="464"/>
      <c r="U15" s="465"/>
      <c r="V15" s="463"/>
      <c r="W15" s="463"/>
      <c r="X15" s="463"/>
      <c r="Y15" s="463"/>
      <c r="Z15" s="464"/>
      <c r="AA15" s="465"/>
      <c r="AB15" s="463"/>
      <c r="AC15" s="463"/>
      <c r="AD15" s="463"/>
      <c r="AE15" s="463"/>
      <c r="AF15" s="464"/>
      <c r="AG15" s="465"/>
      <c r="AH15" s="463"/>
      <c r="AI15" s="463"/>
      <c r="AJ15" s="463"/>
      <c r="AK15" s="463"/>
      <c r="AL15" s="464"/>
      <c r="AM15" s="465"/>
      <c r="AN15" s="463"/>
      <c r="AO15" s="463"/>
      <c r="AP15" s="463"/>
      <c r="AQ15" s="463"/>
      <c r="AR15" s="464"/>
      <c r="AS15" s="465"/>
      <c r="AT15" s="463"/>
      <c r="AU15" s="463"/>
      <c r="AV15" s="463"/>
      <c r="AW15" s="463"/>
      <c r="AX15" s="464"/>
      <c r="AY15" s="465"/>
      <c r="AZ15" s="463"/>
      <c r="BA15" s="463"/>
      <c r="BB15" s="463"/>
      <c r="BC15" s="463"/>
      <c r="BD15" s="464"/>
      <c r="BE15" s="465"/>
      <c r="BF15" s="463"/>
      <c r="BG15" s="463"/>
      <c r="BH15" s="463"/>
      <c r="BI15" s="463"/>
      <c r="BJ15" s="464"/>
      <c r="BK15" s="465"/>
      <c r="BL15" s="463"/>
      <c r="BM15" s="463"/>
      <c r="BN15" s="463"/>
      <c r="BO15" s="463"/>
      <c r="BP15" s="464"/>
      <c r="BQ15" s="465"/>
      <c r="BR15" s="463"/>
      <c r="BS15" s="463"/>
      <c r="BT15" s="463"/>
      <c r="BU15" s="463"/>
      <c r="BV15" s="464"/>
      <c r="BW15" s="465"/>
      <c r="BX15" s="463"/>
      <c r="BY15" s="463"/>
      <c r="BZ15" s="463"/>
      <c r="CA15" s="463"/>
      <c r="CB15" s="464"/>
      <c r="CC15" s="465"/>
      <c r="CD15" s="463"/>
      <c r="CE15" s="463"/>
      <c r="CF15" s="463"/>
      <c r="CG15" s="463"/>
      <c r="CH15" s="464"/>
      <c r="CI15" s="465"/>
      <c r="CJ15" s="463"/>
      <c r="CK15" s="463"/>
      <c r="CL15" s="463"/>
      <c r="CM15" s="463"/>
      <c r="CN15" s="464"/>
      <c r="CO15" s="465"/>
      <c r="CP15" s="463"/>
      <c r="CQ15" s="463"/>
      <c r="CR15" s="463"/>
      <c r="CS15" s="463"/>
      <c r="CT15" s="464"/>
      <c r="CU15" s="465"/>
      <c r="CV15" s="463"/>
      <c r="CW15" s="463"/>
      <c r="CX15" s="463"/>
      <c r="CY15" s="463"/>
      <c r="CZ15" s="464"/>
      <c r="DA15" s="465"/>
      <c r="DB15" s="463"/>
      <c r="DC15" s="463"/>
      <c r="DD15" s="463"/>
      <c r="DE15" s="463"/>
      <c r="DF15" s="464"/>
      <c r="DG15" s="465"/>
      <c r="DH15" s="463"/>
      <c r="DI15" s="463"/>
      <c r="DJ15" s="463"/>
      <c r="DK15" s="463"/>
      <c r="DL15" s="464"/>
      <c r="DM15" s="465"/>
      <c r="DN15" s="463"/>
      <c r="DO15" s="463"/>
      <c r="DP15" s="463"/>
      <c r="DQ15" s="463"/>
      <c r="DR15" s="464"/>
      <c r="DS15" s="465"/>
      <c r="DT15" s="463"/>
      <c r="DU15" s="463"/>
      <c r="DV15" s="463"/>
      <c r="DW15" s="463"/>
      <c r="DX15" s="464"/>
      <c r="DY15" s="465"/>
      <c r="DZ15" s="463"/>
      <c r="EA15" s="463"/>
      <c r="EB15" s="463"/>
      <c r="EC15" s="463"/>
      <c r="ED15" s="464"/>
      <c r="EE15" s="465"/>
      <c r="EF15" s="463"/>
      <c r="EG15" s="463"/>
      <c r="EH15" s="463"/>
      <c r="EI15" s="463"/>
      <c r="EJ15" s="464"/>
      <c r="EK15" s="465"/>
      <c r="EL15" s="463"/>
      <c r="EM15" s="463"/>
      <c r="EN15" s="463"/>
      <c r="EO15" s="463"/>
      <c r="EP15" s="464"/>
      <c r="EQ15" s="465"/>
      <c r="ER15" s="463"/>
      <c r="ES15" s="463"/>
      <c r="ET15" s="463"/>
      <c r="EU15" s="463"/>
      <c r="EV15" s="464"/>
      <c r="EW15" s="465"/>
      <c r="EX15" s="463"/>
      <c r="EY15" s="463"/>
      <c r="EZ15" s="463"/>
      <c r="FA15" s="463"/>
      <c r="FB15" s="464"/>
      <c r="FC15" s="465"/>
      <c r="FD15" s="463"/>
      <c r="FE15" s="463"/>
      <c r="FF15" s="463"/>
      <c r="FG15" s="463"/>
      <c r="FH15" s="464"/>
      <c r="FI15" s="465"/>
      <c r="FJ15" s="463"/>
      <c r="FK15" s="463"/>
      <c r="FL15" s="463"/>
      <c r="FM15" s="463"/>
      <c r="FN15" s="464"/>
      <c r="FO15" s="465"/>
      <c r="FP15" s="463"/>
      <c r="FQ15" s="463"/>
      <c r="FR15" s="463"/>
      <c r="FS15" s="463"/>
      <c r="FT15" s="464"/>
      <c r="FU15" s="465"/>
      <c r="FV15" s="463"/>
      <c r="FW15" s="463"/>
      <c r="FX15" s="463"/>
      <c r="FY15" s="463"/>
      <c r="FZ15" s="464"/>
      <c r="GA15" s="465"/>
      <c r="GB15" s="463"/>
      <c r="GC15" s="463"/>
      <c r="GD15" s="463"/>
      <c r="GE15" s="463"/>
      <c r="GF15" s="464"/>
      <c r="GG15" s="465"/>
      <c r="GH15" s="463"/>
      <c r="GI15" s="463"/>
      <c r="GJ15" s="463"/>
      <c r="GK15" s="463"/>
      <c r="GL15" s="464"/>
      <c r="GM15" s="465"/>
      <c r="GN15" s="463"/>
      <c r="GO15" s="463"/>
      <c r="GP15" s="463"/>
      <c r="GQ15" s="463"/>
      <c r="GR15" s="464"/>
      <c r="GS15" s="465"/>
      <c r="GT15" s="463"/>
      <c r="GU15" s="463"/>
      <c r="GV15" s="463"/>
      <c r="GW15" s="463"/>
      <c r="GX15" s="464"/>
      <c r="GY15" s="465"/>
      <c r="GZ15" s="463"/>
      <c r="HA15" s="463"/>
      <c r="HB15" s="463"/>
      <c r="HC15" s="463"/>
      <c r="HD15" s="464"/>
      <c r="HE15" s="465"/>
      <c r="HF15" s="463"/>
      <c r="HG15" s="463"/>
      <c r="HH15" s="463"/>
      <c r="HI15" s="463"/>
      <c r="HJ15" s="464"/>
      <c r="HK15" s="465"/>
      <c r="HL15" s="463"/>
      <c r="HM15" s="463"/>
      <c r="HN15" s="463"/>
      <c r="HO15" s="463"/>
      <c r="HP15" s="464"/>
      <c r="HQ15" s="465"/>
      <c r="HR15" s="463"/>
      <c r="HS15" s="463"/>
      <c r="HT15" s="463"/>
    </row>
    <row r="16" spans="1:228" ht="14.25" x14ac:dyDescent="0.25">
      <c r="D16" s="466"/>
    </row>
  </sheetData>
  <mergeCells count="2">
    <mergeCell ref="B6:E6"/>
    <mergeCell ref="B15:C15"/>
  </mergeCells>
  <conditionalFormatting sqref="B6">
    <cfRule type="expression" dxfId="63" priority="3">
      <formula>#REF!="VERIFICAR CÓDIGO"</formula>
    </cfRule>
  </conditionalFormatting>
  <conditionalFormatting sqref="C4">
    <cfRule type="expression" dxfId="62" priority="2">
      <formula>$H4="VERIFICAR CÓDIGO"</formula>
    </cfRule>
  </conditionalFormatting>
  <conditionalFormatting sqref="C5">
    <cfRule type="expression" dxfId="61" priority="1">
      <formula>$H5="VERIFICAR CÓDIGO"</formula>
    </cfRule>
  </conditionalFormatting>
  <printOptions horizontalCentered="1"/>
  <pageMargins left="0.59055118110236227" right="0.59055118110236227" top="1.7716535433070868" bottom="0.78740157480314965" header="0" footer="0"/>
  <pageSetup paperSize="9" scale="74" firstPageNumber="25" fitToHeight="100" orientation="landscape" r:id="rId1"/>
  <headerFooter scaleWithDoc="0">
    <oddHeader>&amp;L&amp;G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tabColor theme="9" tint="-0.249977111117893"/>
  </sheetPr>
  <dimension ref="A1:AD99"/>
  <sheetViews>
    <sheetView showGridLines="0" view="pageBreakPreview" topLeftCell="A77" zoomScale="85" zoomScaleNormal="85" zoomScaleSheetLayoutView="85" zoomScalePageLayoutView="40" workbookViewId="0">
      <selection activeCell="J96" sqref="J96"/>
    </sheetView>
  </sheetViews>
  <sheetFormatPr defaultColWidth="15.5546875" defaultRowHeight="13.8" x14ac:dyDescent="0.3"/>
  <cols>
    <col min="1" max="1" width="2.5546875" style="301" bestFit="1" customWidth="1"/>
    <col min="2" max="2" width="3.88671875" style="301" bestFit="1" customWidth="1"/>
    <col min="3" max="3" width="2.5546875" style="301" customWidth="1"/>
    <col min="4" max="4" width="2.5546875" style="301" bestFit="1" customWidth="1"/>
    <col min="5" max="5" width="2.88671875" style="301" bestFit="1" customWidth="1"/>
    <col min="6" max="6" width="18.5546875" style="301" customWidth="1"/>
    <col min="7" max="7" width="24.6640625" style="467" customWidth="1"/>
    <col min="8" max="8" width="16.5546875" style="301" customWidth="1"/>
    <col min="9" max="9" width="16.88671875" style="301" bestFit="1" customWidth="1"/>
    <col min="10" max="10" width="7.109375" style="301" bestFit="1" customWidth="1"/>
    <col min="11" max="11" width="74.44140625" style="301" customWidth="1"/>
    <col min="12" max="12" width="8.6640625" style="417" bestFit="1" customWidth="1"/>
    <col min="13" max="13" width="18.109375" style="626" customWidth="1"/>
    <col min="14" max="14" width="15.33203125" style="301" customWidth="1"/>
    <col min="15" max="15" width="17.5546875" style="627" customWidth="1"/>
    <col min="16" max="16" width="21.109375" style="301" customWidth="1"/>
    <col min="17" max="17" width="11.44140625" style="301" bestFit="1" customWidth="1"/>
    <col min="18" max="18" width="25.44140625" style="301" customWidth="1"/>
    <col min="19" max="16384" width="15.5546875" style="301"/>
  </cols>
  <sheetData>
    <row r="1" spans="1:29" ht="45" customHeight="1" x14ac:dyDescent="0.3">
      <c r="G1" s="1" t="str">
        <f>ÍNDICE!$A$1</f>
        <v>OBJETO:</v>
      </c>
      <c r="H1" s="2" t="str">
        <f>VLOOKUP(G1,ÍNDICE!A:G,2,FALSE)</f>
        <v>PAVIMENTAÇÃO ASFÁLTICA E DRENAGEM</v>
      </c>
      <c r="I1" s="3"/>
      <c r="J1" s="295"/>
      <c r="K1" s="295"/>
      <c r="L1" s="439"/>
      <c r="M1" s="468"/>
      <c r="N1" s="1242" t="s">
        <v>292</v>
      </c>
      <c r="O1" s="1243"/>
      <c r="P1" s="1244" t="s">
        <v>293</v>
      </c>
      <c r="Q1" s="1245"/>
      <c r="R1" s="469"/>
      <c r="T1" s="301" t="s">
        <v>294</v>
      </c>
      <c r="V1" s="470" t="s">
        <v>295</v>
      </c>
      <c r="AC1" s="301" t="s">
        <v>296</v>
      </c>
    </row>
    <row r="2" spans="1:29" ht="20.100000000000001" customHeight="1" x14ac:dyDescent="0.3">
      <c r="G2" s="8" t="str">
        <f>ÍNDICE!$A$2</f>
        <v>CONTRATANTE:</v>
      </c>
      <c r="H2" s="298" t="str">
        <f>VLOOKUP(G2,ÍNDICE!A:G,2,FALSE)</f>
        <v>PREFEITURA MUNICIPAL DE CANARANA</v>
      </c>
      <c r="I2" s="10"/>
      <c r="M2" s="471"/>
      <c r="N2" s="1242" t="s">
        <v>297</v>
      </c>
      <c r="O2" s="1243"/>
      <c r="P2" s="1246" t="s">
        <v>298</v>
      </c>
      <c r="Q2" s="1247"/>
      <c r="R2" s="1248"/>
      <c r="T2" s="301" t="s">
        <v>298</v>
      </c>
      <c r="V2" s="472" t="s">
        <v>299</v>
      </c>
    </row>
    <row r="3" spans="1:29" ht="20.100000000000001" customHeight="1" x14ac:dyDescent="0.3">
      <c r="G3" s="8" t="str">
        <f>ÍNDICE!$A$3</f>
        <v>LOCAL:</v>
      </c>
      <c r="H3" s="298" t="str">
        <f>VLOOKUP(G3,ÍNDICE!A:G,2,FALSE)</f>
        <v>BAIRRO JARDIM FORTALEZA - PARTE 1</v>
      </c>
      <c r="I3" s="10"/>
      <c r="M3" s="471"/>
      <c r="N3" s="1229" t="s">
        <v>300</v>
      </c>
      <c r="O3" s="1230"/>
      <c r="P3" s="1249">
        <f>'BDI-SERVIÇOS'!K28</f>
        <v>0.2102</v>
      </c>
      <c r="Q3" s="1250"/>
      <c r="R3" s="1248"/>
      <c r="V3" s="7" t="s">
        <v>0</v>
      </c>
    </row>
    <row r="4" spans="1:29" ht="20.100000000000001" customHeight="1" x14ac:dyDescent="0.3">
      <c r="G4" s="8" t="str">
        <f>ÍNDICE!$A$5</f>
        <v>ÁREA TOTAL:</v>
      </c>
      <c r="H4" s="364">
        <f>VLOOKUP(G4,ÍNDICE!A:G,2,FALSE)</f>
        <v>45834.720000000001</v>
      </c>
      <c r="I4" s="10"/>
      <c r="M4" s="471"/>
      <c r="N4" s="1229" t="s">
        <v>301</v>
      </c>
      <c r="O4" s="1230"/>
      <c r="P4" s="1231">
        <f>IF(P2="NÃO DESONERADO",15%,19.95%)</f>
        <v>0.15</v>
      </c>
      <c r="Q4" s="1232"/>
      <c r="R4" s="1248"/>
      <c r="V4" s="13" t="s">
        <v>1</v>
      </c>
    </row>
    <row r="5" spans="1:29" ht="20.100000000000001" customHeight="1" x14ac:dyDescent="0.25">
      <c r="G5" s="14" t="str">
        <f>ÍNDICE!$A$6</f>
        <v>EXTENSÃO TOTAL:</v>
      </c>
      <c r="H5" s="366">
        <f>VLOOKUP(G5,ÍNDICE!A:G,2,FALSE)</f>
        <v>5903.17</v>
      </c>
      <c r="I5" s="16"/>
      <c r="J5" s="307"/>
      <c r="K5" s="307"/>
      <c r="L5" s="473"/>
      <c r="M5" s="474"/>
      <c r="N5" s="1229" t="s">
        <v>29</v>
      </c>
      <c r="O5" s="1230"/>
      <c r="P5" s="1231" t="str">
        <f ca="1">UPPER(TEXT(TODAY(),"mmmm/aaaa"))</f>
        <v>JUNHO/2026</v>
      </c>
      <c r="Q5" s="1232"/>
      <c r="R5" s="475"/>
      <c r="V5" s="13" t="s">
        <v>1</v>
      </c>
    </row>
    <row r="6" spans="1:29" ht="26.25" customHeight="1" x14ac:dyDescent="0.3">
      <c r="G6" s="476"/>
      <c r="H6" s="477"/>
      <c r="I6" s="477"/>
      <c r="J6" s="477"/>
      <c r="K6" s="478" t="str">
        <f>CONCATENATE("PLANILHA ORÇAMENTÁRIA - ",P2)</f>
        <v>PLANILHA ORÇAMENTÁRIA - NÃO DESONERADO</v>
      </c>
      <c r="L6" s="477"/>
      <c r="M6" s="477"/>
      <c r="N6" s="477"/>
      <c r="O6" s="477"/>
      <c r="P6" s="477"/>
      <c r="Q6" s="479"/>
      <c r="R6" s="480"/>
      <c r="V6" s="7" t="s">
        <v>2</v>
      </c>
      <c r="AC6" s="481"/>
    </row>
    <row r="7" spans="1:29" ht="18" customHeight="1" x14ac:dyDescent="0.3">
      <c r="G7" s="1233" t="s">
        <v>302</v>
      </c>
      <c r="H7" s="1235" t="s">
        <v>33</v>
      </c>
      <c r="I7" s="1235" t="s">
        <v>303</v>
      </c>
      <c r="J7" s="1235" t="s">
        <v>243</v>
      </c>
      <c r="K7" s="1235" t="s">
        <v>288</v>
      </c>
      <c r="L7" s="1237" t="s">
        <v>11</v>
      </c>
      <c r="M7" s="1239" t="s">
        <v>304</v>
      </c>
      <c r="N7" s="1235" t="s">
        <v>305</v>
      </c>
      <c r="O7" s="1235"/>
      <c r="P7" s="1235"/>
      <c r="Q7" s="1241"/>
      <c r="V7" s="7" t="s">
        <v>3</v>
      </c>
      <c r="AC7" s="481"/>
    </row>
    <row r="8" spans="1:29" s="481" customFormat="1" ht="24" customHeight="1" thickBot="1" x14ac:dyDescent="0.35">
      <c r="G8" s="1234"/>
      <c r="H8" s="1236"/>
      <c r="I8" s="1236"/>
      <c r="J8" s="1236"/>
      <c r="K8" s="1236"/>
      <c r="L8" s="1238"/>
      <c r="M8" s="1240"/>
      <c r="N8" s="482" t="s">
        <v>306</v>
      </c>
      <c r="O8" s="482" t="s">
        <v>307</v>
      </c>
      <c r="P8" s="483" t="s">
        <v>287</v>
      </c>
      <c r="Q8" s="484" t="s">
        <v>290</v>
      </c>
      <c r="V8" s="7" t="s">
        <v>4</v>
      </c>
      <c r="AC8" s="301"/>
    </row>
    <row r="9" spans="1:29" s="502" customFormat="1" ht="16.2" thickBot="1" x14ac:dyDescent="0.35">
      <c r="A9" s="485">
        <f t="shared" ref="A9:A72" ca="1" si="0">IF(LEN(D9),OFFSET(A9,-1,0)+1,OFFSET(A9,-1,0))</f>
        <v>1</v>
      </c>
      <c r="B9" s="485">
        <f ca="1">IF(OR(C9=1,D9=1),SUMIF($A$9:A9,A9,$C$9:C9),"")</f>
        <v>0</v>
      </c>
      <c r="C9" s="485" t="str">
        <f t="shared" ref="C9:C72" si="1">IF(I9&gt;0,1,"")</f>
        <v/>
      </c>
      <c r="D9" s="486">
        <f>IF(AND(CONCATENATE(K9,L9,M9,N9,O9,P9,R9)=K9&amp;P9&amp;R9,CONCATENATE(K9,L9,M9,N9,O9,P9,R9)&lt;&gt;"",P9&lt;&gt;""),1,"")</f>
        <v>1</v>
      </c>
      <c r="E9" s="487"/>
      <c r="F9" s="488"/>
      <c r="G9" s="489"/>
      <c r="H9" s="490"/>
      <c r="I9" s="491"/>
      <c r="J9" s="492" t="str">
        <f ca="1">IFERROR(IF(B9&lt;&gt;"",A9&amp;"."&amp;B9,""),"S/Nº")</f>
        <v>1.0</v>
      </c>
      <c r="K9" s="493" t="s">
        <v>308</v>
      </c>
      <c r="L9" s="494"/>
      <c r="M9" s="495"/>
      <c r="N9" s="496"/>
      <c r="O9" s="497"/>
      <c r="P9" s="498">
        <f>P10</f>
        <v>0</v>
      </c>
      <c r="Q9" s="499">
        <f t="shared" ref="Q9:Q23" si="2">IF(P9&gt;0,P9/$P$99,0)</f>
        <v>0</v>
      </c>
      <c r="R9" s="500"/>
      <c r="S9" s="501"/>
      <c r="V9" s="113" t="s">
        <v>8</v>
      </c>
    </row>
    <row r="10" spans="1:29" s="502" customFormat="1" ht="16.2" thickBot="1" x14ac:dyDescent="0.35">
      <c r="A10" s="485">
        <f t="shared" ca="1" si="0"/>
        <v>1</v>
      </c>
      <c r="B10" s="485">
        <f ca="1">IF(OR(C10=1,D10=1),SUMIF($A$9:A10,A10,$C$9:C10),"")</f>
        <v>1</v>
      </c>
      <c r="C10" s="485">
        <f t="shared" si="1"/>
        <v>1</v>
      </c>
      <c r="D10" s="486" t="str">
        <f t="shared" ref="D10:D93" si="3">IF(AND(CONCATENATE(K10,L10,M10,N10,O10,P10,R10)=K10&amp;P10&amp;R10,CONCATENATE(K10,L10,M10,N10,O10,P10,R10)&lt;&gt;"",P10&lt;&gt;""),1,"")</f>
        <v/>
      </c>
      <c r="E10" s="487"/>
      <c r="F10" s="488"/>
      <c r="G10" s="503" t="s">
        <v>14</v>
      </c>
      <c r="H10" s="504" t="str">
        <f>'CPAV001-ADM'!A7</f>
        <v>CPAV001</v>
      </c>
      <c r="I10" s="505" t="s">
        <v>295</v>
      </c>
      <c r="J10" s="505" t="str">
        <f t="shared" ref="J10:J23" ca="1" si="4">IFERROR(IF(B10&lt;&gt;"",A10&amp;"."&amp;B10,""),"S/Nº")</f>
        <v>1.1</v>
      </c>
      <c r="K10" s="506" t="s">
        <v>10</v>
      </c>
      <c r="L10" s="507" t="s">
        <v>11</v>
      </c>
      <c r="M10" s="508">
        <v>1</v>
      </c>
      <c r="N10" s="509"/>
      <c r="O10" s="510"/>
      <c r="P10" s="511"/>
      <c r="Q10" s="512">
        <f t="shared" si="2"/>
        <v>0</v>
      </c>
      <c r="V10" s="113" t="s">
        <v>12</v>
      </c>
    </row>
    <row r="11" spans="1:29" s="514" customFormat="1" ht="16.2" thickBot="1" x14ac:dyDescent="0.35">
      <c r="A11" s="485">
        <f t="shared" ca="1" si="0"/>
        <v>2</v>
      </c>
      <c r="B11" s="485">
        <f ca="1">IF(OR(C11=1,D11=1),SUMIF($A$9:A11,A11,$C$9:C11),"")</f>
        <v>0</v>
      </c>
      <c r="C11" s="485" t="str">
        <f t="shared" si="1"/>
        <v/>
      </c>
      <c r="D11" s="486">
        <f t="shared" si="3"/>
        <v>1</v>
      </c>
      <c r="E11" s="487"/>
      <c r="F11" s="488"/>
      <c r="G11" s="489"/>
      <c r="H11" s="490"/>
      <c r="I11" s="491"/>
      <c r="J11" s="492" t="str">
        <f t="shared" ca="1" si="4"/>
        <v>2.0</v>
      </c>
      <c r="K11" s="493" t="s">
        <v>309</v>
      </c>
      <c r="L11" s="494"/>
      <c r="M11" s="495"/>
      <c r="N11" s="496"/>
      <c r="O11" s="497"/>
      <c r="P11" s="498">
        <f>SUM(P12:P13)</f>
        <v>0</v>
      </c>
      <c r="Q11" s="499">
        <f t="shared" si="2"/>
        <v>0</v>
      </c>
      <c r="R11" s="513"/>
      <c r="S11" s="513"/>
      <c r="U11" s="513"/>
      <c r="V11" s="130" t="s">
        <v>14</v>
      </c>
    </row>
    <row r="12" spans="1:29" s="502" customFormat="1" ht="29.25" customHeight="1" x14ac:dyDescent="0.3">
      <c r="A12" s="485">
        <f t="shared" ca="1" si="0"/>
        <v>2</v>
      </c>
      <c r="B12" s="485">
        <f ca="1">IF(OR(C12=1,D12=1),SUMIF($A$9:A12,A12,$C$9:C12),"")</f>
        <v>1</v>
      </c>
      <c r="C12" s="485">
        <f t="shared" si="1"/>
        <v>1</v>
      </c>
      <c r="D12" s="486" t="str">
        <f t="shared" si="3"/>
        <v/>
      </c>
      <c r="E12" s="487"/>
      <c r="F12" s="488"/>
      <c r="G12" s="515" t="s">
        <v>0</v>
      </c>
      <c r="H12" s="516">
        <v>103689</v>
      </c>
      <c r="I12" s="517" t="s">
        <v>295</v>
      </c>
      <c r="J12" s="517" t="str">
        <f t="shared" ca="1" si="4"/>
        <v>2.1</v>
      </c>
      <c r="K12" s="506" t="s">
        <v>31</v>
      </c>
      <c r="L12" s="507" t="s">
        <v>32</v>
      </c>
      <c r="M12" s="508">
        <v>15.62</v>
      </c>
      <c r="N12" s="509"/>
      <c r="O12" s="510"/>
      <c r="P12" s="511"/>
      <c r="Q12" s="512">
        <f t="shared" si="2"/>
        <v>0</v>
      </c>
      <c r="R12" s="513"/>
      <c r="S12" s="518"/>
      <c r="U12" s="513"/>
      <c r="V12" s="513"/>
      <c r="AC12" s="514"/>
    </row>
    <row r="13" spans="1:29" s="502" customFormat="1" ht="35.1" customHeight="1" thickBot="1" x14ac:dyDescent="0.35">
      <c r="A13" s="485">
        <f t="shared" ca="1" si="0"/>
        <v>2</v>
      </c>
      <c r="B13" s="485">
        <f ca="1">IF(OR(C13=1,D13=1),SUMIF($A$9:A13,A13,$C$9:C13),"")</f>
        <v>2</v>
      </c>
      <c r="C13" s="485">
        <f t="shared" si="1"/>
        <v>1</v>
      </c>
      <c r="D13" s="486" t="str">
        <f t="shared" si="3"/>
        <v/>
      </c>
      <c r="E13" s="487"/>
      <c r="F13" s="519"/>
      <c r="G13" s="520" t="s">
        <v>14</v>
      </c>
      <c r="H13" s="519" t="s">
        <v>43</v>
      </c>
      <c r="I13" s="521" t="s">
        <v>295</v>
      </c>
      <c r="J13" s="521" t="str">
        <f t="shared" ca="1" si="4"/>
        <v>2.2</v>
      </c>
      <c r="K13" s="522" t="s">
        <v>42</v>
      </c>
      <c r="L13" s="523" t="s">
        <v>11</v>
      </c>
      <c r="M13" s="524">
        <v>1</v>
      </c>
      <c r="N13" s="525"/>
      <c r="O13" s="526"/>
      <c r="P13" s="527"/>
      <c r="Q13" s="528">
        <f t="shared" si="2"/>
        <v>0</v>
      </c>
      <c r="V13" s="513"/>
    </row>
    <row r="14" spans="1:29" s="514" customFormat="1" ht="16.2" thickBot="1" x14ac:dyDescent="0.35">
      <c r="A14" s="485">
        <f t="shared" ca="1" si="0"/>
        <v>3</v>
      </c>
      <c r="B14" s="485">
        <f ca="1">IF(OR(C14=1,D14=1),SUMIF($A$9:A14,A14,$C$9:C14),"")</f>
        <v>0</v>
      </c>
      <c r="C14" s="485" t="str">
        <f t="shared" si="1"/>
        <v/>
      </c>
      <c r="D14" s="486">
        <f t="shared" si="3"/>
        <v>1</v>
      </c>
      <c r="E14" s="487"/>
      <c r="F14" s="488"/>
      <c r="G14" s="489"/>
      <c r="H14" s="490"/>
      <c r="I14" s="491"/>
      <c r="J14" s="492" t="str">
        <f t="shared" ca="1" si="4"/>
        <v>3.0</v>
      </c>
      <c r="K14" s="493" t="s">
        <v>60</v>
      </c>
      <c r="L14" s="494"/>
      <c r="M14" s="495"/>
      <c r="N14" s="496"/>
      <c r="O14" s="497"/>
      <c r="P14" s="498">
        <f>SUM(P15:P16)</f>
        <v>0</v>
      </c>
      <c r="Q14" s="499">
        <f t="shared" si="2"/>
        <v>0</v>
      </c>
      <c r="R14" s="513"/>
      <c r="S14" s="513"/>
      <c r="U14" s="513"/>
      <c r="V14" s="130" t="s">
        <v>14</v>
      </c>
    </row>
    <row r="15" spans="1:29" s="502" customFormat="1" ht="15.6" x14ac:dyDescent="0.3">
      <c r="A15" s="485">
        <f t="shared" ca="1" si="0"/>
        <v>3</v>
      </c>
      <c r="B15" s="485">
        <f ca="1">IF(OR(C15=1,D15=1),SUMIF($A$9:A15,A15,$C$9:C15),"")</f>
        <v>1</v>
      </c>
      <c r="C15" s="485">
        <f t="shared" si="1"/>
        <v>1</v>
      </c>
      <c r="D15" s="486" t="str">
        <f t="shared" si="3"/>
        <v/>
      </c>
      <c r="E15" s="487"/>
      <c r="F15" s="488"/>
      <c r="G15" s="529" t="s">
        <v>14</v>
      </c>
      <c r="H15" s="530" t="s">
        <v>310</v>
      </c>
      <c r="I15" s="517" t="s">
        <v>295</v>
      </c>
      <c r="J15" s="517" t="str">
        <f t="shared" ca="1" si="4"/>
        <v>3.1</v>
      </c>
      <c r="K15" s="506" t="s">
        <v>1158</v>
      </c>
      <c r="L15" s="507" t="s">
        <v>11</v>
      </c>
      <c r="M15" s="531">
        <v>1</v>
      </c>
      <c r="N15" s="509"/>
      <c r="O15" s="532"/>
      <c r="P15" s="533"/>
      <c r="Q15" s="534">
        <f t="shared" si="2"/>
        <v>0</v>
      </c>
      <c r="R15" s="513"/>
      <c r="S15" s="513"/>
      <c r="U15" s="513"/>
      <c r="V15" s="513"/>
      <c r="AC15" s="514"/>
    </row>
    <row r="16" spans="1:29" s="502" customFormat="1" ht="16.2" thickBot="1" x14ac:dyDescent="0.35">
      <c r="A16" s="485">
        <f t="shared" ca="1" si="0"/>
        <v>3</v>
      </c>
      <c r="B16" s="485">
        <f ca="1">IF(OR(C16=1,D16=1),SUMIF($A$9:A16,A16,$C$9:C16),"")</f>
        <v>2</v>
      </c>
      <c r="C16" s="485">
        <f t="shared" si="1"/>
        <v>1</v>
      </c>
      <c r="D16" s="486" t="str">
        <f t="shared" si="3"/>
        <v/>
      </c>
      <c r="E16" s="487"/>
      <c r="F16" s="488"/>
      <c r="G16" s="515" t="s">
        <v>14</v>
      </c>
      <c r="H16" s="519" t="s">
        <v>311</v>
      </c>
      <c r="I16" s="521" t="s">
        <v>295</v>
      </c>
      <c r="J16" s="521" t="str">
        <f t="shared" ca="1" si="4"/>
        <v>3.2</v>
      </c>
      <c r="K16" s="522" t="s">
        <v>1159</v>
      </c>
      <c r="L16" s="523" t="s">
        <v>11</v>
      </c>
      <c r="M16" s="524">
        <v>1</v>
      </c>
      <c r="N16" s="525"/>
      <c r="O16" s="526"/>
      <c r="P16" s="527"/>
      <c r="Q16" s="528">
        <f t="shared" si="2"/>
        <v>0</v>
      </c>
      <c r="R16" s="513"/>
      <c r="S16" s="513"/>
      <c r="U16" s="513"/>
      <c r="V16" s="513"/>
      <c r="AC16" s="514"/>
    </row>
    <row r="17" spans="1:18" s="502" customFormat="1" ht="16.5" thickBot="1" x14ac:dyDescent="0.3">
      <c r="A17" s="485">
        <f t="shared" ca="1" si="0"/>
        <v>4</v>
      </c>
      <c r="B17" s="485">
        <f ca="1">IF(OR(C17=1,D17=1),SUMIF($A$9:A17,A17,$C$9:C17),"")</f>
        <v>0</v>
      </c>
      <c r="C17" s="485" t="str">
        <f t="shared" si="1"/>
        <v/>
      </c>
      <c r="D17" s="486">
        <f t="shared" si="3"/>
        <v>1</v>
      </c>
      <c r="E17" s="487"/>
      <c r="F17" s="488"/>
      <c r="G17" s="489"/>
      <c r="H17" s="490"/>
      <c r="I17" s="491"/>
      <c r="J17" s="492" t="str">
        <f t="shared" ca="1" si="4"/>
        <v>4.0</v>
      </c>
      <c r="K17" s="493" t="s">
        <v>312</v>
      </c>
      <c r="L17" s="494"/>
      <c r="M17" s="495"/>
      <c r="N17" s="496"/>
      <c r="O17" s="497"/>
      <c r="P17" s="498">
        <f>SUM(P18:P22)</f>
        <v>0</v>
      </c>
      <c r="Q17" s="499">
        <f t="shared" si="2"/>
        <v>0</v>
      </c>
    </row>
    <row r="18" spans="1:18" s="502" customFormat="1" ht="53.25" customHeight="1" x14ac:dyDescent="0.3">
      <c r="A18" s="485">
        <f t="shared" ca="1" si="0"/>
        <v>4</v>
      </c>
      <c r="B18" s="485">
        <f ca="1">IF(OR(C18=1,D18=1),SUMIF($A$9:A18,A18,$C$9:C18),"")</f>
        <v>1</v>
      </c>
      <c r="C18" s="485">
        <f t="shared" si="1"/>
        <v>1</v>
      </c>
      <c r="D18" s="486" t="str">
        <f t="shared" si="3"/>
        <v/>
      </c>
      <c r="E18" s="487"/>
      <c r="F18" s="488"/>
      <c r="G18" s="529" t="s">
        <v>0</v>
      </c>
      <c r="H18" s="530">
        <v>98525</v>
      </c>
      <c r="I18" s="517" t="s">
        <v>295</v>
      </c>
      <c r="J18" s="517" t="str">
        <f t="shared" ca="1" si="4"/>
        <v>4.1</v>
      </c>
      <c r="K18" s="535" t="s">
        <v>1160</v>
      </c>
      <c r="L18" s="536" t="s">
        <v>32</v>
      </c>
      <c r="M18" s="537">
        <f>LIMPEZA!O61</f>
        <v>6220.14</v>
      </c>
      <c r="N18" s="538"/>
      <c r="O18" s="539"/>
      <c r="P18" s="540"/>
      <c r="Q18" s="541">
        <f t="shared" si="2"/>
        <v>0</v>
      </c>
    </row>
    <row r="19" spans="1:18" s="502" customFormat="1" ht="39" customHeight="1" x14ac:dyDescent="0.3">
      <c r="A19" s="485">
        <f t="shared" ca="1" si="0"/>
        <v>4</v>
      </c>
      <c r="B19" s="485">
        <f ca="1">IF(OR(C19=1,D19=1),SUMIF($A$9:A19,A19,$C$9:C19),"")</f>
        <v>2</v>
      </c>
      <c r="C19" s="485">
        <f t="shared" si="1"/>
        <v>1</v>
      </c>
      <c r="D19" s="486" t="str">
        <f t="shared" si="3"/>
        <v/>
      </c>
      <c r="E19" s="487"/>
      <c r="F19" s="488"/>
      <c r="G19" s="529" t="s">
        <v>14</v>
      </c>
      <c r="H19" s="530" t="s">
        <v>98</v>
      </c>
      <c r="I19" s="517" t="s">
        <v>295</v>
      </c>
      <c r="J19" s="517" t="str">
        <f t="shared" ca="1" si="4"/>
        <v>4.2</v>
      </c>
      <c r="K19" s="506" t="s">
        <v>99</v>
      </c>
      <c r="L19" s="507" t="s">
        <v>101</v>
      </c>
      <c r="M19" s="531">
        <f>TERRAPLENAGEM!J46</f>
        <v>17256.96</v>
      </c>
      <c r="N19" s="509"/>
      <c r="O19" s="532"/>
      <c r="P19" s="533"/>
      <c r="Q19" s="534">
        <f t="shared" si="2"/>
        <v>0</v>
      </c>
    </row>
    <row r="20" spans="1:18" s="502" customFormat="1" ht="28.8" x14ac:dyDescent="0.3">
      <c r="A20" s="485">
        <f t="shared" ca="1" si="0"/>
        <v>4</v>
      </c>
      <c r="B20" s="485">
        <f ca="1">IF(OR(C20=1,D20=1),SUMIF($A$9:A20,A20,$C$9:C20),"")</f>
        <v>3</v>
      </c>
      <c r="C20" s="485">
        <f t="shared" si="1"/>
        <v>1</v>
      </c>
      <c r="D20" s="486" t="str">
        <f t="shared" si="3"/>
        <v/>
      </c>
      <c r="E20" s="487"/>
      <c r="F20" s="488"/>
      <c r="G20" s="520" t="s">
        <v>0</v>
      </c>
      <c r="H20" s="516">
        <v>93592</v>
      </c>
      <c r="I20" s="542" t="s">
        <v>295</v>
      </c>
      <c r="J20" s="542" t="str">
        <f t="shared" ca="1" si="4"/>
        <v>4.3</v>
      </c>
      <c r="K20" s="522" t="s">
        <v>1161</v>
      </c>
      <c r="L20" s="523" t="s">
        <v>1162</v>
      </c>
      <c r="M20" s="543">
        <f>TERRAPLENAGEM!O46</f>
        <v>58686.31</v>
      </c>
      <c r="N20" s="525"/>
      <c r="O20" s="544"/>
      <c r="P20" s="545"/>
      <c r="Q20" s="546">
        <f t="shared" si="2"/>
        <v>0</v>
      </c>
    </row>
    <row r="21" spans="1:18" s="502" customFormat="1" ht="28.8" x14ac:dyDescent="0.3">
      <c r="A21" s="485">
        <f t="shared" ca="1" si="0"/>
        <v>4</v>
      </c>
      <c r="B21" s="485">
        <f ca="1">IF(OR(C21=1,D21=1),SUMIF($A$9:A21,A21,$C$9:C21),"")</f>
        <v>4</v>
      </c>
      <c r="C21" s="485">
        <f t="shared" si="1"/>
        <v>1</v>
      </c>
      <c r="D21" s="486" t="str">
        <f t="shared" si="3"/>
        <v/>
      </c>
      <c r="E21" s="487"/>
      <c r="F21" s="488"/>
      <c r="G21" s="520" t="s">
        <v>0</v>
      </c>
      <c r="H21" s="516">
        <v>95876</v>
      </c>
      <c r="I21" s="542" t="s">
        <v>295</v>
      </c>
      <c r="J21" s="542" t="str">
        <f t="shared" ca="1" si="4"/>
        <v>4.4</v>
      </c>
      <c r="K21" s="522" t="s">
        <v>1163</v>
      </c>
      <c r="L21" s="523" t="s">
        <v>1162</v>
      </c>
      <c r="M21" s="543">
        <f>TERRAPLENAGEM!Q46</f>
        <v>144459.07999999999</v>
      </c>
      <c r="N21" s="525"/>
      <c r="O21" s="544"/>
      <c r="P21" s="545"/>
      <c r="Q21" s="546">
        <f t="shared" si="2"/>
        <v>0</v>
      </c>
    </row>
    <row r="22" spans="1:18" s="502" customFormat="1" ht="63.75" customHeight="1" thickBot="1" x14ac:dyDescent="0.35">
      <c r="A22" s="485">
        <f t="shared" ca="1" si="0"/>
        <v>4</v>
      </c>
      <c r="B22" s="485">
        <f ca="1">IF(OR(C22=1,D22=1),SUMIF($A$9:A22,A22,$C$9:C22),"")</f>
        <v>5</v>
      </c>
      <c r="C22" s="485">
        <f t="shared" si="1"/>
        <v>1</v>
      </c>
      <c r="D22" s="486" t="str">
        <f t="shared" si="3"/>
        <v/>
      </c>
      <c r="E22" s="487"/>
      <c r="F22" s="488"/>
      <c r="G22" s="515" t="s">
        <v>0</v>
      </c>
      <c r="H22" s="519">
        <v>96385</v>
      </c>
      <c r="I22" s="521" t="s">
        <v>295</v>
      </c>
      <c r="J22" s="521" t="str">
        <f t="shared" ca="1" si="4"/>
        <v>4.5</v>
      </c>
      <c r="K22" s="522" t="s">
        <v>1164</v>
      </c>
      <c r="L22" s="523" t="s">
        <v>1116</v>
      </c>
      <c r="M22" s="524">
        <f>TERRAPLENAGEM!K46</f>
        <v>59.45</v>
      </c>
      <c r="N22" s="525"/>
      <c r="O22" s="526"/>
      <c r="P22" s="527"/>
      <c r="Q22" s="528">
        <f t="shared" si="2"/>
        <v>0</v>
      </c>
    </row>
    <row r="23" spans="1:18" s="502" customFormat="1" ht="16.2" thickBot="1" x14ac:dyDescent="0.35">
      <c r="A23" s="485">
        <f t="shared" ca="1" si="0"/>
        <v>5</v>
      </c>
      <c r="B23" s="485">
        <f ca="1">IF(OR(C23=1,D23=1),SUMIF($A$9:A23,A23,$C$9:C23),"")</f>
        <v>0</v>
      </c>
      <c r="C23" s="485" t="str">
        <f t="shared" si="1"/>
        <v/>
      </c>
      <c r="D23" s="486">
        <f t="shared" si="3"/>
        <v>1</v>
      </c>
      <c r="E23" s="487"/>
      <c r="F23" s="488"/>
      <c r="G23" s="489"/>
      <c r="H23" s="490"/>
      <c r="I23" s="491"/>
      <c r="J23" s="492" t="str">
        <f t="shared" ca="1" si="4"/>
        <v>5.0</v>
      </c>
      <c r="K23" s="493" t="s">
        <v>313</v>
      </c>
      <c r="L23" s="494"/>
      <c r="M23" s="495"/>
      <c r="N23" s="496"/>
      <c r="O23" s="497"/>
      <c r="P23" s="498">
        <f>SUM(P24:P41)</f>
        <v>0</v>
      </c>
      <c r="Q23" s="499">
        <f t="shared" si="2"/>
        <v>0</v>
      </c>
    </row>
    <row r="24" spans="1:18" s="502" customFormat="1" ht="16.2" thickBot="1" x14ac:dyDescent="0.35">
      <c r="A24" s="485">
        <f t="shared" ca="1" si="0"/>
        <v>5</v>
      </c>
      <c r="B24" s="485" t="str">
        <f>IF(OR(C24=1,D24=1),SUMIF($A$9:A24,A24,$C$9:C24),"")</f>
        <v/>
      </c>
      <c r="C24" s="485" t="str">
        <f t="shared" si="1"/>
        <v/>
      </c>
      <c r="D24" s="486" t="str">
        <f t="shared" si="3"/>
        <v/>
      </c>
      <c r="E24" s="487"/>
      <c r="F24" s="488"/>
      <c r="G24" s="489"/>
      <c r="H24" s="490"/>
      <c r="I24" s="491"/>
      <c r="J24" s="492"/>
      <c r="K24" s="493" t="s">
        <v>314</v>
      </c>
      <c r="L24" s="494"/>
      <c r="M24" s="495"/>
      <c r="N24" s="496"/>
      <c r="O24" s="497"/>
      <c r="P24" s="498"/>
      <c r="Q24" s="499"/>
    </row>
    <row r="25" spans="1:18" s="502" customFormat="1" ht="28.8" x14ac:dyDescent="0.3">
      <c r="A25" s="485">
        <f t="shared" ca="1" si="0"/>
        <v>5</v>
      </c>
      <c r="B25" s="485">
        <f ca="1">IF(OR(C25=1,D25=1),SUMIF($A$9:A25,A25,$C$9:C25),"")</f>
        <v>1</v>
      </c>
      <c r="C25" s="485">
        <f t="shared" si="1"/>
        <v>1</v>
      </c>
      <c r="D25" s="486" t="str">
        <f t="shared" si="3"/>
        <v/>
      </c>
      <c r="E25" s="487"/>
      <c r="F25" s="488"/>
      <c r="G25" s="529" t="s">
        <v>0</v>
      </c>
      <c r="H25" s="530">
        <v>100577</v>
      </c>
      <c r="I25" s="517" t="s">
        <v>295</v>
      </c>
      <c r="J25" s="517" t="str">
        <f t="shared" ref="J25:J29" ca="1" si="5">IFERROR(IF(B25&lt;&gt;"",A25&amp;"."&amp;B25,""),"S/Nº")</f>
        <v>5.1</v>
      </c>
      <c r="K25" s="506" t="s">
        <v>1165</v>
      </c>
      <c r="L25" s="507" t="s">
        <v>32</v>
      </c>
      <c r="M25" s="531">
        <f>'SUBLEITO-BASE-SUB.'!G46</f>
        <v>50764.75</v>
      </c>
      <c r="N25" s="509"/>
      <c r="O25" s="532"/>
      <c r="P25" s="533"/>
      <c r="Q25" s="534">
        <f>IF(P25&gt;0,P25/$P$99,0)</f>
        <v>0</v>
      </c>
      <c r="R25" s="547"/>
    </row>
    <row r="26" spans="1:18" s="502" customFormat="1" ht="28.8" x14ac:dyDescent="0.3">
      <c r="A26" s="485">
        <f t="shared" ca="1" si="0"/>
        <v>5</v>
      </c>
      <c r="B26" s="485">
        <f ca="1">IF(OR(C26=1,D26=1),SUMIF($A$9:A26,A26,$C$9:C26),"")</f>
        <v>2</v>
      </c>
      <c r="C26" s="485">
        <f t="shared" si="1"/>
        <v>1</v>
      </c>
      <c r="D26" s="486" t="str">
        <f t="shared" si="3"/>
        <v/>
      </c>
      <c r="E26" s="487"/>
      <c r="F26" s="488"/>
      <c r="G26" s="520" t="s">
        <v>2</v>
      </c>
      <c r="H26" s="516">
        <v>4011227</v>
      </c>
      <c r="I26" s="542" t="s">
        <v>295</v>
      </c>
      <c r="J26" s="542" t="str">
        <f t="shared" ca="1" si="5"/>
        <v>5.2</v>
      </c>
      <c r="K26" s="522" t="s">
        <v>1166</v>
      </c>
      <c r="L26" s="523" t="s">
        <v>101</v>
      </c>
      <c r="M26" s="543">
        <f>'SUBLEITO-BASE-SUB.'!J46</f>
        <v>10152.950000000001</v>
      </c>
      <c r="N26" s="525"/>
      <c r="O26" s="544"/>
      <c r="P26" s="545"/>
      <c r="Q26" s="546">
        <f>IF(P26&gt;0,P26/$P$99,0)</f>
        <v>0</v>
      </c>
    </row>
    <row r="27" spans="1:18" s="502" customFormat="1" ht="28.8" x14ac:dyDescent="0.3">
      <c r="A27" s="485">
        <f t="shared" ca="1" si="0"/>
        <v>5</v>
      </c>
      <c r="B27" s="485">
        <f ca="1">IF(OR(C27=1,D27=1),SUMIF($A$9:A27,A27,$C$9:C27),"")</f>
        <v>3</v>
      </c>
      <c r="C27" s="485">
        <f t="shared" si="1"/>
        <v>1</v>
      </c>
      <c r="D27" s="486" t="str">
        <f t="shared" si="3"/>
        <v/>
      </c>
      <c r="E27" s="487"/>
      <c r="F27" s="488"/>
      <c r="G27" s="520" t="s">
        <v>2</v>
      </c>
      <c r="H27" s="516">
        <v>4011219</v>
      </c>
      <c r="I27" s="542" t="s">
        <v>295</v>
      </c>
      <c r="J27" s="542" t="str">
        <f t="shared" ca="1" si="5"/>
        <v>5.3</v>
      </c>
      <c r="K27" s="522" t="s">
        <v>1167</v>
      </c>
      <c r="L27" s="523" t="s">
        <v>101</v>
      </c>
      <c r="M27" s="543">
        <f>'SUBLEITO-BASE-SUB.'!L46</f>
        <v>10152.950000000001</v>
      </c>
      <c r="N27" s="525"/>
      <c r="O27" s="544"/>
      <c r="P27" s="545"/>
      <c r="Q27" s="546">
        <f>IF(P27&gt;0,P27/$P$99,0)</f>
        <v>0</v>
      </c>
    </row>
    <row r="28" spans="1:18" s="502" customFormat="1" ht="30" customHeight="1" x14ac:dyDescent="0.3">
      <c r="A28" s="485">
        <f t="shared" ca="1" si="0"/>
        <v>5</v>
      </c>
      <c r="B28" s="485">
        <f ca="1">IF(OR(C28=1,D28=1),SUMIF($A$9:A28,A28,$C$9:C28),"")</f>
        <v>4</v>
      </c>
      <c r="C28" s="485">
        <f t="shared" si="1"/>
        <v>1</v>
      </c>
      <c r="D28" s="486" t="str">
        <f t="shared" si="3"/>
        <v/>
      </c>
      <c r="E28" s="487"/>
      <c r="F28" s="488"/>
      <c r="G28" s="548" t="s">
        <v>2</v>
      </c>
      <c r="H28" s="549">
        <v>4011352</v>
      </c>
      <c r="I28" s="550" t="s">
        <v>295</v>
      </c>
      <c r="J28" s="550" t="str">
        <f t="shared" ca="1" si="5"/>
        <v>5.4</v>
      </c>
      <c r="K28" s="551" t="s">
        <v>1168</v>
      </c>
      <c r="L28" s="552" t="s">
        <v>1169</v>
      </c>
      <c r="M28" s="553">
        <f>RUAS!O45</f>
        <v>45834.720000000001</v>
      </c>
      <c r="N28" s="554"/>
      <c r="O28" s="555"/>
      <c r="P28" s="556"/>
      <c r="Q28" s="557">
        <f>IF(P28&gt;0,P28/$P$99,0)</f>
        <v>0</v>
      </c>
    </row>
    <row r="29" spans="1:18" s="502" customFormat="1" ht="28.8" x14ac:dyDescent="0.3">
      <c r="A29" s="485">
        <f t="shared" ca="1" si="0"/>
        <v>5</v>
      </c>
      <c r="B29" s="485">
        <f ca="1">IF(OR(C29=1,D29=1),SUMIF($A$9:A29,A29,$C$9:C29),"")</f>
        <v>5</v>
      </c>
      <c r="C29" s="485">
        <f t="shared" si="1"/>
        <v>1</v>
      </c>
      <c r="D29" s="486" t="str">
        <f t="shared" si="3"/>
        <v/>
      </c>
      <c r="E29" s="487"/>
      <c r="F29" s="488"/>
      <c r="G29" s="520" t="s">
        <v>14</v>
      </c>
      <c r="H29" s="516" t="str">
        <f>'CPAV006-TSD-104389'!$A$7</f>
        <v>CPAV006-1</v>
      </c>
      <c r="I29" s="542" t="s">
        <v>295</v>
      </c>
      <c r="J29" s="542" t="str">
        <f t="shared" ca="1" si="5"/>
        <v>5.5</v>
      </c>
      <c r="K29" s="558" t="s">
        <v>148</v>
      </c>
      <c r="L29" s="559" t="s">
        <v>32</v>
      </c>
      <c r="M29" s="543">
        <f>M28</f>
        <v>45834.720000000001</v>
      </c>
      <c r="N29" s="560"/>
      <c r="O29" s="544"/>
      <c r="P29" s="545"/>
      <c r="Q29" s="546">
        <f>IF(P29&gt;0,P29/$P$99,0)</f>
        <v>0</v>
      </c>
    </row>
    <row r="30" spans="1:18" s="502" customFormat="1" ht="16.2" thickBot="1" x14ac:dyDescent="0.35">
      <c r="A30" s="485">
        <f t="shared" ca="1" si="0"/>
        <v>5</v>
      </c>
      <c r="B30" s="485" t="str">
        <f>IF(OR(C30=1,D30=1),SUMIF($A$9:A30,A30,$C$9:C30),"")</f>
        <v/>
      </c>
      <c r="C30" s="485" t="str">
        <f t="shared" si="1"/>
        <v/>
      </c>
      <c r="D30" s="486" t="str">
        <f t="shared" si="3"/>
        <v/>
      </c>
      <c r="E30" s="487"/>
      <c r="F30" s="488"/>
      <c r="G30" s="561"/>
      <c r="H30" s="562"/>
      <c r="I30" s="563"/>
      <c r="J30" s="564"/>
      <c r="K30" s="565" t="s">
        <v>315</v>
      </c>
      <c r="L30" s="566"/>
      <c r="M30" s="567"/>
      <c r="N30" s="568"/>
      <c r="O30" s="569"/>
      <c r="P30" s="570"/>
      <c r="Q30" s="571"/>
    </row>
    <row r="31" spans="1:18" s="502" customFormat="1" ht="15.6" x14ac:dyDescent="0.3">
      <c r="A31" s="485">
        <f t="shared" ca="1" si="0"/>
        <v>5</v>
      </c>
      <c r="B31" s="485">
        <f ca="1">IF(OR(C31=1,D31=1),SUMIF($A$9:A31,A31,$C$9:C31),"")</f>
        <v>6</v>
      </c>
      <c r="C31" s="485">
        <f t="shared" si="1"/>
        <v>1</v>
      </c>
      <c r="D31" s="486" t="str">
        <f t="shared" si="3"/>
        <v/>
      </c>
      <c r="E31" s="487"/>
      <c r="F31" s="488"/>
      <c r="G31" s="520" t="s">
        <v>12</v>
      </c>
      <c r="H31" s="516"/>
      <c r="I31" s="542" t="s">
        <v>299</v>
      </c>
      <c r="J31" s="542" t="str">
        <f t="shared" ref="J31:J32" ca="1" si="6">IFERROR(IF(B31&lt;&gt;"",A31&amp;"."&amp;B31,""),"S/Nº")</f>
        <v>5.6</v>
      </c>
      <c r="K31" s="572" t="str">
        <f>ANP!B24</f>
        <v>EMULSÃO ASFÁLTICA PARA SERVIÇO DE IMPRIMAÇÃO</v>
      </c>
      <c r="L31" s="573" t="s">
        <v>316</v>
      </c>
      <c r="M31" s="574">
        <f>PAVIMENTO!I45</f>
        <v>59.58</v>
      </c>
      <c r="N31" s="575"/>
      <c r="O31" s="544"/>
      <c r="P31" s="545"/>
      <c r="Q31" s="546">
        <f>IF(P31&gt;0,P31/$P$99,0)</f>
        <v>0</v>
      </c>
      <c r="R31" s="547">
        <f>P31+P32</f>
        <v>0</v>
      </c>
    </row>
    <row r="32" spans="1:18" s="502" customFormat="1" ht="16.2" thickBot="1" x14ac:dyDescent="0.35">
      <c r="A32" s="485">
        <f t="shared" ca="1" si="0"/>
        <v>5</v>
      </c>
      <c r="B32" s="485">
        <f ca="1">IF(OR(C32=1,D32=1),SUMIF($A$9:A32,A32,$C$9:C32),"")</f>
        <v>7</v>
      </c>
      <c r="C32" s="485">
        <f t="shared" si="1"/>
        <v>1</v>
      </c>
      <c r="D32" s="486" t="str">
        <f t="shared" si="3"/>
        <v/>
      </c>
      <c r="E32" s="487"/>
      <c r="F32" s="488"/>
      <c r="G32" s="520" t="s">
        <v>12</v>
      </c>
      <c r="H32" s="516"/>
      <c r="I32" s="542" t="s">
        <v>299</v>
      </c>
      <c r="J32" s="542" t="str">
        <f t="shared" ca="1" si="6"/>
        <v>5.7</v>
      </c>
      <c r="K32" s="572" t="str">
        <f>ANP!B34</f>
        <v>EMULSÕES ASFÁLTICAS RR-2C</v>
      </c>
      <c r="L32" s="573" t="s">
        <v>316</v>
      </c>
      <c r="M32" s="543">
        <f>PAVIMENTO!K45</f>
        <v>160.41999999999999</v>
      </c>
      <c r="N32" s="575"/>
      <c r="O32" s="544"/>
      <c r="P32" s="545"/>
      <c r="Q32" s="546">
        <f>IF(P32&gt;0,P32/$P$99,0)</f>
        <v>0</v>
      </c>
    </row>
    <row r="33" spans="1:19" s="502" customFormat="1" ht="16.2" thickBot="1" x14ac:dyDescent="0.35">
      <c r="A33" s="485">
        <f t="shared" ca="1" si="0"/>
        <v>5</v>
      </c>
      <c r="B33" s="485" t="str">
        <f>IF(OR(C33=1,D33=1),SUMIF($A$9:A33,A33,$C$9:C33),"")</f>
        <v/>
      </c>
      <c r="C33" s="485" t="str">
        <f t="shared" si="1"/>
        <v/>
      </c>
      <c r="D33" s="486" t="str">
        <f t="shared" si="3"/>
        <v/>
      </c>
      <c r="E33" s="487"/>
      <c r="F33" s="488"/>
      <c r="G33" s="489"/>
      <c r="H33" s="490"/>
      <c r="I33" s="491"/>
      <c r="J33" s="492"/>
      <c r="K33" s="493" t="s">
        <v>317</v>
      </c>
      <c r="L33" s="494"/>
      <c r="M33" s="495"/>
      <c r="N33" s="496"/>
      <c r="O33" s="497"/>
      <c r="P33" s="498"/>
      <c r="Q33" s="499"/>
    </row>
    <row r="34" spans="1:19" s="502" customFormat="1" ht="28.8" x14ac:dyDescent="0.3">
      <c r="A34" s="485">
        <f t="shared" ca="1" si="0"/>
        <v>5</v>
      </c>
      <c r="B34" s="485">
        <f ca="1">IF(OR(C34=1,D34=1),SUMIF($A$9:A34,A34,$C$9:C34),"")</f>
        <v>8</v>
      </c>
      <c r="C34" s="485">
        <f t="shared" si="1"/>
        <v>1</v>
      </c>
      <c r="D34" s="486" t="str">
        <f t="shared" si="3"/>
        <v/>
      </c>
      <c r="E34" s="487"/>
      <c r="F34" s="488"/>
      <c r="G34" s="520" t="s">
        <v>0</v>
      </c>
      <c r="H34" s="516">
        <v>93598</v>
      </c>
      <c r="I34" s="542" t="s">
        <v>295</v>
      </c>
      <c r="J34" s="542" t="str">
        <f t="shared" ref="J34:J41" ca="1" si="7">IFERROR(IF(B34&lt;&gt;"",A34&amp;"."&amp;B34,""),"S/Nº")</f>
        <v>5.8</v>
      </c>
      <c r="K34" s="522" t="s">
        <v>1170</v>
      </c>
      <c r="L34" s="523" t="s">
        <v>1171</v>
      </c>
      <c r="M34" s="543">
        <f>'TRANSP. MAT.PAV'!K7</f>
        <v>31410.66</v>
      </c>
      <c r="N34" s="525"/>
      <c r="O34" s="544"/>
      <c r="P34" s="545"/>
      <c r="Q34" s="546">
        <f t="shared" ref="Q34:Q42" si="8">IF(P34&gt;0,P34/$P$99,0)</f>
        <v>0</v>
      </c>
      <c r="R34" s="547">
        <f>SUM(M34:M41)</f>
        <v>505916.52999999997</v>
      </c>
    </row>
    <row r="35" spans="1:19" s="502" customFormat="1" ht="28.8" x14ac:dyDescent="0.3">
      <c r="A35" s="485">
        <f t="shared" ca="1" si="0"/>
        <v>5</v>
      </c>
      <c r="B35" s="485">
        <f ca="1">IF(OR(C35=1,D35=1),SUMIF($A$9:A35,A35,$C$9:C35),"")</f>
        <v>9</v>
      </c>
      <c r="C35" s="485">
        <f t="shared" si="1"/>
        <v>1</v>
      </c>
      <c r="D35" s="486" t="str">
        <f t="shared" si="3"/>
        <v/>
      </c>
      <c r="E35" s="487"/>
      <c r="F35" s="488"/>
      <c r="G35" s="520" t="s">
        <v>0</v>
      </c>
      <c r="H35" s="516">
        <v>95879</v>
      </c>
      <c r="I35" s="542" t="s">
        <v>295</v>
      </c>
      <c r="J35" s="542" t="str">
        <f t="shared" ca="1" si="7"/>
        <v>5.9</v>
      </c>
      <c r="K35" s="522" t="s">
        <v>1172</v>
      </c>
      <c r="L35" s="523" t="s">
        <v>1171</v>
      </c>
      <c r="M35" s="543">
        <f>'TRANSP. MAT.PAV'!K11</f>
        <v>182181.9</v>
      </c>
      <c r="N35" s="525"/>
      <c r="O35" s="544"/>
      <c r="P35" s="545"/>
      <c r="Q35" s="546">
        <f t="shared" si="8"/>
        <v>0</v>
      </c>
    </row>
    <row r="36" spans="1:19" s="502" customFormat="1" ht="28.8" x14ac:dyDescent="0.3">
      <c r="A36" s="485">
        <f t="shared" ca="1" si="0"/>
        <v>5</v>
      </c>
      <c r="B36" s="485">
        <f ca="1">IF(OR(C36=1,D36=1),SUMIF($A$9:A36,A36,$C$9:C36),"")</f>
        <v>10</v>
      </c>
      <c r="C36" s="485">
        <f t="shared" si="1"/>
        <v>1</v>
      </c>
      <c r="D36" s="486" t="str">
        <f t="shared" si="3"/>
        <v/>
      </c>
      <c r="E36" s="487"/>
      <c r="F36" s="488"/>
      <c r="G36" s="520" t="s">
        <v>0</v>
      </c>
      <c r="H36" s="516">
        <v>93598</v>
      </c>
      <c r="I36" s="542" t="s">
        <v>295</v>
      </c>
      <c r="J36" s="542" t="str">
        <f t="shared" ca="1" si="7"/>
        <v>5.10</v>
      </c>
      <c r="K36" s="522" t="s">
        <v>1170</v>
      </c>
      <c r="L36" s="523" t="s">
        <v>1171</v>
      </c>
      <c r="M36" s="543">
        <f>'TRANSP. MAT.PAV'!K15</f>
        <v>6439.2999999999993</v>
      </c>
      <c r="N36" s="525"/>
      <c r="O36" s="544"/>
      <c r="P36" s="545"/>
      <c r="Q36" s="546">
        <f t="shared" si="8"/>
        <v>0</v>
      </c>
    </row>
    <row r="37" spans="1:19" s="502" customFormat="1" ht="28.8" x14ac:dyDescent="0.3">
      <c r="A37" s="485">
        <f t="shared" ca="1" si="0"/>
        <v>5</v>
      </c>
      <c r="B37" s="485">
        <f ca="1">IF(OR(C37=1,D37=1),SUMIF($A$9:A37,A37,$C$9:C37),"")</f>
        <v>11</v>
      </c>
      <c r="C37" s="485">
        <f t="shared" si="1"/>
        <v>1</v>
      </c>
      <c r="D37" s="486" t="str">
        <f t="shared" si="3"/>
        <v/>
      </c>
      <c r="E37" s="487"/>
      <c r="F37" s="488"/>
      <c r="G37" s="520" t="s">
        <v>0</v>
      </c>
      <c r="H37" s="516">
        <v>95879</v>
      </c>
      <c r="I37" s="542" t="s">
        <v>295</v>
      </c>
      <c r="J37" s="542" t="str">
        <f t="shared" ca="1" si="7"/>
        <v>5.11</v>
      </c>
      <c r="K37" s="522" t="s">
        <v>1172</v>
      </c>
      <c r="L37" s="523" t="s">
        <v>1171</v>
      </c>
      <c r="M37" s="543">
        <f>'TRANSP. MAT.PAV'!K19</f>
        <v>45995.100000000006</v>
      </c>
      <c r="N37" s="525"/>
      <c r="O37" s="544"/>
      <c r="P37" s="545"/>
      <c r="Q37" s="546">
        <f t="shared" si="8"/>
        <v>0</v>
      </c>
    </row>
    <row r="38" spans="1:19" s="502" customFormat="1" ht="43.2" x14ac:dyDescent="0.3">
      <c r="A38" s="485">
        <f t="shared" ca="1" si="0"/>
        <v>5</v>
      </c>
      <c r="B38" s="485">
        <f ca="1">IF(OR(C38=1,D38=1),SUMIF($A$9:A38,A38,$C$9:C38),"")</f>
        <v>12</v>
      </c>
      <c r="C38" s="485">
        <f t="shared" si="1"/>
        <v>1</v>
      </c>
      <c r="D38" s="486" t="str">
        <f t="shared" si="3"/>
        <v/>
      </c>
      <c r="E38" s="487"/>
      <c r="F38" s="488"/>
      <c r="G38" s="520" t="s">
        <v>0</v>
      </c>
      <c r="H38" s="516">
        <v>93599</v>
      </c>
      <c r="I38" s="542" t="s">
        <v>295</v>
      </c>
      <c r="J38" s="542" t="str">
        <f t="shared" ca="1" si="7"/>
        <v>5.12</v>
      </c>
      <c r="K38" s="522" t="s">
        <v>1173</v>
      </c>
      <c r="L38" s="523" t="s">
        <v>1171</v>
      </c>
      <c r="M38" s="543">
        <f>'TRANSP. MAT.PAV'!K23</f>
        <v>100882.58</v>
      </c>
      <c r="N38" s="525"/>
      <c r="O38" s="544"/>
      <c r="P38" s="545"/>
      <c r="Q38" s="546">
        <f t="shared" si="8"/>
        <v>0</v>
      </c>
    </row>
    <row r="39" spans="1:19" s="502" customFormat="1" ht="43.2" x14ac:dyDescent="0.3">
      <c r="A39" s="485">
        <f t="shared" ca="1" si="0"/>
        <v>5</v>
      </c>
      <c r="B39" s="485">
        <f ca="1">IF(OR(C39=1,D39=1),SUMIF($A$9:A39,A39,$C$9:C39),"")</f>
        <v>13</v>
      </c>
      <c r="C39" s="485">
        <f t="shared" si="1"/>
        <v>1</v>
      </c>
      <c r="D39" s="486" t="str">
        <f t="shared" si="3"/>
        <v/>
      </c>
      <c r="E39" s="487"/>
      <c r="F39" s="488"/>
      <c r="G39" s="520" t="s">
        <v>0</v>
      </c>
      <c r="H39" s="516">
        <v>100966</v>
      </c>
      <c r="I39" s="542" t="s">
        <v>299</v>
      </c>
      <c r="J39" s="542" t="str">
        <f t="shared" ca="1" si="7"/>
        <v>5.13</v>
      </c>
      <c r="K39" s="522" t="s">
        <v>1174</v>
      </c>
      <c r="L39" s="523" t="s">
        <v>1171</v>
      </c>
      <c r="M39" s="543">
        <f>'TRANSP. MAT.PAV'!K27</f>
        <v>76.989999999999995</v>
      </c>
      <c r="N39" s="525"/>
      <c r="O39" s="544"/>
      <c r="P39" s="545"/>
      <c r="Q39" s="546">
        <f t="shared" si="8"/>
        <v>0</v>
      </c>
    </row>
    <row r="40" spans="1:19" s="502" customFormat="1" ht="43.2" x14ac:dyDescent="0.3">
      <c r="A40" s="485">
        <f t="shared" ca="1" si="0"/>
        <v>5</v>
      </c>
      <c r="B40" s="485">
        <f ca="1">IF(OR(C40=1,D40=1),SUMIF($A$9:A40,A40,$C$9:C40),"")</f>
        <v>14</v>
      </c>
      <c r="C40" s="485">
        <f t="shared" si="1"/>
        <v>1</v>
      </c>
      <c r="D40" s="486" t="str">
        <f t="shared" si="3"/>
        <v/>
      </c>
      <c r="E40" s="487"/>
      <c r="F40" s="488"/>
      <c r="G40" s="520" t="s">
        <v>0</v>
      </c>
      <c r="H40" s="516">
        <v>102330</v>
      </c>
      <c r="I40" s="542" t="s">
        <v>299</v>
      </c>
      <c r="J40" s="542" t="str">
        <f t="shared" ca="1" si="7"/>
        <v>5.14</v>
      </c>
      <c r="K40" s="522" t="s">
        <v>1175</v>
      </c>
      <c r="L40" s="523" t="s">
        <v>1171</v>
      </c>
      <c r="M40" s="543">
        <f>'TRANSP. MAT.PAV'!K31</f>
        <v>6600</v>
      </c>
      <c r="N40" s="525"/>
      <c r="O40" s="544"/>
      <c r="P40" s="545"/>
      <c r="Q40" s="546">
        <f t="shared" si="8"/>
        <v>0</v>
      </c>
    </row>
    <row r="41" spans="1:19" s="502" customFormat="1" ht="43.8" thickBot="1" x14ac:dyDescent="0.35">
      <c r="A41" s="485">
        <f t="shared" ca="1" si="0"/>
        <v>5</v>
      </c>
      <c r="B41" s="485">
        <f ca="1">IF(OR(C41=1,D41=1),SUMIF($A$9:A41,A41,$C$9:C41),"")</f>
        <v>15</v>
      </c>
      <c r="C41" s="485">
        <f t="shared" si="1"/>
        <v>1</v>
      </c>
      <c r="D41" s="486" t="str">
        <f t="shared" si="3"/>
        <v/>
      </c>
      <c r="E41" s="487"/>
      <c r="F41" s="488"/>
      <c r="G41" s="520" t="s">
        <v>0</v>
      </c>
      <c r="H41" s="516">
        <v>102331</v>
      </c>
      <c r="I41" s="542" t="s">
        <v>299</v>
      </c>
      <c r="J41" s="542" t="str">
        <f t="shared" ca="1" si="7"/>
        <v>5.15</v>
      </c>
      <c r="K41" s="522" t="s">
        <v>1176</v>
      </c>
      <c r="L41" s="523" t="s">
        <v>1171</v>
      </c>
      <c r="M41" s="543">
        <f>'TRANSP. MAT.PAV'!K35</f>
        <v>132330</v>
      </c>
      <c r="N41" s="525"/>
      <c r="O41" s="544"/>
      <c r="P41" s="545"/>
      <c r="Q41" s="546">
        <f t="shared" si="8"/>
        <v>0</v>
      </c>
    </row>
    <row r="42" spans="1:19" s="502" customFormat="1" ht="16.5" thickBot="1" x14ac:dyDescent="0.3">
      <c r="A42" s="485">
        <f t="shared" ca="1" si="0"/>
        <v>5</v>
      </c>
      <c r="B42" s="485" t="str">
        <f>IF(OR(C42=1,D42=1),SUMIF($A$9:A42,A42,$C$9:C42),"")</f>
        <v/>
      </c>
      <c r="C42" s="485" t="str">
        <f t="shared" si="1"/>
        <v/>
      </c>
      <c r="D42" s="486" t="str">
        <f t="shared" si="3"/>
        <v/>
      </c>
      <c r="E42" s="487"/>
      <c r="F42" s="488"/>
      <c r="G42" s="489"/>
      <c r="H42" s="490"/>
      <c r="I42" s="491"/>
      <c r="J42" s="492" t="str">
        <f>IFERROR(IF(B42&lt;&gt;"",A42&amp;"."&amp;B42,""),"S/Nº")</f>
        <v/>
      </c>
      <c r="K42" s="493" t="s">
        <v>318</v>
      </c>
      <c r="L42" s="494"/>
      <c r="M42" s="495"/>
      <c r="N42" s="496"/>
      <c r="O42" s="497"/>
      <c r="P42" s="498"/>
      <c r="Q42" s="499">
        <f t="shared" si="8"/>
        <v>0</v>
      </c>
    </row>
    <row r="43" spans="1:19" s="502" customFormat="1" ht="16.5" thickBot="1" x14ac:dyDescent="0.3">
      <c r="A43" s="485">
        <f t="shared" ca="1" si="0"/>
        <v>5</v>
      </c>
      <c r="B43" s="485" t="str">
        <f>IF(OR(C43=1,D43=1),SUMIF($A$9:A43,A43,$C$9:C43),"")</f>
        <v/>
      </c>
      <c r="C43" s="485" t="str">
        <f t="shared" si="1"/>
        <v/>
      </c>
      <c r="D43" s="486" t="str">
        <f t="shared" si="3"/>
        <v/>
      </c>
      <c r="E43" s="487"/>
      <c r="F43" s="488"/>
      <c r="G43" s="489"/>
      <c r="H43" s="490"/>
      <c r="I43" s="491"/>
      <c r="J43" s="492"/>
      <c r="K43" s="493" t="s">
        <v>319</v>
      </c>
      <c r="L43" s="494"/>
      <c r="M43" s="495"/>
      <c r="N43" s="496"/>
      <c r="O43" s="497"/>
      <c r="P43" s="498"/>
      <c r="Q43" s="499"/>
    </row>
    <row r="44" spans="1:19" s="502" customFormat="1" ht="43.2" x14ac:dyDescent="0.3">
      <c r="A44" s="485">
        <f t="shared" ca="1" si="0"/>
        <v>5</v>
      </c>
      <c r="B44" s="485">
        <f ca="1">IF(OR(C44=1,D44=1),SUMIF($A$9:A44,A44,$C$9:C44),"")</f>
        <v>16</v>
      </c>
      <c r="C44" s="485">
        <f t="shared" si="1"/>
        <v>1</v>
      </c>
      <c r="D44" s="486" t="str">
        <f t="shared" si="3"/>
        <v/>
      </c>
      <c r="E44" s="487"/>
      <c r="F44" s="488"/>
      <c r="G44" s="520" t="s">
        <v>0</v>
      </c>
      <c r="H44" s="516">
        <v>94267</v>
      </c>
      <c r="I44" s="542" t="s">
        <v>295</v>
      </c>
      <c r="J44" s="542" t="str">
        <f t="shared" ref="J44:J47" ca="1" si="9">IFERROR(IF(B44&lt;&gt;"",A44&amp;"."&amp;B44,""),"S/Nº")</f>
        <v>5.16</v>
      </c>
      <c r="K44" s="522" t="s">
        <v>1177</v>
      </c>
      <c r="L44" s="523" t="s">
        <v>611</v>
      </c>
      <c r="M44" s="543">
        <f>'MEIO-FIO E SARJETA'!E25</f>
        <v>8491.14</v>
      </c>
      <c r="N44" s="525"/>
      <c r="O44" s="544"/>
      <c r="P44" s="545"/>
      <c r="Q44" s="546">
        <f>IF(P44&gt;0,P44/$P$99,0)</f>
        <v>0</v>
      </c>
    </row>
    <row r="45" spans="1:19" s="502" customFormat="1" ht="43.2" x14ac:dyDescent="0.3">
      <c r="A45" s="485">
        <f t="shared" ca="1" si="0"/>
        <v>5</v>
      </c>
      <c r="B45" s="485">
        <f ca="1">IF(OR(C45=1,D45=1),SUMIF($A$9:A45,A45,$C$9:C45),"")</f>
        <v>17</v>
      </c>
      <c r="C45" s="485">
        <f t="shared" si="1"/>
        <v>1</v>
      </c>
      <c r="D45" s="486" t="str">
        <f t="shared" si="3"/>
        <v/>
      </c>
      <c r="E45" s="487"/>
      <c r="F45" s="488"/>
      <c r="G45" s="520" t="s">
        <v>0</v>
      </c>
      <c r="H45" s="516">
        <v>94268</v>
      </c>
      <c r="I45" s="542" t="s">
        <v>295</v>
      </c>
      <c r="J45" s="542" t="str">
        <f t="shared" ca="1" si="9"/>
        <v>5.17</v>
      </c>
      <c r="K45" s="522" t="s">
        <v>1178</v>
      </c>
      <c r="L45" s="523" t="s">
        <v>611</v>
      </c>
      <c r="M45" s="543">
        <f>'MEIO-FIO E SARJETA'!G25</f>
        <v>1353.1999999999998</v>
      </c>
      <c r="N45" s="525"/>
      <c r="O45" s="544"/>
      <c r="P45" s="545"/>
      <c r="Q45" s="546">
        <f>IF(P45&gt;0,P45/$P$99,0)</f>
        <v>0</v>
      </c>
      <c r="S45" s="576"/>
    </row>
    <row r="46" spans="1:19" s="502" customFormat="1" ht="28.8" x14ac:dyDescent="0.3">
      <c r="A46" s="485">
        <f t="shared" ca="1" si="0"/>
        <v>5</v>
      </c>
      <c r="B46" s="485">
        <f ca="1">IF(OR(C46=1,D46=1),SUMIF($A$9:A46,A46,$C$9:C46),"")</f>
        <v>18</v>
      </c>
      <c r="C46" s="485">
        <f t="shared" si="1"/>
        <v>1</v>
      </c>
      <c r="D46" s="486"/>
      <c r="E46" s="487"/>
      <c r="F46" s="488"/>
      <c r="G46" s="520" t="s">
        <v>0</v>
      </c>
      <c r="H46" s="549">
        <v>94265</v>
      </c>
      <c r="I46" s="542" t="s">
        <v>295</v>
      </c>
      <c r="J46" s="542" t="str">
        <f t="shared" ca="1" si="9"/>
        <v>5.18</v>
      </c>
      <c r="K46" s="522" t="s">
        <v>1179</v>
      </c>
      <c r="L46" s="523" t="s">
        <v>611</v>
      </c>
      <c r="M46" s="543">
        <f>'MEIO-FIO E SARJETA'!E34</f>
        <v>1085.52</v>
      </c>
      <c r="N46" s="525"/>
      <c r="O46" s="544"/>
      <c r="P46" s="545"/>
      <c r="Q46" s="546">
        <f t="shared" ref="Q46:Q47" si="10">IF(P46&gt;0,P46/$P$99,0)</f>
        <v>0</v>
      </c>
    </row>
    <row r="47" spans="1:19" s="502" customFormat="1" ht="29.4" thickBot="1" x14ac:dyDescent="0.35">
      <c r="A47" s="485">
        <f t="shared" ca="1" si="0"/>
        <v>5</v>
      </c>
      <c r="B47" s="485">
        <f ca="1">IF(OR(C47=1,D47=1),SUMIF($A$9:A47,A47,$C$9:C47),"")</f>
        <v>19</v>
      </c>
      <c r="C47" s="485">
        <f t="shared" si="1"/>
        <v>1</v>
      </c>
      <c r="D47" s="486"/>
      <c r="E47" s="487"/>
      <c r="F47" s="488"/>
      <c r="G47" s="577" t="s">
        <v>0</v>
      </c>
      <c r="H47" s="578">
        <v>94266</v>
      </c>
      <c r="I47" s="579" t="s">
        <v>295</v>
      </c>
      <c r="J47" s="579" t="str">
        <f t="shared" ca="1" si="9"/>
        <v>5.19</v>
      </c>
      <c r="K47" s="580" t="s">
        <v>1180</v>
      </c>
      <c r="L47" s="581" t="s">
        <v>611</v>
      </c>
      <c r="M47" s="582">
        <f>'MEIO-FIO E SARJETA'!G34</f>
        <v>143.70999999999998</v>
      </c>
      <c r="N47" s="583"/>
      <c r="O47" s="584"/>
      <c r="P47" s="585"/>
      <c r="Q47" s="586">
        <f t="shared" si="10"/>
        <v>0</v>
      </c>
    </row>
    <row r="48" spans="1:19" s="502" customFormat="1" ht="16.5" thickBot="1" x14ac:dyDescent="0.3">
      <c r="A48" s="485">
        <f t="shared" ca="1" si="0"/>
        <v>5</v>
      </c>
      <c r="B48" s="485" t="str">
        <f>IF(OR(C48=1,D48=1),SUMIF($A$9:A48,A48,$C$9:C48),"")</f>
        <v/>
      </c>
      <c r="C48" s="485" t="str">
        <f t="shared" si="1"/>
        <v/>
      </c>
      <c r="D48" s="486" t="str">
        <f t="shared" si="3"/>
        <v/>
      </c>
      <c r="E48" s="487"/>
      <c r="F48" s="488"/>
      <c r="G48" s="489"/>
      <c r="H48" s="490"/>
      <c r="I48" s="491"/>
      <c r="J48" s="492"/>
      <c r="K48" s="493" t="s">
        <v>320</v>
      </c>
      <c r="L48" s="494"/>
      <c r="M48" s="495"/>
      <c r="N48" s="496"/>
      <c r="O48" s="497"/>
      <c r="P48" s="498"/>
      <c r="Q48" s="499"/>
    </row>
    <row r="49" spans="1:17" s="502" customFormat="1" ht="57.6" x14ac:dyDescent="0.3">
      <c r="A49" s="485">
        <f t="shared" ca="1" si="0"/>
        <v>5</v>
      </c>
      <c r="B49" s="485">
        <f ca="1">IF(OR(C49=1,D49=1),SUMIF($A$9:A49,A49,$C$9:C49),"")</f>
        <v>20</v>
      </c>
      <c r="C49" s="485">
        <f t="shared" si="1"/>
        <v>1</v>
      </c>
      <c r="D49" s="486" t="str">
        <f t="shared" si="3"/>
        <v/>
      </c>
      <c r="E49" s="487"/>
      <c r="F49" s="488"/>
      <c r="G49" s="529" t="s">
        <v>0</v>
      </c>
      <c r="H49" s="530">
        <v>102279</v>
      </c>
      <c r="I49" s="517" t="s">
        <v>295</v>
      </c>
      <c r="J49" s="517" t="str">
        <f t="shared" ref="J49:J86" ca="1" si="11">IFERROR(IF(B49&lt;&gt;"",A49&amp;"."&amp;B49,""),"S/Nº")</f>
        <v>5.20</v>
      </c>
      <c r="K49" s="506" t="s">
        <v>1181</v>
      </c>
      <c r="L49" s="507" t="s">
        <v>1116</v>
      </c>
      <c r="M49" s="531">
        <f>'DREN. MEM. CAL.'!J78+'DREN. MEM. CAL.'!J83+'DREN. MEM. CAL.'!K92+'DREN. MEM. CAL.'!F159+'DREN. MEM. CAL.'!F160</f>
        <v>2045.22</v>
      </c>
      <c r="N49" s="509"/>
      <c r="O49" s="532"/>
      <c r="P49" s="533"/>
      <c r="Q49" s="534">
        <f t="shared" ref="Q49:Q86" si="12">IF(P49&gt;0,P49/$P$99,0)</f>
        <v>0</v>
      </c>
    </row>
    <row r="50" spans="1:17" s="502" customFormat="1" ht="57.6" x14ac:dyDescent="0.3">
      <c r="A50" s="485">
        <f t="shared" ca="1" si="0"/>
        <v>5</v>
      </c>
      <c r="B50" s="485">
        <f ca="1">IF(OR(C50=1,D50=1),SUMIF($A$9:A50,A50,$C$9:C50),"")</f>
        <v>21</v>
      </c>
      <c r="C50" s="485">
        <f t="shared" si="1"/>
        <v>1</v>
      </c>
      <c r="D50" s="486" t="str">
        <f t="shared" ca="1" si="3"/>
        <v/>
      </c>
      <c r="E50" s="487"/>
      <c r="F50" s="488"/>
      <c r="G50" s="520" t="s">
        <v>0</v>
      </c>
      <c r="H50" s="516">
        <v>102281</v>
      </c>
      <c r="I50" s="542" t="s">
        <v>295</v>
      </c>
      <c r="J50" s="542" t="str">
        <f t="shared" ca="1" si="11"/>
        <v>5.21</v>
      </c>
      <c r="K50" s="522" t="s">
        <v>1182</v>
      </c>
      <c r="L50" s="523" t="s">
        <v>1116</v>
      </c>
      <c r="M50" s="543">
        <f ca="1">'DREN. MEM. CAL.'!G64+'DREN. MEM. CAL.'!G155</f>
        <v>10127.824999999997</v>
      </c>
      <c r="N50" s="525"/>
      <c r="O50" s="544"/>
      <c r="P50" s="545"/>
      <c r="Q50" s="546">
        <f t="shared" si="12"/>
        <v>0</v>
      </c>
    </row>
    <row r="51" spans="1:17" s="502" customFormat="1" ht="57.6" x14ac:dyDescent="0.3">
      <c r="A51" s="485">
        <f t="shared" ca="1" si="0"/>
        <v>5</v>
      </c>
      <c r="B51" s="485">
        <f ca="1">IF(OR(C51=1,D51=1),SUMIF($A$9:A51,A51,$C$9:C51),"")</f>
        <v>22</v>
      </c>
      <c r="C51" s="485">
        <f t="shared" si="1"/>
        <v>1</v>
      </c>
      <c r="D51" s="486" t="str">
        <f t="shared" si="3"/>
        <v/>
      </c>
      <c r="E51" s="487"/>
      <c r="F51" s="488"/>
      <c r="G51" s="520" t="s">
        <v>0</v>
      </c>
      <c r="H51" s="516">
        <v>93379</v>
      </c>
      <c r="I51" s="542" t="s">
        <v>295</v>
      </c>
      <c r="J51" s="542" t="str">
        <f t="shared" ca="1" si="11"/>
        <v>5.22</v>
      </c>
      <c r="K51" s="522" t="s">
        <v>1183</v>
      </c>
      <c r="L51" s="523" t="s">
        <v>1116</v>
      </c>
      <c r="M51" s="543">
        <f>'DREN. MEM. CAL.'!G159+'DREN. MEM. CAL.'!G160</f>
        <v>574.65</v>
      </c>
      <c r="N51" s="525"/>
      <c r="O51" s="544"/>
      <c r="P51" s="545"/>
      <c r="Q51" s="546">
        <f t="shared" si="12"/>
        <v>0</v>
      </c>
    </row>
    <row r="52" spans="1:17" s="502" customFormat="1" ht="57.6" x14ac:dyDescent="0.3">
      <c r="A52" s="485">
        <f t="shared" ca="1" si="0"/>
        <v>5</v>
      </c>
      <c r="B52" s="485">
        <f ca="1">IF(OR(C52=1,D52=1),SUMIF($A$9:A52,A52,$C$9:C52),"")</f>
        <v>23</v>
      </c>
      <c r="C52" s="485">
        <f t="shared" si="1"/>
        <v>1</v>
      </c>
      <c r="D52" s="486" t="str">
        <f t="shared" ca="1" si="3"/>
        <v/>
      </c>
      <c r="E52" s="487"/>
      <c r="F52" s="488"/>
      <c r="G52" s="520" t="s">
        <v>0</v>
      </c>
      <c r="H52" s="516">
        <v>93369</v>
      </c>
      <c r="I52" s="542" t="s">
        <v>295</v>
      </c>
      <c r="J52" s="542" t="str">
        <f t="shared" ca="1" si="11"/>
        <v>5.23</v>
      </c>
      <c r="K52" s="522" t="s">
        <v>1184</v>
      </c>
      <c r="L52" s="523" t="s">
        <v>1116</v>
      </c>
      <c r="M52" s="543">
        <f ca="1">'DREN. MEM. CAL.'!J64</f>
        <v>4558.5899999999992</v>
      </c>
      <c r="N52" s="525"/>
      <c r="O52" s="544"/>
      <c r="P52" s="545"/>
      <c r="Q52" s="546">
        <f t="shared" si="12"/>
        <v>0</v>
      </c>
    </row>
    <row r="53" spans="1:17" s="502" customFormat="1" ht="28.8" x14ac:dyDescent="0.3">
      <c r="A53" s="485">
        <f t="shared" ca="1" si="0"/>
        <v>5</v>
      </c>
      <c r="B53" s="485">
        <f ca="1">IF(OR(C53=1,D53=1),SUMIF($A$9:A53,A53,$C$9:C53),"")</f>
        <v>24</v>
      </c>
      <c r="C53" s="485">
        <f t="shared" si="1"/>
        <v>1</v>
      </c>
      <c r="D53" s="486" t="str">
        <f t="shared" ca="1" si="3"/>
        <v/>
      </c>
      <c r="E53" s="487"/>
      <c r="F53" s="488"/>
      <c r="G53" s="520" t="s">
        <v>0</v>
      </c>
      <c r="H53" s="516">
        <v>101579</v>
      </c>
      <c r="I53" s="542" t="s">
        <v>295</v>
      </c>
      <c r="J53" s="542" t="str">
        <f t="shared" ca="1" si="11"/>
        <v>5.24</v>
      </c>
      <c r="K53" s="522" t="s">
        <v>1185</v>
      </c>
      <c r="L53" s="523" t="s">
        <v>32</v>
      </c>
      <c r="M53" s="543">
        <f ca="1">'DREN. MEM. CAL.'!D64</f>
        <v>11462.000000000002</v>
      </c>
      <c r="N53" s="525"/>
      <c r="O53" s="544"/>
      <c r="P53" s="545"/>
      <c r="Q53" s="546">
        <f t="shared" si="12"/>
        <v>0</v>
      </c>
    </row>
    <row r="54" spans="1:17" s="502" customFormat="1" ht="28.8" x14ac:dyDescent="0.3">
      <c r="A54" s="485">
        <f t="shared" ca="1" si="0"/>
        <v>5</v>
      </c>
      <c r="B54" s="485">
        <f ca="1">IF(OR(C54=1,D54=1),SUMIF($A$9:A54,A54,$C$9:C54),"")</f>
        <v>25</v>
      </c>
      <c r="C54" s="485">
        <f t="shared" si="1"/>
        <v>1</v>
      </c>
      <c r="D54" s="486" t="str">
        <f t="shared" ca="1" si="3"/>
        <v/>
      </c>
      <c r="E54" s="487"/>
      <c r="F54" s="488"/>
      <c r="G54" s="520" t="s">
        <v>0</v>
      </c>
      <c r="H54" s="516">
        <v>95878</v>
      </c>
      <c r="I54" s="542" t="s">
        <v>295</v>
      </c>
      <c r="J54" s="542" t="str">
        <f t="shared" ca="1" si="11"/>
        <v>5.25</v>
      </c>
      <c r="K54" s="522" t="s">
        <v>1186</v>
      </c>
      <c r="L54" s="523" t="s">
        <v>1171</v>
      </c>
      <c r="M54" s="543">
        <f ca="1">'TRANSP. DRENAGEM'!M31</f>
        <v>17204.240000000002</v>
      </c>
      <c r="N54" s="525"/>
      <c r="O54" s="544"/>
      <c r="P54" s="545"/>
      <c r="Q54" s="546">
        <f t="shared" si="12"/>
        <v>0</v>
      </c>
    </row>
    <row r="55" spans="1:17" s="502" customFormat="1" ht="43.2" x14ac:dyDescent="0.3">
      <c r="A55" s="485">
        <f t="shared" ca="1" si="0"/>
        <v>5</v>
      </c>
      <c r="B55" s="485">
        <f ca="1">IF(OR(C55=1,D55=1),SUMIF($A$9:A55,A55,$C$9:C55),"")</f>
        <v>26</v>
      </c>
      <c r="C55" s="485">
        <f t="shared" si="1"/>
        <v>1</v>
      </c>
      <c r="D55" s="486" t="str">
        <f t="shared" si="3"/>
        <v/>
      </c>
      <c r="E55" s="487"/>
      <c r="F55" s="488"/>
      <c r="G55" s="520" t="s">
        <v>0</v>
      </c>
      <c r="H55" s="516">
        <v>92210</v>
      </c>
      <c r="I55" s="542" t="s">
        <v>295</v>
      </c>
      <c r="J55" s="542" t="str">
        <f t="shared" ca="1" si="11"/>
        <v>5.26</v>
      </c>
      <c r="K55" s="522" t="s">
        <v>1187</v>
      </c>
      <c r="L55" s="523" t="s">
        <v>611</v>
      </c>
      <c r="M55" s="543">
        <f>'DREN. MEM. CAL.'!C159</f>
        <v>308</v>
      </c>
      <c r="N55" s="525"/>
      <c r="O55" s="544"/>
      <c r="P55" s="545"/>
      <c r="Q55" s="546">
        <f t="shared" si="12"/>
        <v>0</v>
      </c>
    </row>
    <row r="56" spans="1:17" s="502" customFormat="1" ht="43.2" x14ac:dyDescent="0.3">
      <c r="A56" s="485">
        <f t="shared" ca="1" si="0"/>
        <v>5</v>
      </c>
      <c r="B56" s="485">
        <f ca="1">IF(OR(C56=1,D56=1),SUMIF($A$9:A56,A56,$C$9:C56),"")</f>
        <v>27</v>
      </c>
      <c r="C56" s="485">
        <f t="shared" si="1"/>
        <v>1</v>
      </c>
      <c r="D56" s="486" t="str">
        <f t="shared" ca="1" si="3"/>
        <v/>
      </c>
      <c r="E56" s="487"/>
      <c r="F56" s="488"/>
      <c r="G56" s="520" t="s">
        <v>0</v>
      </c>
      <c r="H56" s="516">
        <v>92212</v>
      </c>
      <c r="I56" s="542" t="s">
        <v>295</v>
      </c>
      <c r="J56" s="542" t="str">
        <f t="shared" ca="1" si="11"/>
        <v>5.27</v>
      </c>
      <c r="K56" s="522" t="s">
        <v>1188</v>
      </c>
      <c r="L56" s="523" t="s">
        <v>611</v>
      </c>
      <c r="M56" s="543">
        <f ca="1">'DREN. MEM. CAL.'!C160+'DREN. MEM. CAL.'!C161</f>
        <v>1173.48</v>
      </c>
      <c r="N56" s="525"/>
      <c r="O56" s="544"/>
      <c r="P56" s="545"/>
      <c r="Q56" s="546">
        <f t="shared" si="12"/>
        <v>0</v>
      </c>
    </row>
    <row r="57" spans="1:17" s="502" customFormat="1" ht="43.2" x14ac:dyDescent="0.3">
      <c r="A57" s="485">
        <f t="shared" ca="1" si="0"/>
        <v>5</v>
      </c>
      <c r="B57" s="485">
        <f ca="1">IF(OR(C57=1,D57=1),SUMIF($A$9:A57,A57,$C$9:C57),"")</f>
        <v>28</v>
      </c>
      <c r="C57" s="485">
        <f t="shared" si="1"/>
        <v>1</v>
      </c>
      <c r="D57" s="486" t="str">
        <f t="shared" ca="1" si="3"/>
        <v/>
      </c>
      <c r="E57" s="487"/>
      <c r="F57" s="488"/>
      <c r="G57" s="520" t="s">
        <v>0</v>
      </c>
      <c r="H57" s="516">
        <v>92214</v>
      </c>
      <c r="I57" s="542" t="s">
        <v>295</v>
      </c>
      <c r="J57" s="542" t="str">
        <f t="shared" ca="1" si="11"/>
        <v>5.28</v>
      </c>
      <c r="K57" s="522" t="s">
        <v>1189</v>
      </c>
      <c r="L57" s="523" t="s">
        <v>611</v>
      </c>
      <c r="M57" s="543">
        <f ca="1">'DREN. MEM. CAL.'!C162</f>
        <v>320.91000000000008</v>
      </c>
      <c r="N57" s="525"/>
      <c r="O57" s="544"/>
      <c r="P57" s="545"/>
      <c r="Q57" s="546">
        <f t="shared" si="12"/>
        <v>0</v>
      </c>
    </row>
    <row r="58" spans="1:17" s="502" customFormat="1" ht="43.2" x14ac:dyDescent="0.3">
      <c r="A58" s="485">
        <f t="shared" ca="1" si="0"/>
        <v>5</v>
      </c>
      <c r="B58" s="485">
        <f ca="1">IF(OR(C58=1,D58=1),SUMIF($A$9:A58,A58,$C$9:C58),"")</f>
        <v>29</v>
      </c>
      <c r="C58" s="485">
        <f t="shared" si="1"/>
        <v>1</v>
      </c>
      <c r="D58" s="486" t="str">
        <f t="shared" ca="1" si="3"/>
        <v/>
      </c>
      <c r="E58" s="487"/>
      <c r="F58" s="488"/>
      <c r="G58" s="520" t="s">
        <v>0</v>
      </c>
      <c r="H58" s="516">
        <v>92216</v>
      </c>
      <c r="I58" s="542" t="s">
        <v>295</v>
      </c>
      <c r="J58" s="542" t="str">
        <f t="shared" ca="1" si="11"/>
        <v>5.29</v>
      </c>
      <c r="K58" s="522" t="s">
        <v>1190</v>
      </c>
      <c r="L58" s="523" t="s">
        <v>611</v>
      </c>
      <c r="M58" s="543">
        <f ca="1">'DREN. MEM. CAL.'!C163</f>
        <v>866.81999999999994</v>
      </c>
      <c r="N58" s="525"/>
      <c r="O58" s="544"/>
      <c r="P58" s="545"/>
      <c r="Q58" s="546">
        <f t="shared" si="12"/>
        <v>0</v>
      </c>
    </row>
    <row r="59" spans="1:17" s="502" customFormat="1" ht="43.2" x14ac:dyDescent="0.3">
      <c r="A59" s="485">
        <f t="shared" ca="1" si="0"/>
        <v>5</v>
      </c>
      <c r="B59" s="485">
        <f ca="1">IF(OR(C59=1,D59=1),SUMIF($A$9:A59,A59,$C$9:C59),"")</f>
        <v>30</v>
      </c>
      <c r="C59" s="485">
        <f t="shared" si="1"/>
        <v>1</v>
      </c>
      <c r="D59" s="486" t="str">
        <f t="shared" ca="1" si="3"/>
        <v/>
      </c>
      <c r="E59" s="487"/>
      <c r="F59" s="488"/>
      <c r="G59" s="520" t="s">
        <v>0</v>
      </c>
      <c r="H59" s="516">
        <v>92816</v>
      </c>
      <c r="I59" s="542" t="s">
        <v>295</v>
      </c>
      <c r="J59" s="542" t="str">
        <f t="shared" ca="1" si="11"/>
        <v>5.30</v>
      </c>
      <c r="K59" s="558" t="s">
        <v>1191</v>
      </c>
      <c r="L59" s="559" t="s">
        <v>611</v>
      </c>
      <c r="M59" s="543">
        <f ca="1">'DREN. MEM. CAL.'!C164</f>
        <v>187.11</v>
      </c>
      <c r="N59" s="560"/>
      <c r="O59" s="544"/>
      <c r="P59" s="545"/>
      <c r="Q59" s="546">
        <f t="shared" si="12"/>
        <v>0</v>
      </c>
    </row>
    <row r="60" spans="1:17" s="502" customFormat="1" ht="43.2" x14ac:dyDescent="0.3">
      <c r="A60" s="485">
        <f t="shared" ca="1" si="0"/>
        <v>5</v>
      </c>
      <c r="B60" s="485">
        <f ca="1">IF(OR(C60=1,D60=1),SUMIF($A$9:A60,A60,$C$9:C60),"")</f>
        <v>31</v>
      </c>
      <c r="C60" s="485">
        <f t="shared" si="1"/>
        <v>1</v>
      </c>
      <c r="D60" s="486" t="str">
        <f t="shared" ca="1" si="3"/>
        <v/>
      </c>
      <c r="E60" s="487"/>
      <c r="F60" s="488"/>
      <c r="G60" s="520" t="s">
        <v>0</v>
      </c>
      <c r="H60" s="516">
        <v>92818</v>
      </c>
      <c r="I60" s="542" t="s">
        <v>295</v>
      </c>
      <c r="J60" s="542" t="str">
        <f t="shared" ca="1" si="11"/>
        <v>5.31</v>
      </c>
      <c r="K60" s="558" t="s">
        <v>1192</v>
      </c>
      <c r="L60" s="559" t="s">
        <v>611</v>
      </c>
      <c r="M60" s="543">
        <f ca="1">'DREN. MEM. CAL.'!C165</f>
        <v>921.76999999999987</v>
      </c>
      <c r="N60" s="560"/>
      <c r="O60" s="544"/>
      <c r="P60" s="545"/>
      <c r="Q60" s="546">
        <f t="shared" si="12"/>
        <v>0</v>
      </c>
    </row>
    <row r="61" spans="1:17" s="502" customFormat="1" ht="43.2" x14ac:dyDescent="0.3">
      <c r="A61" s="485">
        <f t="shared" ca="1" si="0"/>
        <v>5</v>
      </c>
      <c r="B61" s="485">
        <f ca="1">IF(OR(C61=1,D61=1),SUMIF($A$9:A61,A61,$C$9:C61),"")</f>
        <v>32</v>
      </c>
      <c r="C61" s="485">
        <f t="shared" si="1"/>
        <v>1</v>
      </c>
      <c r="D61" s="486" t="str">
        <f t="shared" ca="1" si="3"/>
        <v/>
      </c>
      <c r="E61" s="487"/>
      <c r="F61" s="488"/>
      <c r="G61" s="520" t="s">
        <v>0</v>
      </c>
      <c r="H61" s="516">
        <v>99290</v>
      </c>
      <c r="I61" s="542" t="s">
        <v>295</v>
      </c>
      <c r="J61" s="542" t="str">
        <f t="shared" ca="1" si="11"/>
        <v>5.32</v>
      </c>
      <c r="K61" s="522" t="s">
        <v>1193</v>
      </c>
      <c r="L61" s="523" t="s">
        <v>11</v>
      </c>
      <c r="M61" s="543">
        <f ca="1">'DREN. MEM. CAL.'!B170</f>
        <v>24</v>
      </c>
      <c r="N61" s="525"/>
      <c r="O61" s="544"/>
      <c r="P61" s="545"/>
      <c r="Q61" s="546">
        <f t="shared" si="12"/>
        <v>0</v>
      </c>
    </row>
    <row r="62" spans="1:17" s="502" customFormat="1" ht="28.8" x14ac:dyDescent="0.3">
      <c r="A62" s="485">
        <f t="shared" ca="1" si="0"/>
        <v>5</v>
      </c>
      <c r="B62" s="485">
        <f ca="1">IF(OR(C62=1,D62=1),SUMIF($A$9:A62,A62,$C$9:C62),"")</f>
        <v>33</v>
      </c>
      <c r="C62" s="485">
        <f t="shared" si="1"/>
        <v>1</v>
      </c>
      <c r="D62" s="486" t="str">
        <f t="shared" ca="1" si="3"/>
        <v/>
      </c>
      <c r="E62" s="487"/>
      <c r="F62" s="488"/>
      <c r="G62" s="520" t="s">
        <v>0</v>
      </c>
      <c r="H62" s="516">
        <v>99241</v>
      </c>
      <c r="I62" s="542" t="s">
        <v>295</v>
      </c>
      <c r="J62" s="542" t="str">
        <f t="shared" ca="1" si="11"/>
        <v>5.33</v>
      </c>
      <c r="K62" s="522" t="s">
        <v>1194</v>
      </c>
      <c r="L62" s="523" t="s">
        <v>611</v>
      </c>
      <c r="M62" s="543">
        <f ca="1">'DREN. MEM. CAL.'!F170</f>
        <v>4.9000000000000057</v>
      </c>
      <c r="N62" s="525"/>
      <c r="O62" s="544"/>
      <c r="P62" s="545"/>
      <c r="Q62" s="546">
        <f t="shared" si="12"/>
        <v>0</v>
      </c>
    </row>
    <row r="63" spans="1:17" s="502" customFormat="1" ht="43.2" x14ac:dyDescent="0.3">
      <c r="A63" s="485">
        <f t="shared" ca="1" si="0"/>
        <v>5</v>
      </c>
      <c r="B63" s="485">
        <f ca="1">IF(OR(C63=1,D63=1),SUMIF($A$9:A63,A63,$C$9:C63),"")</f>
        <v>34</v>
      </c>
      <c r="C63" s="485">
        <f t="shared" si="1"/>
        <v>1</v>
      </c>
      <c r="D63" s="486" t="str">
        <f t="shared" ca="1" si="3"/>
        <v/>
      </c>
      <c r="E63" s="487"/>
      <c r="F63" s="488"/>
      <c r="G63" s="520" t="s">
        <v>0</v>
      </c>
      <c r="H63" s="516">
        <v>99301</v>
      </c>
      <c r="I63" s="542" t="s">
        <v>295</v>
      </c>
      <c r="J63" s="542" t="str">
        <f t="shared" ca="1" si="11"/>
        <v>5.34</v>
      </c>
      <c r="K63" s="522" t="s">
        <v>1195</v>
      </c>
      <c r="L63" s="523" t="s">
        <v>11</v>
      </c>
      <c r="M63" s="543">
        <f ca="1">'DREN. MEM. CAL.'!C170</f>
        <v>15</v>
      </c>
      <c r="N63" s="525"/>
      <c r="O63" s="544"/>
      <c r="P63" s="545"/>
      <c r="Q63" s="546">
        <f t="shared" si="12"/>
        <v>0</v>
      </c>
    </row>
    <row r="64" spans="1:17" s="502" customFormat="1" ht="28.8" x14ac:dyDescent="0.3">
      <c r="A64" s="485">
        <f t="shared" ca="1" si="0"/>
        <v>5</v>
      </c>
      <c r="B64" s="485">
        <f ca="1">IF(OR(C64=1,D64=1),SUMIF($A$9:A64,A64,$C$9:C64),"")</f>
        <v>35</v>
      </c>
      <c r="C64" s="485">
        <f t="shared" si="1"/>
        <v>1</v>
      </c>
      <c r="D64" s="486" t="str">
        <f t="shared" ca="1" si="3"/>
        <v/>
      </c>
      <c r="E64" s="487"/>
      <c r="F64" s="488"/>
      <c r="G64" s="520" t="s">
        <v>0</v>
      </c>
      <c r="H64" s="516">
        <v>99307</v>
      </c>
      <c r="I64" s="542" t="s">
        <v>295</v>
      </c>
      <c r="J64" s="542" t="str">
        <f t="shared" ca="1" si="11"/>
        <v>5.35</v>
      </c>
      <c r="K64" s="558" t="s">
        <v>1196</v>
      </c>
      <c r="L64" s="559" t="s">
        <v>611</v>
      </c>
      <c r="M64" s="543">
        <f ca="1">'DREN. MEM. CAL.'!G170</f>
        <v>9.5700000000000021</v>
      </c>
      <c r="N64" s="560"/>
      <c r="O64" s="544"/>
      <c r="P64" s="545"/>
      <c r="Q64" s="546">
        <f t="shared" si="12"/>
        <v>0</v>
      </c>
    </row>
    <row r="65" spans="1:17" s="502" customFormat="1" ht="43.2" x14ac:dyDescent="0.3">
      <c r="A65" s="485">
        <f t="shared" ca="1" si="0"/>
        <v>5</v>
      </c>
      <c r="B65" s="485">
        <f ca="1">IF(OR(C65=1,D65=1),SUMIF($A$9:A65,A65,$C$9:C65),"")</f>
        <v>36</v>
      </c>
      <c r="C65" s="485">
        <f t="shared" si="1"/>
        <v>1</v>
      </c>
      <c r="D65" s="486" t="str">
        <f t="shared" ca="1" si="3"/>
        <v/>
      </c>
      <c r="E65" s="487"/>
      <c r="F65" s="488"/>
      <c r="G65" s="520" t="s">
        <v>0</v>
      </c>
      <c r="H65" s="516">
        <v>99326</v>
      </c>
      <c r="I65" s="542" t="s">
        <v>295</v>
      </c>
      <c r="J65" s="542" t="str">
        <f t="shared" ca="1" si="11"/>
        <v>5.36</v>
      </c>
      <c r="K65" s="558" t="s">
        <v>1197</v>
      </c>
      <c r="L65" s="559" t="s">
        <v>11</v>
      </c>
      <c r="M65" s="543">
        <f ca="1">'DREN. MEM. CAL.'!D170</f>
        <v>18</v>
      </c>
      <c r="N65" s="560"/>
      <c r="O65" s="544"/>
      <c r="P65" s="545"/>
      <c r="Q65" s="546">
        <f t="shared" si="12"/>
        <v>0</v>
      </c>
    </row>
    <row r="66" spans="1:17" s="502" customFormat="1" ht="27.75" customHeight="1" x14ac:dyDescent="0.3">
      <c r="A66" s="485">
        <f t="shared" ca="1" si="0"/>
        <v>5</v>
      </c>
      <c r="B66" s="485">
        <f ca="1">IF(OR(C66=1,D66=1),SUMIF($A$9:A66,A66,$C$9:C66),"")</f>
        <v>37</v>
      </c>
      <c r="C66" s="485">
        <f t="shared" si="1"/>
        <v>1</v>
      </c>
      <c r="D66" s="486" t="str">
        <f t="shared" ca="1" si="3"/>
        <v/>
      </c>
      <c r="E66" s="487"/>
      <c r="F66" s="488"/>
      <c r="G66" s="520" t="s">
        <v>0</v>
      </c>
      <c r="H66" s="516">
        <v>99282</v>
      </c>
      <c r="I66" s="542" t="s">
        <v>295</v>
      </c>
      <c r="J66" s="542" t="str">
        <f t="shared" ca="1" si="11"/>
        <v>5.37</v>
      </c>
      <c r="K66" s="522" t="s">
        <v>1198</v>
      </c>
      <c r="L66" s="523" t="s">
        <v>611</v>
      </c>
      <c r="M66" s="543">
        <f ca="1">'DREN. MEM. CAL.'!H170</f>
        <v>14.900000000000004</v>
      </c>
      <c r="N66" s="525"/>
      <c r="O66" s="544"/>
      <c r="P66" s="545"/>
      <c r="Q66" s="546">
        <f t="shared" si="12"/>
        <v>0</v>
      </c>
    </row>
    <row r="67" spans="1:17" s="502" customFormat="1" ht="27.75" customHeight="1" x14ac:dyDescent="0.3">
      <c r="A67" s="485">
        <f t="shared" ca="1" si="0"/>
        <v>5</v>
      </c>
      <c r="B67" s="485">
        <f ca="1">IF(OR(C67=1,D67=1),SUMIF($A$9:A67,A67,$C$9:C67),"")</f>
        <v>38</v>
      </c>
      <c r="C67" s="485">
        <f t="shared" si="1"/>
        <v>1</v>
      </c>
      <c r="D67" s="486" t="str">
        <f t="shared" si="3"/>
        <v/>
      </c>
      <c r="E67" s="487"/>
      <c r="F67" s="488"/>
      <c r="G67" s="520" t="s">
        <v>2</v>
      </c>
      <c r="H67" s="516">
        <v>2003644</v>
      </c>
      <c r="I67" s="542" t="s">
        <v>295</v>
      </c>
      <c r="J67" s="542" t="str">
        <f t="shared" ca="1" si="11"/>
        <v>5.38</v>
      </c>
      <c r="K67" s="522" t="s">
        <v>1199</v>
      </c>
      <c r="L67" s="523" t="s">
        <v>11</v>
      </c>
      <c r="M67" s="543">
        <f>'DREN. MEM. CAL.'!J87</f>
        <v>40</v>
      </c>
      <c r="N67" s="525"/>
      <c r="O67" s="544"/>
      <c r="P67" s="545"/>
      <c r="Q67" s="546">
        <f t="shared" si="12"/>
        <v>0</v>
      </c>
    </row>
    <row r="68" spans="1:17" s="502" customFormat="1" ht="27.75" customHeight="1" x14ac:dyDescent="0.3">
      <c r="A68" s="485">
        <f t="shared" ca="1" si="0"/>
        <v>5</v>
      </c>
      <c r="B68" s="485">
        <f ca="1">IF(OR(C68=1,D68=1),SUMIF($A$9:A68,A68,$C$9:C68),"")</f>
        <v>39</v>
      </c>
      <c r="C68" s="485">
        <f t="shared" si="1"/>
        <v>1</v>
      </c>
      <c r="D68" s="486" t="str">
        <f t="shared" si="3"/>
        <v/>
      </c>
      <c r="E68" s="487"/>
      <c r="F68" s="488"/>
      <c r="G68" s="520" t="s">
        <v>2</v>
      </c>
      <c r="H68" s="516">
        <v>2003646</v>
      </c>
      <c r="I68" s="542" t="s">
        <v>295</v>
      </c>
      <c r="J68" s="542" t="str">
        <f t="shared" ca="1" si="11"/>
        <v>5.39</v>
      </c>
      <c r="K68" s="522" t="s">
        <v>1200</v>
      </c>
      <c r="L68" s="523" t="s">
        <v>11</v>
      </c>
      <c r="M68" s="543">
        <f>'DREN. MEM. CAL.'!J88</f>
        <v>5</v>
      </c>
      <c r="N68" s="525"/>
      <c r="O68" s="544"/>
      <c r="P68" s="545"/>
      <c r="Q68" s="546">
        <f t="shared" si="12"/>
        <v>0</v>
      </c>
    </row>
    <row r="69" spans="1:17" s="502" customFormat="1" ht="27.75" customHeight="1" x14ac:dyDescent="0.3">
      <c r="A69" s="485">
        <f t="shared" ca="1" si="0"/>
        <v>5</v>
      </c>
      <c r="B69" s="485">
        <f ca="1">IF(OR(C69=1,D69=1),SUMIF($A$9:A69,A69,$C$9:C69),"")</f>
        <v>40</v>
      </c>
      <c r="C69" s="485">
        <f t="shared" si="1"/>
        <v>1</v>
      </c>
      <c r="D69" s="486" t="str">
        <f t="shared" si="3"/>
        <v/>
      </c>
      <c r="E69" s="487"/>
      <c r="F69" s="488"/>
      <c r="G69" s="520" t="s">
        <v>2</v>
      </c>
      <c r="H69" s="516">
        <v>2003648</v>
      </c>
      <c r="I69" s="542" t="s">
        <v>295</v>
      </c>
      <c r="J69" s="542" t="str">
        <f t="shared" ca="1" si="11"/>
        <v>5.40</v>
      </c>
      <c r="K69" s="522" t="s">
        <v>1201</v>
      </c>
      <c r="L69" s="523" t="s">
        <v>11</v>
      </c>
      <c r="M69" s="543">
        <f>'DREN. MEM. CAL.'!J89</f>
        <v>8</v>
      </c>
      <c r="N69" s="525"/>
      <c r="O69" s="544"/>
      <c r="P69" s="545"/>
      <c r="Q69" s="546">
        <f t="shared" si="12"/>
        <v>0</v>
      </c>
    </row>
    <row r="70" spans="1:17" s="502" customFormat="1" ht="27.75" customHeight="1" x14ac:dyDescent="0.3">
      <c r="A70" s="485">
        <f t="shared" ca="1" si="0"/>
        <v>5</v>
      </c>
      <c r="B70" s="485">
        <f ca="1">IF(OR(C70=1,D70=1),SUMIF($A$9:A70,A70,$C$9:C70),"")</f>
        <v>41</v>
      </c>
      <c r="C70" s="485">
        <f t="shared" si="1"/>
        <v>1</v>
      </c>
      <c r="D70" s="486" t="str">
        <f t="shared" si="3"/>
        <v/>
      </c>
      <c r="E70" s="487"/>
      <c r="F70" s="488"/>
      <c r="G70" s="520" t="s">
        <v>2</v>
      </c>
      <c r="H70" s="516">
        <v>2003650</v>
      </c>
      <c r="I70" s="542" t="s">
        <v>295</v>
      </c>
      <c r="J70" s="542" t="str">
        <f t="shared" ca="1" si="11"/>
        <v>5.41</v>
      </c>
      <c r="K70" s="522" t="s">
        <v>1202</v>
      </c>
      <c r="L70" s="523" t="s">
        <v>11</v>
      </c>
      <c r="M70" s="543">
        <f>'DREN. MEM. CAL.'!J90</f>
        <v>3</v>
      </c>
      <c r="N70" s="525"/>
      <c r="O70" s="544"/>
      <c r="P70" s="545"/>
      <c r="Q70" s="546">
        <f t="shared" si="12"/>
        <v>0</v>
      </c>
    </row>
    <row r="71" spans="1:17" s="502" customFormat="1" ht="27.75" customHeight="1" x14ac:dyDescent="0.3">
      <c r="A71" s="485">
        <f t="shared" ca="1" si="0"/>
        <v>5</v>
      </c>
      <c r="B71" s="485">
        <f ca="1">IF(OR(C71=1,D71=1),SUMIF($A$9:A71,A71,$C$9:C71),"")</f>
        <v>42</v>
      </c>
      <c r="C71" s="485">
        <f t="shared" si="1"/>
        <v>1</v>
      </c>
      <c r="D71" s="486" t="str">
        <f t="shared" ca="1" si="3"/>
        <v/>
      </c>
      <c r="E71" s="487"/>
      <c r="F71" s="488"/>
      <c r="G71" s="520" t="s">
        <v>0</v>
      </c>
      <c r="H71" s="516">
        <v>99318</v>
      </c>
      <c r="I71" s="542" t="s">
        <v>295</v>
      </c>
      <c r="J71" s="542" t="str">
        <f t="shared" ca="1" si="11"/>
        <v>5.42</v>
      </c>
      <c r="K71" s="522" t="s">
        <v>1203</v>
      </c>
      <c r="L71" s="523" t="s">
        <v>611</v>
      </c>
      <c r="M71" s="543">
        <f ca="1">'DREN. MEM. CAL.'!I170</f>
        <v>2.9</v>
      </c>
      <c r="N71" s="525"/>
      <c r="O71" s="544"/>
      <c r="P71" s="545"/>
      <c r="Q71" s="546">
        <f t="shared" si="12"/>
        <v>0</v>
      </c>
    </row>
    <row r="72" spans="1:17" s="502" customFormat="1" ht="27.75" customHeight="1" x14ac:dyDescent="0.3">
      <c r="A72" s="485">
        <f t="shared" ca="1" si="0"/>
        <v>5</v>
      </c>
      <c r="B72" s="485">
        <f ca="1">IF(OR(C72=1,D72=1),SUMIF($A$9:A72,A72,$C$9:C72),"")</f>
        <v>43</v>
      </c>
      <c r="C72" s="485">
        <f t="shared" si="1"/>
        <v>1</v>
      </c>
      <c r="D72" s="486" t="str">
        <f t="shared" ca="1" si="3"/>
        <v/>
      </c>
      <c r="E72" s="487"/>
      <c r="F72" s="488"/>
      <c r="G72" s="520" t="s">
        <v>0</v>
      </c>
      <c r="H72" s="516">
        <v>98114</v>
      </c>
      <c r="I72" s="542" t="s">
        <v>295</v>
      </c>
      <c r="J72" s="542" t="str">
        <f t="shared" ca="1" si="11"/>
        <v>5.43</v>
      </c>
      <c r="K72" s="522" t="s">
        <v>1204</v>
      </c>
      <c r="L72" s="523" t="s">
        <v>11</v>
      </c>
      <c r="M72" s="543">
        <f ca="1">'DREN. MEM. CAL.'!B170+'DREN. MEM. CAL.'!C170+'DREN. MEM. CAL.'!D170+'DREN. MEM. CAL.'!E170</f>
        <v>57</v>
      </c>
      <c r="N72" s="525"/>
      <c r="O72" s="544"/>
      <c r="P72" s="545"/>
      <c r="Q72" s="546">
        <f t="shared" si="12"/>
        <v>0</v>
      </c>
    </row>
    <row r="73" spans="1:17" s="502" customFormat="1" ht="28.8" x14ac:dyDescent="0.3">
      <c r="A73" s="485">
        <f t="shared" ref="A73:A98" ca="1" si="13">IF(LEN(D73),OFFSET(A73,-1,0)+1,OFFSET(A73,-1,0))</f>
        <v>5</v>
      </c>
      <c r="B73" s="485">
        <f ca="1">IF(OR(C73=1,D73=1),SUMIF($A$9:A73,A73,$C$9:C73),"")</f>
        <v>44</v>
      </c>
      <c r="C73" s="485">
        <f t="shared" ref="C73:C98" si="14">IF(I73&gt;0,1,"")</f>
        <v>1</v>
      </c>
      <c r="D73" s="486" t="str">
        <f t="shared" si="3"/>
        <v/>
      </c>
      <c r="E73" s="487"/>
      <c r="F73" s="488"/>
      <c r="G73" s="520" t="s">
        <v>0</v>
      </c>
      <c r="H73" s="516">
        <v>97947</v>
      </c>
      <c r="I73" s="542" t="s">
        <v>295</v>
      </c>
      <c r="J73" s="542" t="str">
        <f t="shared" ca="1" si="11"/>
        <v>5.44</v>
      </c>
      <c r="K73" s="522" t="s">
        <v>1205</v>
      </c>
      <c r="L73" s="523" t="s">
        <v>11</v>
      </c>
      <c r="M73" s="543">
        <f>'DREN. MEM. CAL.'!I77</f>
        <v>79</v>
      </c>
      <c r="N73" s="525"/>
      <c r="O73" s="544"/>
      <c r="P73" s="545"/>
      <c r="Q73" s="546">
        <f t="shared" si="12"/>
        <v>0</v>
      </c>
    </row>
    <row r="74" spans="1:17" s="502" customFormat="1" ht="28.8" x14ac:dyDescent="0.3">
      <c r="A74" s="485">
        <f t="shared" ca="1" si="13"/>
        <v>5</v>
      </c>
      <c r="B74" s="485">
        <f ca="1">IF(OR(C74=1,D74=1),SUMIF($A$9:A74,A74,$C$9:C74),"")</f>
        <v>45</v>
      </c>
      <c r="C74" s="485">
        <f t="shared" si="14"/>
        <v>1</v>
      </c>
      <c r="D74" s="486" t="str">
        <f t="shared" si="3"/>
        <v/>
      </c>
      <c r="E74" s="487"/>
      <c r="F74" s="488"/>
      <c r="G74" s="520" t="s">
        <v>0</v>
      </c>
      <c r="H74" s="516">
        <v>97948</v>
      </c>
      <c r="I74" s="542" t="s">
        <v>295</v>
      </c>
      <c r="J74" s="542" t="str">
        <f t="shared" ca="1" si="11"/>
        <v>5.45</v>
      </c>
      <c r="K74" s="522" t="s">
        <v>1206</v>
      </c>
      <c r="L74" s="523" t="s">
        <v>11</v>
      </c>
      <c r="M74" s="543">
        <f>'DREN. MEM. CAL.'!I82</f>
        <v>23</v>
      </c>
      <c r="N74" s="525"/>
      <c r="O74" s="544"/>
      <c r="P74" s="545"/>
      <c r="Q74" s="546">
        <f t="shared" si="12"/>
        <v>0</v>
      </c>
    </row>
    <row r="75" spans="1:17" s="502" customFormat="1" ht="28.8" x14ac:dyDescent="0.3">
      <c r="A75" s="485">
        <f t="shared" ca="1" si="13"/>
        <v>5</v>
      </c>
      <c r="B75" s="485">
        <f ca="1">IF(OR(C75=1,D75=1),SUMIF($A$9:A75,A75,$C$9:C75),"")</f>
        <v>46</v>
      </c>
      <c r="C75" s="485">
        <f t="shared" si="14"/>
        <v>1</v>
      </c>
      <c r="D75" s="486" t="str">
        <f t="shared" si="3"/>
        <v/>
      </c>
      <c r="E75" s="487"/>
      <c r="F75" s="488"/>
      <c r="G75" s="520" t="s">
        <v>0</v>
      </c>
      <c r="H75" s="516">
        <v>94293</v>
      </c>
      <c r="I75" s="542" t="s">
        <v>295</v>
      </c>
      <c r="J75" s="542" t="str">
        <f t="shared" ca="1" si="11"/>
        <v>5.46</v>
      </c>
      <c r="K75" s="522" t="s">
        <v>1207</v>
      </c>
      <c r="L75" s="523" t="s">
        <v>611</v>
      </c>
      <c r="M75" s="543">
        <v>297</v>
      </c>
      <c r="N75" s="587"/>
      <c r="O75" s="544"/>
      <c r="P75" s="545"/>
      <c r="Q75" s="546">
        <f t="shared" si="12"/>
        <v>0</v>
      </c>
    </row>
    <row r="76" spans="1:17" s="502" customFormat="1" ht="15.6" x14ac:dyDescent="0.3">
      <c r="A76" s="485">
        <f t="shared" ca="1" si="13"/>
        <v>5</v>
      </c>
      <c r="B76" s="485">
        <f ca="1">IF(OR(C76=1,D76=1),SUMIF($A$9:A76,A76,$C$9:C76),"")</f>
        <v>47</v>
      </c>
      <c r="C76" s="485">
        <f t="shared" si="14"/>
        <v>1</v>
      </c>
      <c r="D76" s="486" t="str">
        <f t="shared" ca="1" si="3"/>
        <v/>
      </c>
      <c r="E76" s="487"/>
      <c r="F76" s="488"/>
      <c r="G76" s="520" t="s">
        <v>2</v>
      </c>
      <c r="H76" s="516">
        <v>2003767</v>
      </c>
      <c r="I76" s="542" t="s">
        <v>295</v>
      </c>
      <c r="J76" s="542" t="str">
        <f t="shared" ca="1" si="11"/>
        <v>5.47</v>
      </c>
      <c r="K76" s="558" t="s">
        <v>1208</v>
      </c>
      <c r="L76" s="559" t="s">
        <v>101</v>
      </c>
      <c r="M76" s="543">
        <f ca="1">'DREN. MEM. CAL.'!K166</f>
        <v>578.40000000000009</v>
      </c>
      <c r="N76" s="588"/>
      <c r="O76" s="544"/>
      <c r="P76" s="545"/>
      <c r="Q76" s="546">
        <f t="shared" si="12"/>
        <v>0</v>
      </c>
    </row>
    <row r="77" spans="1:17" s="502" customFormat="1" ht="15.6" x14ac:dyDescent="0.3">
      <c r="A77" s="485">
        <f t="shared" ca="1" si="13"/>
        <v>5</v>
      </c>
      <c r="B77" s="485">
        <f ca="1">IF(OR(C77=1,D77=1),SUMIF($A$9:A77,A77,$C$9:C77),"")</f>
        <v>48</v>
      </c>
      <c r="C77" s="485">
        <f t="shared" si="14"/>
        <v>1</v>
      </c>
      <c r="D77" s="486" t="str">
        <f t="shared" si="3"/>
        <v/>
      </c>
      <c r="E77" s="487"/>
      <c r="F77" s="488"/>
      <c r="G77" s="520" t="s">
        <v>2</v>
      </c>
      <c r="H77" s="516">
        <v>2003457</v>
      </c>
      <c r="I77" s="542" t="s">
        <v>295</v>
      </c>
      <c r="J77" s="542" t="str">
        <f t="shared" ca="1" si="11"/>
        <v>5.48</v>
      </c>
      <c r="K77" s="558" t="s">
        <v>1209</v>
      </c>
      <c r="L77" s="559" t="s">
        <v>11</v>
      </c>
      <c r="M77" s="543">
        <v>1</v>
      </c>
      <c r="N77" s="588"/>
      <c r="O77" s="544"/>
      <c r="P77" s="545"/>
      <c r="Q77" s="546">
        <f t="shared" si="12"/>
        <v>0</v>
      </c>
    </row>
    <row r="78" spans="1:17" s="502" customFormat="1" ht="15.6" x14ac:dyDescent="0.3">
      <c r="A78" s="485">
        <f t="shared" ca="1" si="13"/>
        <v>5</v>
      </c>
      <c r="B78" s="485">
        <f ca="1">IF(OR(C78=1,D78=1),SUMIF($A$9:A78,A78,$C$9:C78),"")</f>
        <v>49</v>
      </c>
      <c r="C78" s="485">
        <f t="shared" si="14"/>
        <v>1</v>
      </c>
      <c r="D78" s="486" t="str">
        <f t="shared" si="3"/>
        <v/>
      </c>
      <c r="E78" s="487"/>
      <c r="F78" s="488"/>
      <c r="G78" s="520" t="s">
        <v>2</v>
      </c>
      <c r="H78" s="516">
        <v>2003461</v>
      </c>
      <c r="I78" s="542" t="s">
        <v>295</v>
      </c>
      <c r="J78" s="542" t="str">
        <f t="shared" ca="1" si="11"/>
        <v>5.49</v>
      </c>
      <c r="K78" s="522" t="s">
        <v>1210</v>
      </c>
      <c r="L78" s="523" t="s">
        <v>11</v>
      </c>
      <c r="M78" s="543">
        <v>1</v>
      </c>
      <c r="N78" s="587"/>
      <c r="O78" s="544"/>
      <c r="P78" s="545"/>
      <c r="Q78" s="546">
        <f t="shared" si="12"/>
        <v>0</v>
      </c>
    </row>
    <row r="79" spans="1:17" s="502" customFormat="1" ht="28.8" x14ac:dyDescent="0.3">
      <c r="A79" s="485">
        <f t="shared" ca="1" si="13"/>
        <v>5</v>
      </c>
      <c r="B79" s="485">
        <f ca="1">IF(OR(C79=1,D79=1),SUMIF($A$9:A79,A79,$C$9:C79),"")</f>
        <v>50</v>
      </c>
      <c r="C79" s="485">
        <f t="shared" si="14"/>
        <v>1</v>
      </c>
      <c r="D79" s="486" t="str">
        <f t="shared" si="3"/>
        <v/>
      </c>
      <c r="E79" s="487"/>
      <c r="F79" s="488"/>
      <c r="G79" s="520" t="s">
        <v>0</v>
      </c>
      <c r="H79" s="516">
        <v>102752</v>
      </c>
      <c r="I79" s="542" t="s">
        <v>295</v>
      </c>
      <c r="J79" s="542" t="str">
        <f t="shared" ca="1" si="11"/>
        <v>5.50</v>
      </c>
      <c r="K79" s="522" t="s">
        <v>1211</v>
      </c>
      <c r="L79" s="523" t="s">
        <v>11</v>
      </c>
      <c r="M79" s="543">
        <f>M77</f>
        <v>1</v>
      </c>
      <c r="N79" s="587"/>
      <c r="O79" s="544"/>
      <c r="P79" s="545"/>
      <c r="Q79" s="546">
        <f t="shared" si="12"/>
        <v>0</v>
      </c>
    </row>
    <row r="80" spans="1:17" s="502" customFormat="1" ht="28.8" x14ac:dyDescent="0.3">
      <c r="A80" s="485">
        <f t="shared" ca="1" si="13"/>
        <v>5</v>
      </c>
      <c r="B80" s="485">
        <f ca="1">IF(OR(C80=1,D80=1),SUMIF($A$9:A80,A80,$C$9:C80),"")</f>
        <v>51</v>
      </c>
      <c r="C80" s="485">
        <f t="shared" si="14"/>
        <v>1</v>
      </c>
      <c r="D80" s="486" t="str">
        <f t="shared" si="3"/>
        <v/>
      </c>
      <c r="E80" s="487"/>
      <c r="F80" s="488"/>
      <c r="G80" s="520" t="s">
        <v>0</v>
      </c>
      <c r="H80" s="516">
        <v>102754</v>
      </c>
      <c r="I80" s="542" t="s">
        <v>295</v>
      </c>
      <c r="J80" s="542" t="str">
        <f t="shared" ca="1" si="11"/>
        <v>5.51</v>
      </c>
      <c r="K80" s="522" t="s">
        <v>1212</v>
      </c>
      <c r="L80" s="523" t="s">
        <v>11</v>
      </c>
      <c r="M80" s="543">
        <f>M78</f>
        <v>1</v>
      </c>
      <c r="N80" s="587"/>
      <c r="O80" s="544"/>
      <c r="P80" s="545"/>
      <c r="Q80" s="546">
        <f t="shared" si="12"/>
        <v>0</v>
      </c>
    </row>
    <row r="81" spans="1:30" s="502" customFormat="1" ht="43.2" x14ac:dyDescent="0.3">
      <c r="A81" s="485">
        <f t="shared" ca="1" si="13"/>
        <v>5</v>
      </c>
      <c r="B81" s="485">
        <f ca="1">IF(OR(C81=1,D81=1),SUMIF($A$9:A81,A81,$C$9:C81),"")</f>
        <v>52</v>
      </c>
      <c r="C81" s="485">
        <f t="shared" si="14"/>
        <v>1</v>
      </c>
      <c r="D81" s="486" t="str">
        <f t="shared" ca="1" si="3"/>
        <v/>
      </c>
      <c r="E81" s="487"/>
      <c r="F81" s="488"/>
      <c r="G81" s="520" t="s">
        <v>0</v>
      </c>
      <c r="H81" s="516">
        <v>100951</v>
      </c>
      <c r="I81" s="542" t="s">
        <v>295</v>
      </c>
      <c r="J81" s="542" t="str">
        <f t="shared" ca="1" si="11"/>
        <v>5.52</v>
      </c>
      <c r="K81" s="522" t="s">
        <v>1213</v>
      </c>
      <c r="L81" s="523" t="s">
        <v>1171</v>
      </c>
      <c r="M81" s="543">
        <f ca="1">'TRANSP. DRENAGEM'!M12</f>
        <v>933.44</v>
      </c>
      <c r="N81" s="587"/>
      <c r="O81" s="544"/>
      <c r="P81" s="545"/>
      <c r="Q81" s="546">
        <f t="shared" si="12"/>
        <v>0</v>
      </c>
    </row>
    <row r="82" spans="1:30" s="502" customFormat="1" ht="43.2" x14ac:dyDescent="0.3">
      <c r="A82" s="485">
        <f t="shared" ca="1" si="13"/>
        <v>5</v>
      </c>
      <c r="B82" s="485">
        <f ca="1">IF(OR(C82=1,D82=1),SUMIF($A$9:A82,A82,$C$9:C82),"")</f>
        <v>53</v>
      </c>
      <c r="C82" s="485">
        <f t="shared" si="14"/>
        <v>1</v>
      </c>
      <c r="D82" s="486" t="str">
        <f t="shared" ca="1" si="3"/>
        <v/>
      </c>
      <c r="E82" s="487"/>
      <c r="F82" s="488"/>
      <c r="G82" s="520" t="s">
        <v>0</v>
      </c>
      <c r="H82" s="516">
        <v>100952</v>
      </c>
      <c r="I82" s="542" t="s">
        <v>295</v>
      </c>
      <c r="J82" s="542" t="str">
        <f t="shared" ca="1" si="11"/>
        <v>5.53</v>
      </c>
      <c r="K82" s="522" t="s">
        <v>1214</v>
      </c>
      <c r="L82" s="523" t="s">
        <v>1171</v>
      </c>
      <c r="M82" s="543">
        <f ca="1">'TRANSP. DRENAGEM'!M20</f>
        <v>70008.600000000006</v>
      </c>
      <c r="N82" s="587"/>
      <c r="O82" s="544"/>
      <c r="P82" s="545"/>
      <c r="Q82" s="546">
        <f t="shared" si="12"/>
        <v>0</v>
      </c>
    </row>
    <row r="83" spans="1:30" s="502" customFormat="1" ht="43.2" x14ac:dyDescent="0.3">
      <c r="A83" s="485">
        <f t="shared" ca="1" si="13"/>
        <v>5</v>
      </c>
      <c r="B83" s="485">
        <f ca="1">IF(OR(C83=1,D83=1),SUMIF($A$9:A83,A83,$C$9:C83),"")</f>
        <v>54</v>
      </c>
      <c r="C83" s="485">
        <f t="shared" si="14"/>
        <v>1</v>
      </c>
      <c r="D83" s="486" t="str">
        <f t="shared" ca="1" si="3"/>
        <v/>
      </c>
      <c r="E83" s="487"/>
      <c r="F83" s="488"/>
      <c r="G83" s="520" t="s">
        <v>0</v>
      </c>
      <c r="H83" s="516">
        <v>100953</v>
      </c>
      <c r="I83" s="542" t="s">
        <v>295</v>
      </c>
      <c r="J83" s="542" t="str">
        <f t="shared" ca="1" si="11"/>
        <v>5.54</v>
      </c>
      <c r="K83" s="522" t="s">
        <v>1215</v>
      </c>
      <c r="L83" s="523" t="s">
        <v>1171</v>
      </c>
      <c r="M83" s="543">
        <f ca="1">'TRANSP. DRENAGEM'!M28</f>
        <v>688417.9</v>
      </c>
      <c r="N83" s="587"/>
      <c r="O83" s="544"/>
      <c r="P83" s="545"/>
      <c r="Q83" s="546">
        <f t="shared" si="12"/>
        <v>0</v>
      </c>
      <c r="S83" s="576"/>
    </row>
    <row r="84" spans="1:30" s="502" customFormat="1" ht="28.8" x14ac:dyDescent="0.3">
      <c r="A84" s="485">
        <f t="shared" ca="1" si="13"/>
        <v>5</v>
      </c>
      <c r="B84" s="485">
        <f ca="1">IF(OR(C84=1,D84=1),SUMIF($A$9:A84,A84,$C$9:C84),"")</f>
        <v>55</v>
      </c>
      <c r="C84" s="485">
        <f t="shared" si="14"/>
        <v>1</v>
      </c>
      <c r="D84" s="486" t="str">
        <f t="shared" ca="1" si="3"/>
        <v/>
      </c>
      <c r="E84" s="487"/>
      <c r="F84" s="488"/>
      <c r="G84" s="520" t="s">
        <v>0</v>
      </c>
      <c r="H84" s="516">
        <v>93589</v>
      </c>
      <c r="I84" s="542" t="s">
        <v>295</v>
      </c>
      <c r="J84" s="542" t="str">
        <f t="shared" ca="1" si="11"/>
        <v>5.55</v>
      </c>
      <c r="K84" s="522" t="s">
        <v>1080</v>
      </c>
      <c r="L84" s="523" t="s">
        <v>1162</v>
      </c>
      <c r="M84" s="543">
        <f ca="1">'TRANSP. DRENAGEM'!M31</f>
        <v>17204.240000000002</v>
      </c>
      <c r="N84" s="587"/>
      <c r="O84" s="544"/>
      <c r="P84" s="545"/>
      <c r="Q84" s="546">
        <f t="shared" si="12"/>
        <v>0</v>
      </c>
    </row>
    <row r="85" spans="1:30" s="502" customFormat="1" ht="29.4" thickBot="1" x14ac:dyDescent="0.35">
      <c r="A85" s="485">
        <f t="shared" ca="1" si="13"/>
        <v>5</v>
      </c>
      <c r="B85" s="485">
        <f ca="1">IF(OR(C85=1,D85=1),SUMIF($A$9:A85,A85,$C$9:C85),"")</f>
        <v>56</v>
      </c>
      <c r="C85" s="485">
        <f t="shared" si="14"/>
        <v>1</v>
      </c>
      <c r="D85" s="486" t="str">
        <f t="shared" ca="1" si="3"/>
        <v/>
      </c>
      <c r="E85" s="487"/>
      <c r="F85" s="488"/>
      <c r="G85" s="577" t="s">
        <v>0</v>
      </c>
      <c r="H85" s="589">
        <v>95875</v>
      </c>
      <c r="I85" s="579" t="s">
        <v>295</v>
      </c>
      <c r="J85" s="579" t="str">
        <f t="shared" ca="1" si="11"/>
        <v>5.56</v>
      </c>
      <c r="K85" s="580" t="s">
        <v>1084</v>
      </c>
      <c r="L85" s="581" t="s">
        <v>1162</v>
      </c>
      <c r="M85" s="582">
        <f ca="1">'TRANSP. DRENAGEM'!M34</f>
        <v>42348.9</v>
      </c>
      <c r="N85" s="590"/>
      <c r="O85" s="584"/>
      <c r="P85" s="585"/>
      <c r="Q85" s="586">
        <f t="shared" si="12"/>
        <v>0</v>
      </c>
    </row>
    <row r="86" spans="1:30" s="502" customFormat="1" ht="16.2" thickBot="1" x14ac:dyDescent="0.35">
      <c r="A86" s="485">
        <f t="shared" ca="1" si="13"/>
        <v>5</v>
      </c>
      <c r="B86" s="485" t="str">
        <f>IF(OR(C86=1,D86=1),SUMIF($A$9:A86,A86,$C$9:C86),"")</f>
        <v/>
      </c>
      <c r="C86" s="485" t="str">
        <f t="shared" si="14"/>
        <v/>
      </c>
      <c r="D86" s="486" t="str">
        <f t="shared" si="3"/>
        <v/>
      </c>
      <c r="E86" s="487"/>
      <c r="F86" s="488"/>
      <c r="G86" s="489"/>
      <c r="H86" s="490"/>
      <c r="I86" s="491"/>
      <c r="J86" s="492" t="s">
        <v>329</v>
      </c>
      <c r="K86" s="493" t="s">
        <v>321</v>
      </c>
      <c r="L86" s="494"/>
      <c r="M86" s="495"/>
      <c r="N86" s="496"/>
      <c r="O86" s="497"/>
      <c r="P86" s="498"/>
      <c r="Q86" s="499">
        <f t="shared" si="12"/>
        <v>0</v>
      </c>
    </row>
    <row r="87" spans="1:30" s="502" customFormat="1" ht="16.2" thickBot="1" x14ac:dyDescent="0.35">
      <c r="A87" s="485">
        <f t="shared" ca="1" si="13"/>
        <v>5</v>
      </c>
      <c r="B87" s="485" t="str">
        <f>IF(OR(C87=1,D87=1),SUMIF($A$9:A87,A87,$C$9:C87),"")</f>
        <v/>
      </c>
      <c r="C87" s="485" t="str">
        <f t="shared" si="14"/>
        <v/>
      </c>
      <c r="D87" s="486" t="str">
        <f t="shared" si="3"/>
        <v/>
      </c>
      <c r="E87" s="487"/>
      <c r="F87" s="488"/>
      <c r="G87" s="489"/>
      <c r="H87" s="490"/>
      <c r="I87" s="491"/>
      <c r="J87" s="492"/>
      <c r="K87" s="493" t="s">
        <v>322</v>
      </c>
      <c r="L87" s="494"/>
      <c r="M87" s="495"/>
      <c r="N87" s="496"/>
      <c r="O87" s="497"/>
      <c r="P87" s="498"/>
      <c r="Q87" s="499"/>
    </row>
    <row r="88" spans="1:30" s="502" customFormat="1" ht="28.8" x14ac:dyDescent="0.3">
      <c r="A88" s="485">
        <f t="shared" ca="1" si="13"/>
        <v>5</v>
      </c>
      <c r="B88" s="485">
        <f ca="1">IF(OR(C88=1,D88=1),SUMIF($A$9:A88,A88,$C$9:C88),"")</f>
        <v>57</v>
      </c>
      <c r="C88" s="485">
        <f t="shared" si="14"/>
        <v>1</v>
      </c>
      <c r="D88" s="486" t="str">
        <f t="shared" si="3"/>
        <v/>
      </c>
      <c r="E88" s="487"/>
      <c r="F88" s="488"/>
      <c r="G88" s="520" t="s">
        <v>2</v>
      </c>
      <c r="H88" s="516">
        <v>5213444</v>
      </c>
      <c r="I88" s="542" t="s">
        <v>295</v>
      </c>
      <c r="J88" s="542" t="str">
        <f t="shared" ref="J88:J93" ca="1" si="15">IFERROR(IF(B88&lt;&gt;"",A88&amp;"."&amp;B88,""),"S/Nº")</f>
        <v>5.57</v>
      </c>
      <c r="K88" s="522" t="s">
        <v>1216</v>
      </c>
      <c r="L88" s="523" t="s">
        <v>11</v>
      </c>
      <c r="M88" s="543">
        <f>'SIN. VERTICAL'!$C$45</f>
        <v>65</v>
      </c>
      <c r="N88" s="587"/>
      <c r="O88" s="544"/>
      <c r="P88" s="545"/>
      <c r="Q88" s="546">
        <f t="shared" ref="Q88:Q93" si="16">IF(P88&gt;0,P88/$P$99,0)</f>
        <v>0</v>
      </c>
      <c r="S88" s="547"/>
    </row>
    <row r="89" spans="1:30" s="502" customFormat="1" ht="28.8" x14ac:dyDescent="0.3">
      <c r="A89" s="485">
        <f t="shared" ca="1" si="13"/>
        <v>5</v>
      </c>
      <c r="B89" s="485">
        <f ca="1">IF(OR(C89=1,D89=1),SUMIF($A$9:A89,A89,$C$9:C89),"")</f>
        <v>58</v>
      </c>
      <c r="C89" s="485">
        <f t="shared" si="14"/>
        <v>1</v>
      </c>
      <c r="D89" s="486" t="str">
        <f t="shared" si="3"/>
        <v/>
      </c>
      <c r="E89" s="487"/>
      <c r="F89" s="488"/>
      <c r="G89" s="520" t="s">
        <v>2</v>
      </c>
      <c r="H89" s="516">
        <v>5213440</v>
      </c>
      <c r="I89" s="542" t="s">
        <v>295</v>
      </c>
      <c r="J89" s="542" t="str">
        <f t="shared" ca="1" si="15"/>
        <v>5.58</v>
      </c>
      <c r="K89" s="522" t="s">
        <v>1217</v>
      </c>
      <c r="L89" s="523" t="s">
        <v>11</v>
      </c>
      <c r="M89" s="543">
        <f>'SIN. VERTICAL'!$D$45</f>
        <v>60</v>
      </c>
      <c r="N89" s="587"/>
      <c r="O89" s="544"/>
      <c r="P89" s="545"/>
      <c r="Q89" s="546">
        <f t="shared" si="16"/>
        <v>0</v>
      </c>
      <c r="S89" s="547"/>
    </row>
    <row r="90" spans="1:30" s="502" customFormat="1" ht="28.8" x14ac:dyDescent="0.3">
      <c r="A90" s="485">
        <f t="shared" ca="1" si="13"/>
        <v>5</v>
      </c>
      <c r="B90" s="485">
        <f ca="1">IF(OR(C90=1,D90=1),SUMIF($A$9:A90,A90,$C$9:C90),"")</f>
        <v>59</v>
      </c>
      <c r="C90" s="485">
        <f t="shared" si="14"/>
        <v>1</v>
      </c>
      <c r="D90" s="486" t="str">
        <f t="shared" si="3"/>
        <v/>
      </c>
      <c r="E90" s="487"/>
      <c r="F90" s="488"/>
      <c r="G90" s="520" t="s">
        <v>2</v>
      </c>
      <c r="H90" s="516">
        <v>5213464</v>
      </c>
      <c r="I90" s="542" t="s">
        <v>295</v>
      </c>
      <c r="J90" s="542" t="str">
        <f t="shared" ca="1" si="15"/>
        <v>5.59</v>
      </c>
      <c r="K90" s="522" t="s">
        <v>1218</v>
      </c>
      <c r="L90" s="523" t="s">
        <v>11</v>
      </c>
      <c r="M90" s="543">
        <f>'SIN. VERTICAL'!$E$45</f>
        <v>11</v>
      </c>
      <c r="N90" s="587"/>
      <c r="O90" s="544"/>
      <c r="P90" s="545"/>
      <c r="Q90" s="546">
        <f t="shared" si="16"/>
        <v>0</v>
      </c>
    </row>
    <row r="91" spans="1:30" s="502" customFormat="1" ht="28.8" x14ac:dyDescent="0.3">
      <c r="A91" s="485">
        <f t="shared" ca="1" si="13"/>
        <v>5</v>
      </c>
      <c r="B91" s="485">
        <f ca="1">IF(OR(C91=1,D91=1),SUMIF($A$9:A91,A91,$C$9:C91),"")</f>
        <v>60</v>
      </c>
      <c r="C91" s="485">
        <f t="shared" si="14"/>
        <v>1</v>
      </c>
      <c r="D91" s="486" t="str">
        <f t="shared" si="3"/>
        <v/>
      </c>
      <c r="E91" s="487"/>
      <c r="F91" s="488"/>
      <c r="G91" s="520" t="s">
        <v>2</v>
      </c>
      <c r="H91" s="516">
        <v>5213855</v>
      </c>
      <c r="I91" s="542" t="s">
        <v>295</v>
      </c>
      <c r="J91" s="542" t="str">
        <f t="shared" ca="1" si="15"/>
        <v>5.60</v>
      </c>
      <c r="K91" s="522" t="s">
        <v>1219</v>
      </c>
      <c r="L91" s="523" t="s">
        <v>11</v>
      </c>
      <c r="M91" s="543">
        <f>'SIN. VERTICAL'!$C$45</f>
        <v>65</v>
      </c>
      <c r="N91" s="587"/>
      <c r="O91" s="544"/>
      <c r="P91" s="545"/>
      <c r="Q91" s="546">
        <f t="shared" si="16"/>
        <v>0</v>
      </c>
      <c r="T91" s="591"/>
      <c r="U91" s="592"/>
      <c r="W91" s="593"/>
      <c r="X91" s="594"/>
      <c r="Y91" s="595"/>
      <c r="Z91" s="596"/>
      <c r="AA91" s="597"/>
      <c r="AB91" s="598"/>
      <c r="AC91" s="599"/>
      <c r="AD91" s="600"/>
    </row>
    <row r="92" spans="1:30" s="502" customFormat="1" ht="43.2" x14ac:dyDescent="0.3">
      <c r="A92" s="485">
        <f t="shared" ca="1" si="13"/>
        <v>5</v>
      </c>
      <c r="B92" s="485">
        <f ca="1">IF(OR(C92=1,D92=1),SUMIF($A$9:A92,A92,$C$9:C92),"")</f>
        <v>61</v>
      </c>
      <c r="C92" s="485">
        <f t="shared" si="14"/>
        <v>1</v>
      </c>
      <c r="D92" s="486" t="str">
        <f t="shared" si="3"/>
        <v/>
      </c>
      <c r="E92" s="487"/>
      <c r="F92" s="488"/>
      <c r="G92" s="520" t="s">
        <v>2</v>
      </c>
      <c r="H92" s="516">
        <v>5213863</v>
      </c>
      <c r="I92" s="542" t="s">
        <v>295</v>
      </c>
      <c r="J92" s="542" t="str">
        <f t="shared" ca="1" si="15"/>
        <v>5.61</v>
      </c>
      <c r="K92" s="522" t="s">
        <v>1220</v>
      </c>
      <c r="L92" s="523" t="s">
        <v>11</v>
      </c>
      <c r="M92" s="543">
        <f>'SIN. VERTICAL'!$D$45+'SIN. VERTICAL'!$E$45</f>
        <v>71</v>
      </c>
      <c r="N92" s="587"/>
      <c r="O92" s="544"/>
      <c r="P92" s="545"/>
      <c r="Q92" s="546">
        <f t="shared" si="16"/>
        <v>0</v>
      </c>
      <c r="T92" s="601"/>
      <c r="U92" s="602"/>
      <c r="W92" s="601"/>
      <c r="X92" s="603"/>
      <c r="Y92" s="604"/>
      <c r="Z92" s="605"/>
      <c r="AA92" s="606"/>
      <c r="AB92" s="607"/>
      <c r="AC92" s="608"/>
      <c r="AD92" s="609"/>
    </row>
    <row r="93" spans="1:30" s="502" customFormat="1" ht="33" customHeight="1" x14ac:dyDescent="0.3">
      <c r="A93" s="485">
        <f t="shared" ca="1" si="13"/>
        <v>5</v>
      </c>
      <c r="B93" s="485">
        <f ca="1">IF(OR(C93=1,D93=1),SUMIF($A$9:A93,A93,$C$9:C93),"")</f>
        <v>62</v>
      </c>
      <c r="C93" s="485">
        <f t="shared" si="14"/>
        <v>1</v>
      </c>
      <c r="D93" s="486" t="str">
        <f t="shared" si="3"/>
        <v/>
      </c>
      <c r="E93" s="487"/>
      <c r="F93" s="488"/>
      <c r="G93" s="520" t="s">
        <v>14</v>
      </c>
      <c r="H93" s="516" t="str">
        <f>'CPAV008-PLACA RUA'!A7</f>
        <v>CPAV008</v>
      </c>
      <c r="I93" s="542" t="s">
        <v>295</v>
      </c>
      <c r="J93" s="542" t="str">
        <f t="shared" ca="1" si="15"/>
        <v>5.62</v>
      </c>
      <c r="K93" s="558" t="s">
        <v>156</v>
      </c>
      <c r="L93" s="559" t="s">
        <v>11</v>
      </c>
      <c r="M93" s="543">
        <f>'SIN. VERTICAL'!$F$45</f>
        <v>61</v>
      </c>
      <c r="N93" s="588"/>
      <c r="O93" s="544"/>
      <c r="P93" s="545"/>
      <c r="Q93" s="546">
        <f t="shared" si="16"/>
        <v>0</v>
      </c>
    </row>
    <row r="94" spans="1:30" s="502" customFormat="1" ht="16.5" thickBot="1" x14ac:dyDescent="0.3">
      <c r="A94" s="485">
        <f t="shared" ca="1" si="13"/>
        <v>5</v>
      </c>
      <c r="B94" s="485" t="str">
        <f>IF(OR(C94=1,D94=1),SUMIF($A$9:A94,A94,$C$9:C94),"")</f>
        <v/>
      </c>
      <c r="C94" s="485" t="str">
        <f t="shared" si="14"/>
        <v/>
      </c>
      <c r="D94" s="486" t="str">
        <f t="shared" ref="D94:D98" si="17">IF(AND(CONCATENATE(K94,L94,M94,N94,O94,P94,R94)=K94&amp;P94&amp;R94,CONCATENATE(K94,L94,M94,N94,O94,P94,R94)&lt;&gt;"",P94&lt;&gt;""),1,"")</f>
        <v/>
      </c>
      <c r="E94" s="487"/>
      <c r="F94" s="488"/>
      <c r="G94" s="610"/>
      <c r="H94" s="611"/>
      <c r="I94" s="612"/>
      <c r="J94" s="612"/>
      <c r="K94" s="613"/>
      <c r="L94" s="614"/>
      <c r="M94" s="615"/>
      <c r="N94" s="616"/>
      <c r="O94" s="607"/>
      <c r="P94" s="617"/>
      <c r="Q94" s="618"/>
    </row>
    <row r="95" spans="1:30" s="502" customFormat="1" ht="16.2" thickBot="1" x14ac:dyDescent="0.35">
      <c r="A95" s="485">
        <f t="shared" ca="1" si="13"/>
        <v>5</v>
      </c>
      <c r="B95" s="485" t="str">
        <f>IF(OR(C95=1,D95=1),SUMIF($A$9:A95,A95,$C$9:C95),"")</f>
        <v/>
      </c>
      <c r="C95" s="485" t="str">
        <f t="shared" si="14"/>
        <v/>
      </c>
      <c r="D95" s="486" t="str">
        <f t="shared" si="17"/>
        <v/>
      </c>
      <c r="E95" s="487"/>
      <c r="F95" s="488"/>
      <c r="G95" s="489"/>
      <c r="H95" s="490"/>
      <c r="I95" s="491"/>
      <c r="J95" s="492" t="s">
        <v>330</v>
      </c>
      <c r="K95" s="493" t="s">
        <v>323</v>
      </c>
      <c r="L95" s="494"/>
      <c r="M95" s="495"/>
      <c r="N95" s="496"/>
      <c r="O95" s="497"/>
      <c r="P95" s="498"/>
      <c r="Q95" s="499"/>
    </row>
    <row r="96" spans="1:30" s="502" customFormat="1" ht="43.2" x14ac:dyDescent="0.3">
      <c r="A96" s="485">
        <f t="shared" ca="1" si="13"/>
        <v>5</v>
      </c>
      <c r="B96" s="485">
        <f ca="1">IF(OR(C96=1,D96=1),SUMIF($A$9:A96,A96,$C$9:C96),"")</f>
        <v>63</v>
      </c>
      <c r="C96" s="485">
        <f t="shared" si="14"/>
        <v>1</v>
      </c>
      <c r="D96" s="486" t="str">
        <f t="shared" si="17"/>
        <v/>
      </c>
      <c r="E96" s="487"/>
      <c r="F96" s="488"/>
      <c r="G96" s="520" t="s">
        <v>0</v>
      </c>
      <c r="H96" s="516">
        <v>102512</v>
      </c>
      <c r="I96" s="542" t="s">
        <v>295</v>
      </c>
      <c r="J96" s="542" t="str">
        <f t="shared" ref="J96:J98" ca="1" si="18">IFERROR(IF(B96&lt;&gt;"",A96&amp;"."&amp;B96,""),"S/Nº")</f>
        <v>5.63</v>
      </c>
      <c r="K96" s="522" t="s">
        <v>1221</v>
      </c>
      <c r="L96" s="523" t="s">
        <v>611</v>
      </c>
      <c r="M96" s="543">
        <f>'SIN. HORIZONTAL '!E51</f>
        <v>13637.88</v>
      </c>
      <c r="N96" s="587">
        <v>6.63</v>
      </c>
      <c r="O96" s="544">
        <f t="shared" ref="O96:O98" si="19">IFERROR(TRUNC(IF(I96="SERVIÇO",(1+$P$3)*$N96,(1+$P$4)*$N96),2),"0,00")</f>
        <v>8.02</v>
      </c>
      <c r="P96" s="545">
        <f t="shared" ref="P96:P98" si="20">TRUNC(O96*M96,2)</f>
        <v>109375.79</v>
      </c>
      <c r="Q96" s="546">
        <f>IF(P96&gt;0,P96/$P$99,0)</f>
        <v>1.6649476666012617</v>
      </c>
      <c r="AC96" s="514"/>
    </row>
    <row r="97" spans="1:29" s="502" customFormat="1" ht="43.2" x14ac:dyDescent="0.3">
      <c r="A97" s="485">
        <f t="shared" ca="1" si="13"/>
        <v>5</v>
      </c>
      <c r="B97" s="485">
        <f ca="1">IF(OR(C97=1,D97=1),SUMIF($A$9:A97,A97,$C$9:C97),"")</f>
        <v>64</v>
      </c>
      <c r="C97" s="485">
        <f t="shared" si="14"/>
        <v>1</v>
      </c>
      <c r="D97" s="486" t="str">
        <f t="shared" si="17"/>
        <v/>
      </c>
      <c r="E97" s="487"/>
      <c r="F97" s="488"/>
      <c r="G97" s="520" t="s">
        <v>0</v>
      </c>
      <c r="H97" s="516">
        <v>102509</v>
      </c>
      <c r="I97" s="542" t="s">
        <v>295</v>
      </c>
      <c r="J97" s="542" t="str">
        <f t="shared" ca="1" si="18"/>
        <v>5.64</v>
      </c>
      <c r="K97" s="522" t="s">
        <v>1222</v>
      </c>
      <c r="L97" s="523" t="s">
        <v>32</v>
      </c>
      <c r="M97" s="543">
        <f>'SIN. HORIZONTAL '!E52</f>
        <v>276.07</v>
      </c>
      <c r="N97" s="587">
        <v>32.57</v>
      </c>
      <c r="O97" s="544">
        <f t="shared" si="19"/>
        <v>39.409999999999997</v>
      </c>
      <c r="P97" s="545">
        <f t="shared" si="20"/>
        <v>10879.91</v>
      </c>
      <c r="Q97" s="546">
        <f>IF(P97&gt;0,P97/$P$99,0)</f>
        <v>0.16561691364543957</v>
      </c>
      <c r="AC97" s="514"/>
    </row>
    <row r="98" spans="1:29" s="502" customFormat="1" ht="28.8" x14ac:dyDescent="0.3">
      <c r="A98" s="485">
        <f t="shared" ca="1" si="13"/>
        <v>5</v>
      </c>
      <c r="B98" s="485">
        <f ca="1">IF(OR(C98=1,D98=1),SUMIF($A$9:A98,A98,$C$9:C98),"")</f>
        <v>65</v>
      </c>
      <c r="C98" s="485">
        <f t="shared" si="14"/>
        <v>1</v>
      </c>
      <c r="D98" s="486" t="str">
        <f t="shared" si="17"/>
        <v/>
      </c>
      <c r="E98" s="487"/>
      <c r="F98" s="488"/>
      <c r="G98" s="520" t="s">
        <v>0</v>
      </c>
      <c r="H98" s="516">
        <v>102513</v>
      </c>
      <c r="I98" s="542" t="s">
        <v>295</v>
      </c>
      <c r="J98" s="542" t="str">
        <f t="shared" ca="1" si="18"/>
        <v>5.65</v>
      </c>
      <c r="K98" s="522" t="s">
        <v>1223</v>
      </c>
      <c r="L98" s="523" t="s">
        <v>32</v>
      </c>
      <c r="M98" s="543">
        <f>'SIN. HORIZONTAL '!E53</f>
        <v>178.75</v>
      </c>
      <c r="N98" s="587">
        <v>51.46</v>
      </c>
      <c r="O98" s="544">
        <f t="shared" si="19"/>
        <v>62.27</v>
      </c>
      <c r="P98" s="545">
        <f t="shared" si="20"/>
        <v>11130.76</v>
      </c>
      <c r="Q98" s="546">
        <f>IF(P98&gt;0,P98/$P$99,0)</f>
        <v>0.16943541975329879</v>
      </c>
      <c r="AC98" s="514"/>
    </row>
    <row r="99" spans="1:29" ht="30" customHeight="1" x14ac:dyDescent="0.3">
      <c r="E99" s="619"/>
      <c r="F99" s="620"/>
      <c r="G99" s="621"/>
      <c r="H99" s="622"/>
      <c r="I99" s="622"/>
      <c r="J99" s="622"/>
      <c r="K99" s="622"/>
      <c r="L99" s="622"/>
      <c r="M99" s="622"/>
      <c r="N99" s="622"/>
      <c r="O99" s="623" t="s">
        <v>324</v>
      </c>
      <c r="P99" s="624">
        <f>SUM(P9:P98)/2</f>
        <v>65693.23</v>
      </c>
      <c r="Q99" s="625">
        <f>IF(P99&gt;0,P99/$P$99,0)</f>
        <v>1</v>
      </c>
    </row>
  </sheetData>
  <mergeCells count="19">
    <mergeCell ref="N1:O1"/>
    <mergeCell ref="P1:Q1"/>
    <mergeCell ref="N2:O2"/>
    <mergeCell ref="P2:Q2"/>
    <mergeCell ref="R2:R4"/>
    <mergeCell ref="N3:O3"/>
    <mergeCell ref="P3:Q3"/>
    <mergeCell ref="N4:O4"/>
    <mergeCell ref="P4:Q4"/>
    <mergeCell ref="N5:O5"/>
    <mergeCell ref="P5:Q5"/>
    <mergeCell ref="G7:G8"/>
    <mergeCell ref="H7:H8"/>
    <mergeCell ref="I7:I8"/>
    <mergeCell ref="J7:J8"/>
    <mergeCell ref="K7:K8"/>
    <mergeCell ref="L7:L8"/>
    <mergeCell ref="M7:M8"/>
    <mergeCell ref="N7:Q7"/>
  </mergeCells>
  <conditionalFormatting sqref="G6:Q11 G30:Q37 G22:Q25 G39:Q43 I12:Q12 G12 G27:Q27 G13:Q19 G48:Q48 I44:Q47 G86:Q1048576 J54:Q80 J85:M85 J49:Q51 M81:M84 O85:Q85 J81:L83 O81:Q83 N81:N85">
    <cfRule type="expression" dxfId="60" priority="48">
      <formula>$K6="VERIFICAR CÓDIGO"</formula>
    </cfRule>
  </conditionalFormatting>
  <conditionalFormatting sqref="G29:Q29">
    <cfRule type="expression" dxfId="59" priority="47">
      <formula>$K29="VERIFICAR CÓDIGO"</formula>
    </cfRule>
  </conditionalFormatting>
  <conditionalFormatting sqref="J84:M84 O84:Q84">
    <cfRule type="expression" dxfId="58" priority="46">
      <formula>$K84="VERIFICAR CÓDIGO"</formula>
    </cfRule>
  </conditionalFormatting>
  <conditionalFormatting sqref="J52:Q53">
    <cfRule type="expression" dxfId="57" priority="45">
      <formula>$K52="VERIFICAR CÓDIGO"</formula>
    </cfRule>
  </conditionalFormatting>
  <conditionalFormatting sqref="L1:Q4 H1:H3">
    <cfRule type="expression" dxfId="56" priority="49">
      <formula>$H1="VERIFICAR CÓDIGO"</formula>
    </cfRule>
  </conditionalFormatting>
  <conditionalFormatting sqref="G20:Q20">
    <cfRule type="expression" dxfId="55" priority="44">
      <formula>$K20="VERIFICAR CÓDIGO"</formula>
    </cfRule>
  </conditionalFormatting>
  <conditionalFormatting sqref="G26:Q26">
    <cfRule type="expression" dxfId="54" priority="43">
      <formula>$K26="VERIFICAR CÓDIGO"</formula>
    </cfRule>
  </conditionalFormatting>
  <conditionalFormatting sqref="G21:Q21">
    <cfRule type="expression" dxfId="53" priority="42">
      <formula>$K21="VERIFICAR CÓDIGO"</formula>
    </cfRule>
  </conditionalFormatting>
  <conditionalFormatting sqref="G28:Q28">
    <cfRule type="expression" dxfId="52" priority="41">
      <formula>$K28="VERIFICAR CÓDIGO"</formula>
    </cfRule>
  </conditionalFormatting>
  <conditionalFormatting sqref="G38:Q38">
    <cfRule type="expression" dxfId="51" priority="40">
      <formula>$K38="VERIFICAR CÓDIGO"</formula>
    </cfRule>
  </conditionalFormatting>
  <conditionalFormatting sqref="L5:Q5">
    <cfRule type="expression" dxfId="50" priority="39">
      <formula>$H5="VERIFICAR CÓDIGO"</formula>
    </cfRule>
  </conditionalFormatting>
  <conditionalFormatting sqref="H12">
    <cfRule type="expression" dxfId="49" priority="38">
      <formula>$K12="VERIFICAR CÓDIGO"</formula>
    </cfRule>
  </conditionalFormatting>
  <conditionalFormatting sqref="F13">
    <cfRule type="expression" dxfId="48" priority="37">
      <formula>$K13="VERIFICAR CÓDIGO"</formula>
    </cfRule>
  </conditionalFormatting>
  <conditionalFormatting sqref="H4">
    <cfRule type="expression" dxfId="47" priority="36">
      <formula>$H4="VERIFICAR CÓDIGO"</formula>
    </cfRule>
  </conditionalFormatting>
  <conditionalFormatting sqref="H5">
    <cfRule type="expression" dxfId="46" priority="35">
      <formula>$H5="VERIFICAR CÓDIGO"</formula>
    </cfRule>
  </conditionalFormatting>
  <conditionalFormatting sqref="G44:H45">
    <cfRule type="expression" dxfId="45" priority="34">
      <formula>$K44="VERIFICAR CÓDIGO"</formula>
    </cfRule>
  </conditionalFormatting>
  <conditionalFormatting sqref="G46:G47">
    <cfRule type="expression" dxfId="44" priority="33">
      <formula>$K46="VERIFICAR CÓDIGO"</formula>
    </cfRule>
  </conditionalFormatting>
  <conditionalFormatting sqref="H46:H47">
    <cfRule type="expression" dxfId="43" priority="32">
      <formula>$K46="VERIFICAR CÓDIGO"</formula>
    </cfRule>
  </conditionalFormatting>
  <conditionalFormatting sqref="G51:I51 G57:I57 G61:I62 G72:I74 G53:I54 G49:I49 G76:I77">
    <cfRule type="expression" dxfId="42" priority="31">
      <formula>$K49="VERIFICAR CÓDIGO"</formula>
    </cfRule>
  </conditionalFormatting>
  <conditionalFormatting sqref="G81:I81">
    <cfRule type="expression" dxfId="41" priority="30">
      <formula>$K81="VERIFICAR CÓDIGO"</formula>
    </cfRule>
  </conditionalFormatting>
  <conditionalFormatting sqref="G50:I50">
    <cfRule type="expression" dxfId="40" priority="29">
      <formula>$K50="VERIFICAR CÓDIGO"</formula>
    </cfRule>
  </conditionalFormatting>
  <conditionalFormatting sqref="G52:I52">
    <cfRule type="expression" dxfId="39" priority="28">
      <formula>$K52="VERIFICAR CÓDIGO"</formula>
    </cfRule>
  </conditionalFormatting>
  <conditionalFormatting sqref="G56:I56">
    <cfRule type="expression" dxfId="38" priority="27">
      <formula>$K56="VERIFICAR CÓDIGO"</formula>
    </cfRule>
  </conditionalFormatting>
  <conditionalFormatting sqref="G55:I55">
    <cfRule type="expression" dxfId="37" priority="26">
      <formula>$K55="VERIFICAR CÓDIGO"</formula>
    </cfRule>
  </conditionalFormatting>
  <conditionalFormatting sqref="G58:I58">
    <cfRule type="expression" dxfId="36" priority="25">
      <formula>$K58="VERIFICAR CÓDIGO"</formula>
    </cfRule>
  </conditionalFormatting>
  <conditionalFormatting sqref="I64">
    <cfRule type="expression" dxfId="35" priority="24">
      <formula>$K64="VERIFICAR CÓDIGO"</formula>
    </cfRule>
  </conditionalFormatting>
  <conditionalFormatting sqref="G64:H64">
    <cfRule type="expression" dxfId="34" priority="23">
      <formula>$K64="VERIFICAR CÓDIGO"</formula>
    </cfRule>
  </conditionalFormatting>
  <conditionalFormatting sqref="I63">
    <cfRule type="expression" dxfId="33" priority="22">
      <formula>$K63="VERIFICAR CÓDIGO"</formula>
    </cfRule>
  </conditionalFormatting>
  <conditionalFormatting sqref="G63:H63">
    <cfRule type="expression" dxfId="32" priority="21">
      <formula>$K63="VERIFICAR CÓDIGO"</formula>
    </cfRule>
  </conditionalFormatting>
  <conditionalFormatting sqref="G71:I71">
    <cfRule type="expression" dxfId="31" priority="20">
      <formula>$K71="VERIFICAR CÓDIGO"</formula>
    </cfRule>
  </conditionalFormatting>
  <conditionalFormatting sqref="H75:I75">
    <cfRule type="expression" dxfId="30" priority="19">
      <formula>$K75="VERIFICAR CÓDIGO"</formula>
    </cfRule>
  </conditionalFormatting>
  <conditionalFormatting sqref="G75">
    <cfRule type="expression" dxfId="29" priority="18">
      <formula>$K75="VERIFICAR CÓDIGO"</formula>
    </cfRule>
  </conditionalFormatting>
  <conditionalFormatting sqref="G67:I67">
    <cfRule type="expression" dxfId="28" priority="17">
      <formula>$K67="VERIFICAR CÓDIGO"</formula>
    </cfRule>
  </conditionalFormatting>
  <conditionalFormatting sqref="G68:I68">
    <cfRule type="expression" dxfId="27" priority="16">
      <formula>$K68="VERIFICAR CÓDIGO"</formula>
    </cfRule>
  </conditionalFormatting>
  <conditionalFormatting sqref="G60:I60">
    <cfRule type="expression" dxfId="26" priority="15">
      <formula>$K60="VERIFICAR CÓDIGO"</formula>
    </cfRule>
  </conditionalFormatting>
  <conditionalFormatting sqref="G59:I59">
    <cfRule type="expression" dxfId="25" priority="14">
      <formula>$K59="VERIFICAR CÓDIGO"</formula>
    </cfRule>
  </conditionalFormatting>
  <conditionalFormatting sqref="I66">
    <cfRule type="expression" dxfId="24" priority="13">
      <formula>$K66="VERIFICAR CÓDIGO"</formula>
    </cfRule>
  </conditionalFormatting>
  <conditionalFormatting sqref="G66:H66">
    <cfRule type="expression" dxfId="23" priority="12">
      <formula>$K66="VERIFICAR CÓDIGO"</formula>
    </cfRule>
  </conditionalFormatting>
  <conditionalFormatting sqref="I65">
    <cfRule type="expression" dxfId="22" priority="11">
      <formula>$K65="VERIFICAR CÓDIGO"</formula>
    </cfRule>
  </conditionalFormatting>
  <conditionalFormatting sqref="G65:H65">
    <cfRule type="expression" dxfId="21" priority="10">
      <formula>$K65="VERIFICAR CÓDIGO"</formula>
    </cfRule>
  </conditionalFormatting>
  <conditionalFormatting sqref="G69:I69">
    <cfRule type="expression" dxfId="20" priority="9">
      <formula>$K69="VERIFICAR CÓDIGO"</formula>
    </cfRule>
  </conditionalFormatting>
  <conditionalFormatting sqref="G70:I70">
    <cfRule type="expression" dxfId="19" priority="8">
      <formula>$K70="VERIFICAR CÓDIGO"</formula>
    </cfRule>
  </conditionalFormatting>
  <conditionalFormatting sqref="G78:I78">
    <cfRule type="expression" dxfId="18" priority="7">
      <formula>$K78="VERIFICAR CÓDIGO"</formula>
    </cfRule>
  </conditionalFormatting>
  <conditionalFormatting sqref="G79:I79">
    <cfRule type="expression" dxfId="17" priority="6">
      <formula>$K79="VERIFICAR CÓDIGO"</formula>
    </cfRule>
  </conditionalFormatting>
  <conditionalFormatting sqref="G80:I80">
    <cfRule type="expression" dxfId="16" priority="5">
      <formula>$K80="VERIFICAR CÓDIGO"</formula>
    </cfRule>
  </conditionalFormatting>
  <conditionalFormatting sqref="G82:I82">
    <cfRule type="expression" dxfId="15" priority="4">
      <formula>$K82="VERIFICAR CÓDIGO"</formula>
    </cfRule>
  </conditionalFormatting>
  <conditionalFormatting sqref="G83:I83">
    <cfRule type="expression" dxfId="14" priority="3">
      <formula>$K83="VERIFICAR CÓDIGO"</formula>
    </cfRule>
  </conditionalFormatting>
  <conditionalFormatting sqref="G84:I84">
    <cfRule type="expression" dxfId="13" priority="2">
      <formula>$K84="VERIFICAR CÓDIGO"</formula>
    </cfRule>
  </conditionalFormatting>
  <conditionalFormatting sqref="G85:I85">
    <cfRule type="expression" dxfId="12" priority="1">
      <formula>$K85="VERIFICAR CÓDIGO"</formula>
    </cfRule>
  </conditionalFormatting>
  <dataValidations count="6">
    <dataValidation type="list" allowBlank="1" showInputMessage="1" showErrorMessage="1" sqref="G63:G66">
      <formula1>$V$3:$V$8</formula1>
    </dataValidation>
    <dataValidation type="list" allowBlank="1" showInputMessage="1" showErrorMessage="1" sqref="G44:G47 G49:G62 G67:G85">
      <formula1>$V$3:$V$10</formula1>
    </dataValidation>
    <dataValidation type="list" allowBlank="1" showInputMessage="1" showErrorMessage="1" sqref="G15:G16 G34:G41 G96:G98 G10 G25:G29 G18:G22 G88:G94 G31:G32 G12:G13">
      <formula1>$V$3:$V$11</formula1>
    </dataValidation>
    <dataValidation type="list" allowBlank="1" showInputMessage="1" showErrorMessage="1" sqref="P2:Q2">
      <formula1>$T$1:$T$2</formula1>
    </dataValidation>
    <dataValidation type="list" allowBlank="1" showInputMessage="1" showErrorMessage="1" sqref="I10 I96:I98 I31:I32 I44:I47 I34:I41 I25:I29 I15:I16 I18:I22 I12:I13 I88:I94 I49:I85">
      <formula1>$V$1:$V$2</formula1>
    </dataValidation>
    <dataValidation type="list" allowBlank="1" showInputMessage="1" showErrorMessage="1" sqref="R2:R5">
      <formula1>#REF!</formula1>
    </dataValidation>
  </dataValidations>
  <printOptions horizontalCentered="1"/>
  <pageMargins left="0.59055118110236227" right="0.59055118110236227" top="1.6141732283464567" bottom="0.78740157480314965" header="0" footer="0"/>
  <pageSetup paperSize="9" scale="56" firstPageNumber="25" fitToHeight="0" orientation="landscape" r:id="rId1"/>
  <headerFooter scaleWithDoc="0">
    <oddHeader>&amp;L&amp;G</oddHeader>
  </headerFooter>
  <rowBreaks count="5" manualBreakCount="5">
    <brk id="29" min="6" max="16" man="1"/>
    <brk id="47" min="6" max="16" man="1"/>
    <brk id="59" min="6" max="16" man="1"/>
    <brk id="76" min="6" max="16" man="1"/>
    <brk id="85" min="6" max="16" man="1"/>
  </rowBreaks>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tabColor theme="9" tint="-0.249977111117893"/>
    <pageSetUpPr fitToPage="1"/>
  </sheetPr>
  <dimension ref="B1:IF28"/>
  <sheetViews>
    <sheetView showGridLines="0" view="pageBreakPreview" topLeftCell="C4" zoomScale="85" zoomScaleNormal="70" zoomScaleSheetLayoutView="85" workbookViewId="0">
      <selection activeCell="O30" sqref="O30"/>
    </sheetView>
  </sheetViews>
  <sheetFormatPr defaultColWidth="9.109375" defaultRowHeight="13.8" x14ac:dyDescent="0.25"/>
  <cols>
    <col min="1" max="1" width="9.109375" style="411"/>
    <col min="2" max="2" width="21.44140625" style="411" bestFit="1" customWidth="1"/>
    <col min="3" max="3" width="46.109375" style="411" customWidth="1"/>
    <col min="4" max="4" width="14.109375" style="411" customWidth="1"/>
    <col min="5" max="5" width="23.44140625" style="411" customWidth="1"/>
    <col min="6" max="13" width="17" style="411" customWidth="1"/>
    <col min="14" max="14" width="9.109375" style="411"/>
    <col min="15" max="15" width="15.6640625" style="411" customWidth="1"/>
    <col min="16" max="16" width="15" style="411" bestFit="1" customWidth="1"/>
    <col min="17" max="17" width="13.6640625" style="411" customWidth="1"/>
    <col min="18" max="18" width="13.88671875" style="411" bestFit="1" customWidth="1"/>
    <col min="19" max="16384" width="9.109375" style="411"/>
  </cols>
  <sheetData>
    <row r="1" spans="2:17" ht="20.100000000000001" customHeight="1" x14ac:dyDescent="0.2">
      <c r="B1" s="1" t="str">
        <f>ÍNDICE!$A$1</f>
        <v>OBJETO:</v>
      </c>
      <c r="C1" s="2" t="str">
        <f>VLOOKUP(B1,ÍNDICE!A:G,2,FALSE)</f>
        <v>PAVIMENTAÇÃO ASFÁLTICA E DRENAGEM</v>
      </c>
      <c r="D1" s="409"/>
      <c r="E1" s="409"/>
      <c r="F1" s="628"/>
      <c r="G1" s="628"/>
      <c r="H1" s="628"/>
      <c r="I1" s="628"/>
      <c r="J1" s="628"/>
      <c r="K1" s="628"/>
      <c r="L1" s="629"/>
      <c r="M1" s="630"/>
    </row>
    <row r="2" spans="2:17" ht="20.100000000000001" customHeight="1" x14ac:dyDescent="0.2">
      <c r="B2" s="8" t="str">
        <f>ÍNDICE!$A$2</f>
        <v>CONTRATANTE:</v>
      </c>
      <c r="C2" s="298" t="str">
        <f>VLOOKUP(B2,ÍNDICE!A:G,2,FALSE)</f>
        <v>PREFEITURA MUNICIPAL DE CANARANA</v>
      </c>
      <c r="F2" s="631"/>
      <c r="G2" s="631"/>
      <c r="H2" s="631"/>
      <c r="I2" s="631"/>
      <c r="J2" s="631"/>
      <c r="K2" s="631"/>
      <c r="L2" s="632"/>
      <c r="M2" s="633"/>
    </row>
    <row r="3" spans="2:17" ht="20.100000000000001" customHeight="1" x14ac:dyDescent="0.2">
      <c r="B3" s="8" t="str">
        <f>ÍNDICE!$A$3</f>
        <v>LOCAL:</v>
      </c>
      <c r="C3" s="298" t="str">
        <f>VLOOKUP(B3,ÍNDICE!A:G,2,FALSE)</f>
        <v>BAIRRO JARDIM FORTALEZA - PARTE 1</v>
      </c>
      <c r="F3" s="631"/>
      <c r="G3" s="631"/>
      <c r="H3" s="631"/>
      <c r="I3" s="631"/>
      <c r="J3" s="631"/>
      <c r="K3" s="631"/>
      <c r="L3" s="632"/>
      <c r="M3" s="634"/>
    </row>
    <row r="4" spans="2:17" ht="20.100000000000001" customHeight="1" x14ac:dyDescent="0.2">
      <c r="B4" s="8" t="str">
        <f>ÍNDICE!$A$5</f>
        <v>ÁREA TOTAL:</v>
      </c>
      <c r="C4" s="364">
        <f>VLOOKUP(B4,ÍNDICE!A:G,2,FALSE)</f>
        <v>45834.720000000001</v>
      </c>
      <c r="F4" s="631"/>
      <c r="G4" s="631"/>
      <c r="H4" s="631"/>
      <c r="I4" s="631"/>
      <c r="J4" s="631"/>
      <c r="K4" s="631"/>
      <c r="L4" s="632"/>
      <c r="M4" s="634"/>
    </row>
    <row r="5" spans="2:17" ht="20.100000000000001" customHeight="1" x14ac:dyDescent="0.2">
      <c r="B5" s="14" t="str">
        <f>ÍNDICE!$A$6</f>
        <v>EXTENSÃO TOTAL:</v>
      </c>
      <c r="C5" s="366">
        <f>VLOOKUP(B5,ÍNDICE!A:G,2,FALSE)</f>
        <v>5903.17</v>
      </c>
      <c r="D5" s="414"/>
      <c r="E5" s="414"/>
      <c r="F5" s="635"/>
      <c r="G5" s="635"/>
      <c r="H5" s="635"/>
      <c r="I5" s="635"/>
      <c r="J5" s="635"/>
      <c r="K5" s="635"/>
      <c r="L5" s="636"/>
      <c r="M5" s="637"/>
    </row>
    <row r="6" spans="2:17" ht="30" customHeight="1" x14ac:dyDescent="0.2">
      <c r="B6" s="1255" t="str">
        <f>CONCATENATE("CRONOGRAMA FÍSICO FINANCEIRO - ",ORÇAMENTO!P2)</f>
        <v>CRONOGRAMA FÍSICO FINANCEIRO - NÃO DESONERADO</v>
      </c>
      <c r="C6" s="1256"/>
      <c r="D6" s="1256"/>
      <c r="E6" s="1256"/>
      <c r="F6" s="1256"/>
      <c r="G6" s="1256"/>
      <c r="H6" s="1256"/>
      <c r="I6" s="1256"/>
      <c r="J6" s="1256"/>
      <c r="K6" s="1256"/>
      <c r="L6" s="1256"/>
      <c r="M6" s="1257"/>
    </row>
    <row r="7" spans="2:17" ht="30" customHeight="1" thickBot="1" x14ac:dyDescent="0.3">
      <c r="B7" s="638" t="s">
        <v>243</v>
      </c>
      <c r="C7" s="1258" t="s">
        <v>288</v>
      </c>
      <c r="D7" s="1258"/>
      <c r="E7" s="639" t="s">
        <v>325</v>
      </c>
      <c r="F7" s="640">
        <v>30</v>
      </c>
      <c r="G7" s="640">
        <v>60</v>
      </c>
      <c r="H7" s="640">
        <v>90</v>
      </c>
      <c r="I7" s="640">
        <v>120</v>
      </c>
      <c r="J7" s="640">
        <v>150</v>
      </c>
      <c r="K7" s="640">
        <v>180</v>
      </c>
      <c r="L7" s="640">
        <v>210</v>
      </c>
      <c r="M7" s="641">
        <v>240</v>
      </c>
    </row>
    <row r="8" spans="2:17" ht="18" customHeight="1" x14ac:dyDescent="0.25">
      <c r="B8" s="1251" t="s">
        <v>326</v>
      </c>
      <c r="C8" s="1253" t="str">
        <f ca="1">INDEX(RESUMO!C:C,MATCH(CRONOGRAMA!B8,RESUMO!B:B,0))</f>
        <v>ADMINISTRAÇÃO LOCAL</v>
      </c>
      <c r="D8" s="1253"/>
      <c r="E8" s="642">
        <f ca="1">INDEX(RESUMO!D:D,MATCH(CRONOGRAMA!B8,RESUMO!B:B,0))</f>
        <v>0</v>
      </c>
      <c r="F8" s="643" t="e">
        <f ca="1">$E8*F9</f>
        <v>#DIV/0!</v>
      </c>
      <c r="G8" s="643" t="e">
        <f t="shared" ref="G8:M8" ca="1" si="0">$E8*G9</f>
        <v>#DIV/0!</v>
      </c>
      <c r="H8" s="643" t="e">
        <f t="shared" ca="1" si="0"/>
        <v>#DIV/0!</v>
      </c>
      <c r="I8" s="643" t="e">
        <f t="shared" ca="1" si="0"/>
        <v>#DIV/0!</v>
      </c>
      <c r="J8" s="643" t="e">
        <f t="shared" ca="1" si="0"/>
        <v>#DIV/0!</v>
      </c>
      <c r="K8" s="643" t="e">
        <f t="shared" ca="1" si="0"/>
        <v>#DIV/0!</v>
      </c>
      <c r="L8" s="643" t="e">
        <f t="shared" ca="1" si="0"/>
        <v>#DIV/0!</v>
      </c>
      <c r="M8" s="643" t="e">
        <f t="shared" ca="1" si="0"/>
        <v>#DIV/0!</v>
      </c>
      <c r="O8" s="644" t="e">
        <f ca="1">SUM(F8:M8)</f>
        <v>#DIV/0!</v>
      </c>
      <c r="P8" s="411" t="e">
        <f ca="1">O8=E8</f>
        <v>#DIV/0!</v>
      </c>
      <c r="Q8" s="645"/>
    </row>
    <row r="9" spans="2:17" ht="18" customHeight="1" thickBot="1" x14ac:dyDescent="0.3">
      <c r="B9" s="1252"/>
      <c r="C9" s="1254"/>
      <c r="D9" s="1254"/>
      <c r="E9" s="646" t="e">
        <f ca="1">SUM(F9:M9)</f>
        <v>#DIV/0!</v>
      </c>
      <c r="F9" s="647" t="e">
        <f t="shared" ref="F9:M9" ca="1" si="1">(F10+F12+F14+F16+F18+F20)/($E$10+$E$12+$E$14+$E$16+$E$18+$E20)</f>
        <v>#DIV/0!</v>
      </c>
      <c r="G9" s="647" t="e">
        <f t="shared" ca="1" si="1"/>
        <v>#DIV/0!</v>
      </c>
      <c r="H9" s="647" t="e">
        <f t="shared" ca="1" si="1"/>
        <v>#DIV/0!</v>
      </c>
      <c r="I9" s="647" t="e">
        <f t="shared" ca="1" si="1"/>
        <v>#DIV/0!</v>
      </c>
      <c r="J9" s="647" t="e">
        <f t="shared" ca="1" si="1"/>
        <v>#DIV/0!</v>
      </c>
      <c r="K9" s="647" t="e">
        <f t="shared" ca="1" si="1"/>
        <v>#DIV/0!</v>
      </c>
      <c r="L9" s="647" t="e">
        <f t="shared" ca="1" si="1"/>
        <v>#DIV/0!</v>
      </c>
      <c r="M9" s="647" t="e">
        <f t="shared" ca="1" si="1"/>
        <v>#DIV/0!</v>
      </c>
      <c r="O9" s="648"/>
      <c r="Q9" s="645"/>
    </row>
    <row r="10" spans="2:17" ht="18" customHeight="1" x14ac:dyDescent="0.25">
      <c r="B10" s="1251" t="s">
        <v>258</v>
      </c>
      <c r="C10" s="1253" t="str">
        <f ca="1">INDEX(RESUMO!C:C,MATCH(CRONOGRAMA!B10,RESUMO!B:B,0))</f>
        <v>SERVIÇOS PRELIMINARES</v>
      </c>
      <c r="D10" s="1253"/>
      <c r="E10" s="642">
        <f ca="1">INDEX(RESUMO!D:D,MATCH(CRONOGRAMA!B10,RESUMO!B:B,0))</f>
        <v>0</v>
      </c>
      <c r="F10" s="643">
        <f ca="1">$E10*F11</f>
        <v>0</v>
      </c>
      <c r="G10" s="643">
        <f t="shared" ref="G10:M10" ca="1" si="2">$E10*G11</f>
        <v>0</v>
      </c>
      <c r="H10" s="643">
        <f t="shared" ca="1" si="2"/>
        <v>0</v>
      </c>
      <c r="I10" s="643">
        <f t="shared" ca="1" si="2"/>
        <v>0</v>
      </c>
      <c r="J10" s="643">
        <f t="shared" ca="1" si="2"/>
        <v>0</v>
      </c>
      <c r="K10" s="643">
        <f t="shared" ca="1" si="2"/>
        <v>0</v>
      </c>
      <c r="L10" s="643">
        <f t="shared" ca="1" si="2"/>
        <v>0</v>
      </c>
      <c r="M10" s="643">
        <f t="shared" ca="1" si="2"/>
        <v>0</v>
      </c>
      <c r="O10" s="644">
        <f ca="1">SUM(F10:M10)</f>
        <v>0</v>
      </c>
      <c r="P10" s="411" t="b">
        <f ca="1">O10=E10</f>
        <v>1</v>
      </c>
      <c r="Q10" s="645"/>
    </row>
    <row r="11" spans="2:17" ht="18" customHeight="1" thickBot="1" x14ac:dyDescent="0.3">
      <c r="B11" s="1252"/>
      <c r="C11" s="1254"/>
      <c r="D11" s="1254"/>
      <c r="E11" s="646">
        <f>SUM(F11:M11)</f>
        <v>1</v>
      </c>
      <c r="F11" s="647">
        <v>1</v>
      </c>
      <c r="G11" s="647">
        <v>0</v>
      </c>
      <c r="H11" s="647">
        <v>0</v>
      </c>
      <c r="I11" s="647">
        <v>0</v>
      </c>
      <c r="J11" s="647">
        <v>0</v>
      </c>
      <c r="K11" s="647">
        <v>0</v>
      </c>
      <c r="L11" s="647">
        <v>0</v>
      </c>
      <c r="M11" s="647">
        <v>0</v>
      </c>
      <c r="O11" s="648"/>
      <c r="Q11" s="645"/>
    </row>
    <row r="12" spans="2:17" ht="18" customHeight="1" x14ac:dyDescent="0.25">
      <c r="B12" s="1251" t="s">
        <v>262</v>
      </c>
      <c r="C12" s="1253" t="str">
        <f ca="1">INDEX(RESUMO!C:C,MATCH(CRONOGRAMA!B12,RESUMO!B:B,0))</f>
        <v>MOBILIZAÇÃO E DESMOBILIZAÇÃO</v>
      </c>
      <c r="D12" s="1253"/>
      <c r="E12" s="642">
        <f ca="1">INDEX(RESUMO!D:D,MATCH(CRONOGRAMA!B12,RESUMO!B:B,0))</f>
        <v>0</v>
      </c>
      <c r="F12" s="643">
        <f ca="1">$E12*F13</f>
        <v>0</v>
      </c>
      <c r="G12" s="643">
        <f t="shared" ref="G12:M12" ca="1" si="3">$E12*G13</f>
        <v>0</v>
      </c>
      <c r="H12" s="643">
        <f t="shared" ca="1" si="3"/>
        <v>0</v>
      </c>
      <c r="I12" s="643">
        <f t="shared" ca="1" si="3"/>
        <v>0</v>
      </c>
      <c r="J12" s="643">
        <f t="shared" ca="1" si="3"/>
        <v>0</v>
      </c>
      <c r="K12" s="643">
        <f t="shared" ca="1" si="3"/>
        <v>0</v>
      </c>
      <c r="L12" s="643">
        <f t="shared" ca="1" si="3"/>
        <v>0</v>
      </c>
      <c r="M12" s="643">
        <f t="shared" ca="1" si="3"/>
        <v>0</v>
      </c>
      <c r="O12" s="644">
        <f ca="1">SUM(F12:M12)</f>
        <v>0</v>
      </c>
      <c r="P12" s="411" t="b">
        <f ca="1">O12=E12</f>
        <v>1</v>
      </c>
      <c r="Q12" s="645"/>
    </row>
    <row r="13" spans="2:17" ht="18" customHeight="1" thickBot="1" x14ac:dyDescent="0.3">
      <c r="B13" s="1252"/>
      <c r="C13" s="1254"/>
      <c r="D13" s="1254"/>
      <c r="E13" s="646">
        <f>SUM(F13:M13)</f>
        <v>1</v>
      </c>
      <c r="F13" s="647">
        <v>0.5</v>
      </c>
      <c r="G13" s="647">
        <v>0</v>
      </c>
      <c r="H13" s="647">
        <v>0</v>
      </c>
      <c r="I13" s="647">
        <v>0</v>
      </c>
      <c r="J13" s="647">
        <v>0</v>
      </c>
      <c r="K13" s="647">
        <v>0</v>
      </c>
      <c r="L13" s="647">
        <v>0</v>
      </c>
      <c r="M13" s="647">
        <v>0.5</v>
      </c>
      <c r="O13" s="648"/>
      <c r="Q13" s="645"/>
    </row>
    <row r="14" spans="2:17" ht="18" customHeight="1" x14ac:dyDescent="0.25">
      <c r="B14" s="1251" t="s">
        <v>327</v>
      </c>
      <c r="C14" s="1253" t="str">
        <f ca="1">INDEX(RESUMO!C:C,MATCH(CRONOGRAMA!B14,RESUMO!B:B,0))</f>
        <v>TERRAPLANAGEM</v>
      </c>
      <c r="D14" s="1253"/>
      <c r="E14" s="642">
        <f ca="1">INDEX(RESUMO!D:D,MATCH(CRONOGRAMA!B14,RESUMO!B:B,0))</f>
        <v>0</v>
      </c>
      <c r="F14" s="643">
        <f ca="1">$E14*F15</f>
        <v>0</v>
      </c>
      <c r="G14" s="643">
        <f t="shared" ref="G14:M14" ca="1" si="4">$E14*G15</f>
        <v>0</v>
      </c>
      <c r="H14" s="643">
        <f t="shared" ca="1" si="4"/>
        <v>0</v>
      </c>
      <c r="I14" s="643">
        <f t="shared" ca="1" si="4"/>
        <v>0</v>
      </c>
      <c r="J14" s="643">
        <f t="shared" ca="1" si="4"/>
        <v>0</v>
      </c>
      <c r="K14" s="643">
        <f t="shared" ca="1" si="4"/>
        <v>0</v>
      </c>
      <c r="L14" s="643">
        <f t="shared" ca="1" si="4"/>
        <v>0</v>
      </c>
      <c r="M14" s="643">
        <f t="shared" ca="1" si="4"/>
        <v>0</v>
      </c>
      <c r="O14" s="644">
        <f ca="1">SUM(F14:M14)</f>
        <v>0</v>
      </c>
      <c r="P14" s="411" t="b">
        <f ca="1">O14=E14</f>
        <v>1</v>
      </c>
      <c r="Q14" s="645"/>
    </row>
    <row r="15" spans="2:17" ht="18" customHeight="1" thickBot="1" x14ac:dyDescent="0.3">
      <c r="B15" s="1252"/>
      <c r="C15" s="1254"/>
      <c r="D15" s="1254"/>
      <c r="E15" s="646">
        <f>SUM(F15:M15)</f>
        <v>1</v>
      </c>
      <c r="F15" s="647">
        <v>0.25</v>
      </c>
      <c r="G15" s="647">
        <v>0.25</v>
      </c>
      <c r="H15" s="647">
        <v>0.25</v>
      </c>
      <c r="I15" s="647">
        <v>0.25</v>
      </c>
      <c r="J15" s="647">
        <v>0</v>
      </c>
      <c r="K15" s="647">
        <v>0</v>
      </c>
      <c r="L15" s="647">
        <v>0</v>
      </c>
      <c r="M15" s="647">
        <v>0</v>
      </c>
      <c r="O15" s="648"/>
      <c r="Q15" s="645"/>
    </row>
    <row r="16" spans="2:17" ht="18" customHeight="1" x14ac:dyDescent="0.25">
      <c r="B16" s="1251" t="s">
        <v>328</v>
      </c>
      <c r="C16" s="1253" t="str">
        <f ca="1">INDEX(RESUMO!C:C,MATCH(CRONOGRAMA!B16,RESUMO!B:B,0))</f>
        <v>PAVIMENTAÇÃO</v>
      </c>
      <c r="D16" s="1253"/>
      <c r="E16" s="642">
        <f ca="1">INDEX(RESUMO!D:D,MATCH(CRONOGRAMA!B16,RESUMO!B:B,0))</f>
        <v>0</v>
      </c>
      <c r="F16" s="643">
        <f ca="1">$E16*F17</f>
        <v>0</v>
      </c>
      <c r="G16" s="643">
        <f t="shared" ref="G16:M16" ca="1" si="5">$E16*G17</f>
        <v>0</v>
      </c>
      <c r="H16" s="643">
        <f t="shared" ca="1" si="5"/>
        <v>0</v>
      </c>
      <c r="I16" s="643">
        <f t="shared" ca="1" si="5"/>
        <v>0</v>
      </c>
      <c r="J16" s="643">
        <f t="shared" ca="1" si="5"/>
        <v>0</v>
      </c>
      <c r="K16" s="643">
        <f t="shared" ca="1" si="5"/>
        <v>0</v>
      </c>
      <c r="L16" s="643">
        <f t="shared" ca="1" si="5"/>
        <v>0</v>
      </c>
      <c r="M16" s="643">
        <f t="shared" ca="1" si="5"/>
        <v>0</v>
      </c>
      <c r="O16" s="644">
        <f ca="1">SUM(F16:M16)</f>
        <v>0</v>
      </c>
      <c r="P16" s="411" t="b">
        <f ca="1">O16=E16</f>
        <v>1</v>
      </c>
      <c r="Q16" s="645"/>
    </row>
    <row r="17" spans="2:240" ht="18" customHeight="1" thickBot="1" x14ac:dyDescent="0.3">
      <c r="B17" s="1252"/>
      <c r="C17" s="1254"/>
      <c r="D17" s="1254"/>
      <c r="E17" s="646">
        <f>SUM(F17:M17)</f>
        <v>1</v>
      </c>
      <c r="F17" s="647">
        <v>0</v>
      </c>
      <c r="G17" s="647">
        <v>0</v>
      </c>
      <c r="H17" s="647">
        <v>0.25</v>
      </c>
      <c r="I17" s="647">
        <v>0.25</v>
      </c>
      <c r="J17" s="647">
        <v>0.25</v>
      </c>
      <c r="K17" s="647">
        <v>0.25</v>
      </c>
      <c r="L17" s="647">
        <v>0</v>
      </c>
      <c r="M17" s="647">
        <v>0</v>
      </c>
      <c r="O17" s="648"/>
      <c r="Q17" s="645"/>
    </row>
    <row r="18" spans="2:240" ht="18" customHeight="1" x14ac:dyDescent="0.25">
      <c r="B18" s="1251" t="s">
        <v>329</v>
      </c>
      <c r="C18" s="1253" t="str">
        <f ca="1">INDEX(RESUMO!C:C,MATCH(CRONOGRAMA!B18,RESUMO!B:B,0))</f>
        <v>SINALIZAÇÃO VIÁRIA</v>
      </c>
      <c r="D18" s="1253"/>
      <c r="E18" s="642">
        <f ca="1">INDEX(RESUMO!D:D,MATCH(CRONOGRAMA!B18,RESUMO!B:B,0))</f>
        <v>0</v>
      </c>
      <c r="F18" s="643">
        <f ca="1">$E18*F19</f>
        <v>0</v>
      </c>
      <c r="G18" s="643">
        <f t="shared" ref="G18:M18" ca="1" si="6">$E18*G19</f>
        <v>0</v>
      </c>
      <c r="H18" s="643">
        <f t="shared" ca="1" si="6"/>
        <v>0</v>
      </c>
      <c r="I18" s="643">
        <f t="shared" ca="1" si="6"/>
        <v>0</v>
      </c>
      <c r="J18" s="643">
        <f t="shared" ca="1" si="6"/>
        <v>0</v>
      </c>
      <c r="K18" s="643">
        <f t="shared" ca="1" si="6"/>
        <v>0</v>
      </c>
      <c r="L18" s="643">
        <f t="shared" ca="1" si="6"/>
        <v>0</v>
      </c>
      <c r="M18" s="643">
        <f t="shared" ca="1" si="6"/>
        <v>0</v>
      </c>
      <c r="O18" s="644">
        <f ca="1">SUM(F18:M18)</f>
        <v>0</v>
      </c>
      <c r="P18" s="411" t="b">
        <f ca="1">O18=E18</f>
        <v>1</v>
      </c>
      <c r="Q18" s="645"/>
    </row>
    <row r="19" spans="2:240" ht="18" customHeight="1" thickBot="1" x14ac:dyDescent="0.3">
      <c r="B19" s="1252"/>
      <c r="C19" s="1254"/>
      <c r="D19" s="1254"/>
      <c r="E19" s="646">
        <f>SUM(F19:M19)</f>
        <v>1</v>
      </c>
      <c r="F19" s="647">
        <v>0.25</v>
      </c>
      <c r="G19" s="647">
        <v>0.5</v>
      </c>
      <c r="H19" s="647">
        <v>0.25</v>
      </c>
      <c r="I19" s="647">
        <v>0</v>
      </c>
      <c r="J19" s="647">
        <v>0</v>
      </c>
      <c r="K19" s="647">
        <v>0</v>
      </c>
      <c r="L19" s="647">
        <v>0</v>
      </c>
      <c r="M19" s="647">
        <v>0</v>
      </c>
      <c r="O19" s="648"/>
      <c r="Q19" s="645"/>
    </row>
    <row r="20" spans="2:240" ht="18" customHeight="1" x14ac:dyDescent="0.25">
      <c r="B20" s="1251" t="s">
        <v>330</v>
      </c>
      <c r="C20" s="1253" t="str">
        <f ca="1">INDEX(RESUMO!C:C,MATCH(CRONOGRAMA!B20,RESUMO!B:B,0))</f>
        <v>SINALIZAÇÃO HORIZONTAL</v>
      </c>
      <c r="D20" s="1253"/>
      <c r="E20" s="642">
        <f ca="1">INDEX(RESUMO!D:D,MATCH(CRONOGRAMA!B20,RESUMO!B:B,0))</f>
        <v>0</v>
      </c>
      <c r="F20" s="643">
        <f ca="1">$E20*F21</f>
        <v>0</v>
      </c>
      <c r="G20" s="643">
        <f t="shared" ref="G20:M20" ca="1" si="7">$E20*G21</f>
        <v>0</v>
      </c>
      <c r="H20" s="643">
        <f t="shared" ca="1" si="7"/>
        <v>0</v>
      </c>
      <c r="I20" s="643">
        <f t="shared" ca="1" si="7"/>
        <v>0</v>
      </c>
      <c r="J20" s="643">
        <f t="shared" ca="1" si="7"/>
        <v>0</v>
      </c>
      <c r="K20" s="643">
        <f t="shared" ca="1" si="7"/>
        <v>0</v>
      </c>
      <c r="L20" s="643">
        <f t="shared" ca="1" si="7"/>
        <v>0</v>
      </c>
      <c r="M20" s="643">
        <f t="shared" ca="1" si="7"/>
        <v>0</v>
      </c>
      <c r="O20" s="644">
        <f ca="1">SUM(F20:M20)</f>
        <v>0</v>
      </c>
      <c r="P20" s="411" t="b">
        <f ca="1">O20=E20</f>
        <v>1</v>
      </c>
      <c r="Q20" s="645"/>
    </row>
    <row r="21" spans="2:240" ht="18" customHeight="1" thickBot="1" x14ac:dyDescent="0.3">
      <c r="B21" s="1252"/>
      <c r="C21" s="1254"/>
      <c r="D21" s="1254"/>
      <c r="E21" s="646">
        <f>SUM(F21:M21)</f>
        <v>1</v>
      </c>
      <c r="F21" s="647">
        <v>0</v>
      </c>
      <c r="G21" s="647">
        <v>0</v>
      </c>
      <c r="H21" s="647">
        <v>0</v>
      </c>
      <c r="I21" s="647">
        <v>0</v>
      </c>
      <c r="J21" s="647">
        <v>0</v>
      </c>
      <c r="K21" s="647">
        <v>0</v>
      </c>
      <c r="L21" s="647">
        <v>0.5</v>
      </c>
      <c r="M21" s="647">
        <v>0.5</v>
      </c>
      <c r="O21" s="648"/>
      <c r="Q21" s="645"/>
    </row>
    <row r="22" spans="2:240" ht="18" customHeight="1" x14ac:dyDescent="0.2">
      <c r="B22" s="649"/>
      <c r="C22" s="650"/>
      <c r="D22" s="651" t="s">
        <v>331</v>
      </c>
      <c r="E22" s="652">
        <f ca="1">RESUMO!D15</f>
        <v>0</v>
      </c>
      <c r="F22" s="653"/>
      <c r="G22" s="653"/>
      <c r="H22" s="653"/>
      <c r="I22" s="653"/>
      <c r="J22" s="653"/>
      <c r="K22" s="653"/>
      <c r="L22" s="653"/>
      <c r="M22" s="654"/>
      <c r="O22" s="648"/>
      <c r="Q22" s="645"/>
    </row>
    <row r="23" spans="2:240" ht="18" customHeight="1" x14ac:dyDescent="0.2">
      <c r="B23" s="655"/>
      <c r="C23" s="656"/>
      <c r="D23" s="657"/>
      <c r="E23" s="657" t="s">
        <v>332</v>
      </c>
      <c r="F23" s="658">
        <f ca="1">IF($E$22&gt;0,F24/$E$22,0)</f>
        <v>0</v>
      </c>
      <c r="G23" s="658">
        <f t="shared" ref="G23:M23" ca="1" si="8">IF($E$22&gt;0,G24/$E$22,0)</f>
        <v>0</v>
      </c>
      <c r="H23" s="658">
        <f t="shared" ca="1" si="8"/>
        <v>0</v>
      </c>
      <c r="I23" s="658">
        <f t="shared" ca="1" si="8"/>
        <v>0</v>
      </c>
      <c r="J23" s="658">
        <f t="shared" ca="1" si="8"/>
        <v>0</v>
      </c>
      <c r="K23" s="658">
        <f t="shared" ca="1" si="8"/>
        <v>0</v>
      </c>
      <c r="L23" s="658">
        <f t="shared" ca="1" si="8"/>
        <v>0</v>
      </c>
      <c r="M23" s="659">
        <f t="shared" ca="1" si="8"/>
        <v>0</v>
      </c>
      <c r="N23" s="464"/>
      <c r="O23" s="648"/>
      <c r="P23" s="463"/>
      <c r="Q23" s="660"/>
      <c r="R23" s="463"/>
      <c r="S23" s="463"/>
      <c r="T23" s="464"/>
      <c r="U23" s="465"/>
      <c r="V23" s="463"/>
      <c r="W23" s="463"/>
      <c r="X23" s="463"/>
      <c r="Y23" s="463"/>
      <c r="Z23" s="464"/>
      <c r="AA23" s="465"/>
      <c r="AB23" s="463"/>
      <c r="AC23" s="463"/>
      <c r="AD23" s="463"/>
      <c r="AE23" s="463"/>
      <c r="AF23" s="464"/>
      <c r="AG23" s="465"/>
      <c r="AH23" s="463"/>
      <c r="AI23" s="463"/>
      <c r="AJ23" s="463"/>
      <c r="AK23" s="463"/>
      <c r="AL23" s="464"/>
      <c r="AM23" s="465"/>
      <c r="AN23" s="463"/>
      <c r="AO23" s="463"/>
      <c r="AP23" s="463"/>
      <c r="AQ23" s="463"/>
      <c r="AR23" s="464"/>
      <c r="AS23" s="465"/>
      <c r="AT23" s="463"/>
      <c r="AU23" s="463"/>
      <c r="AV23" s="463"/>
      <c r="AW23" s="463"/>
      <c r="AX23" s="464"/>
      <c r="AY23" s="465"/>
      <c r="AZ23" s="463"/>
      <c r="BA23" s="463"/>
      <c r="BB23" s="463"/>
      <c r="BC23" s="463"/>
      <c r="BD23" s="464"/>
      <c r="BE23" s="465"/>
      <c r="BF23" s="463"/>
      <c r="BG23" s="463"/>
      <c r="BH23" s="463"/>
      <c r="BI23" s="463"/>
      <c r="BJ23" s="464"/>
      <c r="BK23" s="465"/>
      <c r="BL23" s="463"/>
      <c r="BM23" s="463"/>
      <c r="BN23" s="463"/>
      <c r="BO23" s="463"/>
      <c r="BP23" s="464"/>
      <c r="BQ23" s="465"/>
      <c r="BR23" s="463"/>
      <c r="BS23" s="463"/>
      <c r="BT23" s="463"/>
      <c r="BU23" s="463"/>
      <c r="BV23" s="464"/>
      <c r="BW23" s="465"/>
      <c r="BX23" s="463"/>
      <c r="BY23" s="463"/>
      <c r="BZ23" s="463"/>
      <c r="CA23" s="463"/>
      <c r="CB23" s="464"/>
      <c r="CC23" s="465"/>
      <c r="CD23" s="463"/>
      <c r="CE23" s="463"/>
      <c r="CF23" s="463"/>
      <c r="CG23" s="463"/>
      <c r="CH23" s="464"/>
      <c r="CI23" s="465"/>
      <c r="CJ23" s="463"/>
      <c r="CK23" s="463"/>
      <c r="CL23" s="463"/>
      <c r="CM23" s="463"/>
      <c r="CN23" s="464"/>
      <c r="CO23" s="465"/>
      <c r="CP23" s="463"/>
      <c r="CQ23" s="463"/>
      <c r="CR23" s="463"/>
      <c r="CS23" s="463"/>
      <c r="CT23" s="464"/>
      <c r="CU23" s="465"/>
      <c r="CV23" s="463"/>
      <c r="CW23" s="463"/>
      <c r="CX23" s="463"/>
      <c r="CY23" s="463"/>
      <c r="CZ23" s="464"/>
      <c r="DA23" s="465"/>
      <c r="DB23" s="463"/>
      <c r="DC23" s="463"/>
      <c r="DD23" s="463"/>
      <c r="DE23" s="463"/>
      <c r="DF23" s="464"/>
      <c r="DG23" s="465"/>
      <c r="DH23" s="463"/>
      <c r="DI23" s="463"/>
      <c r="DJ23" s="463"/>
      <c r="DK23" s="463"/>
      <c r="DL23" s="464"/>
      <c r="DM23" s="465"/>
      <c r="DN23" s="463"/>
      <c r="DO23" s="463"/>
      <c r="DP23" s="463"/>
      <c r="DQ23" s="463"/>
      <c r="DR23" s="464"/>
      <c r="DS23" s="465"/>
      <c r="DT23" s="463"/>
      <c r="DU23" s="463"/>
      <c r="DV23" s="463"/>
      <c r="DW23" s="463"/>
      <c r="DX23" s="464"/>
      <c r="DY23" s="465"/>
      <c r="DZ23" s="463"/>
      <c r="EA23" s="463"/>
      <c r="EB23" s="463"/>
      <c r="EC23" s="463"/>
      <c r="ED23" s="464"/>
      <c r="EE23" s="465"/>
      <c r="EF23" s="463"/>
      <c r="EG23" s="463"/>
      <c r="EH23" s="463"/>
      <c r="EI23" s="463"/>
      <c r="EJ23" s="464"/>
      <c r="EK23" s="465"/>
      <c r="EL23" s="463"/>
      <c r="EM23" s="463"/>
      <c r="EN23" s="463"/>
      <c r="EO23" s="463"/>
      <c r="EP23" s="464"/>
      <c r="EQ23" s="465"/>
      <c r="ER23" s="463"/>
      <c r="ES23" s="463"/>
      <c r="ET23" s="463"/>
      <c r="EU23" s="463"/>
      <c r="EV23" s="464"/>
      <c r="EW23" s="465"/>
      <c r="EX23" s="463"/>
      <c r="EY23" s="463"/>
      <c r="EZ23" s="463"/>
      <c r="FA23" s="463"/>
      <c r="FB23" s="464"/>
      <c r="FC23" s="465"/>
      <c r="FD23" s="463"/>
      <c r="FE23" s="463"/>
      <c r="FF23" s="463"/>
      <c r="FG23" s="463"/>
      <c r="FH23" s="464"/>
      <c r="FI23" s="465"/>
      <c r="FJ23" s="463"/>
      <c r="FK23" s="463"/>
      <c r="FL23" s="463"/>
      <c r="FM23" s="463"/>
      <c r="FN23" s="464"/>
      <c r="FO23" s="465"/>
      <c r="FP23" s="463"/>
      <c r="FQ23" s="463"/>
      <c r="FR23" s="463"/>
      <c r="FS23" s="463"/>
      <c r="FT23" s="464"/>
      <c r="FU23" s="465"/>
      <c r="FV23" s="463"/>
      <c r="FW23" s="463"/>
      <c r="FX23" s="463"/>
      <c r="FY23" s="463"/>
      <c r="FZ23" s="464"/>
      <c r="GA23" s="465"/>
      <c r="GB23" s="463"/>
      <c r="GC23" s="463"/>
      <c r="GD23" s="463"/>
      <c r="GE23" s="463"/>
      <c r="GF23" s="464"/>
      <c r="GG23" s="465"/>
      <c r="GH23" s="463"/>
      <c r="GI23" s="463"/>
      <c r="GJ23" s="463"/>
      <c r="GK23" s="463"/>
      <c r="GL23" s="464"/>
      <c r="GM23" s="465"/>
      <c r="GN23" s="463"/>
      <c r="GO23" s="463"/>
      <c r="GP23" s="463"/>
      <c r="GQ23" s="463"/>
      <c r="GR23" s="464"/>
      <c r="GS23" s="465"/>
      <c r="GT23" s="463"/>
      <c r="GU23" s="463"/>
      <c r="GV23" s="463"/>
      <c r="GW23" s="463"/>
      <c r="GX23" s="464"/>
      <c r="GY23" s="465"/>
      <c r="GZ23" s="463"/>
      <c r="HA23" s="463"/>
      <c r="HB23" s="463"/>
      <c r="HC23" s="463"/>
      <c r="HD23" s="464"/>
      <c r="HE23" s="465"/>
      <c r="HF23" s="463"/>
      <c r="HG23" s="463"/>
      <c r="HH23" s="463"/>
      <c r="HI23" s="463"/>
      <c r="HJ23" s="464"/>
      <c r="HK23" s="465"/>
      <c r="HL23" s="463"/>
      <c r="HM23" s="463"/>
      <c r="HN23" s="463"/>
      <c r="HO23" s="463"/>
      <c r="HP23" s="464"/>
      <c r="HQ23" s="465"/>
      <c r="HR23" s="463"/>
      <c r="HS23" s="463"/>
      <c r="HT23" s="463"/>
      <c r="HU23" s="463"/>
      <c r="HV23" s="464"/>
      <c r="HW23" s="465"/>
      <c r="HX23" s="463"/>
      <c r="HY23" s="463"/>
      <c r="HZ23" s="463"/>
      <c r="IA23" s="463"/>
      <c r="IB23" s="464"/>
      <c r="IC23" s="465"/>
      <c r="ID23" s="463"/>
      <c r="IE23" s="463"/>
      <c r="IF23" s="463"/>
    </row>
    <row r="24" spans="2:240" ht="18" customHeight="1" x14ac:dyDescent="0.2">
      <c r="B24" s="655"/>
      <c r="C24" s="656"/>
      <c r="D24" s="657"/>
      <c r="E24" s="657" t="s">
        <v>333</v>
      </c>
      <c r="F24" s="661" t="e">
        <f t="shared" ref="F24:M24" ca="1" si="9">F8+F10+F12+F14+F16+F18+F20</f>
        <v>#DIV/0!</v>
      </c>
      <c r="G24" s="662" t="e">
        <f t="shared" ca="1" si="9"/>
        <v>#DIV/0!</v>
      </c>
      <c r="H24" s="662" t="e">
        <f t="shared" ca="1" si="9"/>
        <v>#DIV/0!</v>
      </c>
      <c r="I24" s="662" t="e">
        <f t="shared" ca="1" si="9"/>
        <v>#DIV/0!</v>
      </c>
      <c r="J24" s="662" t="e">
        <f t="shared" ca="1" si="9"/>
        <v>#DIV/0!</v>
      </c>
      <c r="K24" s="662" t="e">
        <f t="shared" ca="1" si="9"/>
        <v>#DIV/0!</v>
      </c>
      <c r="L24" s="662" t="e">
        <f t="shared" ca="1" si="9"/>
        <v>#DIV/0!</v>
      </c>
      <c r="M24" s="663" t="e">
        <f t="shared" ca="1" si="9"/>
        <v>#DIV/0!</v>
      </c>
      <c r="N24" s="464"/>
      <c r="O24" s="648"/>
      <c r="P24" s="463"/>
      <c r="Q24" s="660"/>
      <c r="R24" s="463"/>
      <c r="S24" s="463"/>
      <c r="T24" s="464"/>
      <c r="U24" s="465"/>
      <c r="V24" s="463"/>
      <c r="W24" s="463"/>
      <c r="X24" s="463"/>
      <c r="Y24" s="463"/>
      <c r="Z24" s="464"/>
      <c r="AA24" s="465"/>
      <c r="AB24" s="463"/>
      <c r="AC24" s="463"/>
      <c r="AD24" s="463"/>
      <c r="AE24" s="463"/>
      <c r="AF24" s="464"/>
      <c r="AG24" s="465"/>
      <c r="AH24" s="463"/>
      <c r="AI24" s="463"/>
      <c r="AJ24" s="463"/>
      <c r="AK24" s="463"/>
      <c r="AL24" s="464"/>
      <c r="AM24" s="465"/>
      <c r="AN24" s="463"/>
      <c r="AO24" s="463"/>
      <c r="AP24" s="463"/>
      <c r="AQ24" s="463"/>
      <c r="AR24" s="464"/>
      <c r="AS24" s="465"/>
      <c r="AT24" s="463"/>
      <c r="AU24" s="463"/>
      <c r="AV24" s="463"/>
      <c r="AW24" s="463"/>
      <c r="AX24" s="464"/>
      <c r="AY24" s="465"/>
      <c r="AZ24" s="463"/>
      <c r="BA24" s="463"/>
      <c r="BB24" s="463"/>
      <c r="BC24" s="463"/>
      <c r="BD24" s="464"/>
      <c r="BE24" s="465"/>
      <c r="BF24" s="463"/>
      <c r="BG24" s="463"/>
      <c r="BH24" s="463"/>
      <c r="BI24" s="463"/>
      <c r="BJ24" s="464"/>
      <c r="BK24" s="465"/>
      <c r="BL24" s="463"/>
      <c r="BM24" s="463"/>
      <c r="BN24" s="463"/>
      <c r="BO24" s="463"/>
      <c r="BP24" s="464"/>
      <c r="BQ24" s="465"/>
      <c r="BR24" s="463"/>
      <c r="BS24" s="463"/>
      <c r="BT24" s="463"/>
      <c r="BU24" s="463"/>
      <c r="BV24" s="464"/>
      <c r="BW24" s="465"/>
      <c r="BX24" s="463"/>
      <c r="BY24" s="463"/>
      <c r="BZ24" s="463"/>
      <c r="CA24" s="463"/>
      <c r="CB24" s="464"/>
      <c r="CC24" s="465"/>
      <c r="CD24" s="463"/>
      <c r="CE24" s="463"/>
      <c r="CF24" s="463"/>
      <c r="CG24" s="463"/>
      <c r="CH24" s="464"/>
      <c r="CI24" s="465"/>
      <c r="CJ24" s="463"/>
      <c r="CK24" s="463"/>
      <c r="CL24" s="463"/>
      <c r="CM24" s="463"/>
      <c r="CN24" s="464"/>
      <c r="CO24" s="465"/>
      <c r="CP24" s="463"/>
      <c r="CQ24" s="463"/>
      <c r="CR24" s="463"/>
      <c r="CS24" s="463"/>
      <c r="CT24" s="464"/>
      <c r="CU24" s="465"/>
      <c r="CV24" s="463"/>
      <c r="CW24" s="463"/>
      <c r="CX24" s="463"/>
      <c r="CY24" s="463"/>
      <c r="CZ24" s="464"/>
      <c r="DA24" s="465"/>
      <c r="DB24" s="463"/>
      <c r="DC24" s="463"/>
      <c r="DD24" s="463"/>
      <c r="DE24" s="463"/>
      <c r="DF24" s="464"/>
      <c r="DG24" s="465"/>
      <c r="DH24" s="463"/>
      <c r="DI24" s="463"/>
      <c r="DJ24" s="463"/>
      <c r="DK24" s="463"/>
      <c r="DL24" s="464"/>
      <c r="DM24" s="465"/>
      <c r="DN24" s="463"/>
      <c r="DO24" s="463"/>
      <c r="DP24" s="463"/>
      <c r="DQ24" s="463"/>
      <c r="DR24" s="464"/>
      <c r="DS24" s="465"/>
      <c r="DT24" s="463"/>
      <c r="DU24" s="463"/>
      <c r="DV24" s="463"/>
      <c r="DW24" s="463"/>
      <c r="DX24" s="464"/>
      <c r="DY24" s="465"/>
      <c r="DZ24" s="463"/>
      <c r="EA24" s="463"/>
      <c r="EB24" s="463"/>
      <c r="EC24" s="463"/>
      <c r="ED24" s="464"/>
      <c r="EE24" s="465"/>
      <c r="EF24" s="463"/>
      <c r="EG24" s="463"/>
      <c r="EH24" s="463"/>
      <c r="EI24" s="463"/>
      <c r="EJ24" s="464"/>
      <c r="EK24" s="465"/>
      <c r="EL24" s="463"/>
      <c r="EM24" s="463"/>
      <c r="EN24" s="463"/>
      <c r="EO24" s="463"/>
      <c r="EP24" s="464"/>
      <c r="EQ24" s="465"/>
      <c r="ER24" s="463"/>
      <c r="ES24" s="463"/>
      <c r="ET24" s="463"/>
      <c r="EU24" s="463"/>
      <c r="EV24" s="464"/>
      <c r="EW24" s="465"/>
      <c r="EX24" s="463"/>
      <c r="EY24" s="463"/>
      <c r="EZ24" s="463"/>
      <c r="FA24" s="463"/>
      <c r="FB24" s="464"/>
      <c r="FC24" s="465"/>
      <c r="FD24" s="463"/>
      <c r="FE24" s="463"/>
      <c r="FF24" s="463"/>
      <c r="FG24" s="463"/>
      <c r="FH24" s="464"/>
      <c r="FI24" s="465"/>
      <c r="FJ24" s="463"/>
      <c r="FK24" s="463"/>
      <c r="FL24" s="463"/>
      <c r="FM24" s="463"/>
      <c r="FN24" s="464"/>
      <c r="FO24" s="465"/>
      <c r="FP24" s="463"/>
      <c r="FQ24" s="463"/>
      <c r="FR24" s="463"/>
      <c r="FS24" s="463"/>
      <c r="FT24" s="464"/>
      <c r="FU24" s="465"/>
      <c r="FV24" s="463"/>
      <c r="FW24" s="463"/>
      <c r="FX24" s="463"/>
      <c r="FY24" s="463"/>
      <c r="FZ24" s="464"/>
      <c r="GA24" s="465"/>
      <c r="GB24" s="463"/>
      <c r="GC24" s="463"/>
      <c r="GD24" s="463"/>
      <c r="GE24" s="463"/>
      <c r="GF24" s="464"/>
      <c r="GG24" s="465"/>
      <c r="GH24" s="463"/>
      <c r="GI24" s="463"/>
      <c r="GJ24" s="463"/>
      <c r="GK24" s="463"/>
      <c r="GL24" s="464"/>
      <c r="GM24" s="465"/>
      <c r="GN24" s="463"/>
      <c r="GO24" s="463"/>
      <c r="GP24" s="463"/>
      <c r="GQ24" s="463"/>
      <c r="GR24" s="464"/>
      <c r="GS24" s="465"/>
      <c r="GT24" s="463"/>
      <c r="GU24" s="463"/>
      <c r="GV24" s="463"/>
      <c r="GW24" s="463"/>
      <c r="GX24" s="464"/>
      <c r="GY24" s="465"/>
      <c r="GZ24" s="463"/>
      <c r="HA24" s="463"/>
      <c r="HB24" s="463"/>
      <c r="HC24" s="463"/>
      <c r="HD24" s="464"/>
      <c r="HE24" s="465"/>
      <c r="HF24" s="463"/>
      <c r="HG24" s="463"/>
      <c r="HH24" s="463"/>
      <c r="HI24" s="463"/>
      <c r="HJ24" s="464"/>
      <c r="HK24" s="465"/>
      <c r="HL24" s="463"/>
      <c r="HM24" s="463"/>
      <c r="HN24" s="463"/>
      <c r="HO24" s="463"/>
      <c r="HP24" s="464"/>
      <c r="HQ24" s="465"/>
      <c r="HR24" s="463"/>
      <c r="HS24" s="463"/>
      <c r="HT24" s="463"/>
      <c r="HU24" s="463"/>
      <c r="HV24" s="464"/>
      <c r="HW24" s="465"/>
      <c r="HX24" s="463"/>
      <c r="HY24" s="463"/>
      <c r="HZ24" s="463"/>
      <c r="IA24" s="463"/>
      <c r="IB24" s="464"/>
      <c r="IC24" s="465"/>
      <c r="ID24" s="463"/>
      <c r="IE24" s="463"/>
      <c r="IF24" s="463"/>
    </row>
    <row r="25" spans="2:240" ht="18" customHeight="1" x14ac:dyDescent="0.2">
      <c r="B25" s="655"/>
      <c r="C25" s="656"/>
      <c r="D25" s="657"/>
      <c r="E25" s="664" t="s">
        <v>334</v>
      </c>
      <c r="F25" s="653">
        <f ca="1">F23</f>
        <v>0</v>
      </c>
      <c r="G25" s="653">
        <f ca="1">F25+G23</f>
        <v>0</v>
      </c>
      <c r="H25" s="653">
        <f t="shared" ref="H25:M26" ca="1" si="10">G25+H23</f>
        <v>0</v>
      </c>
      <c r="I25" s="653">
        <f t="shared" ca="1" si="10"/>
        <v>0</v>
      </c>
      <c r="J25" s="653">
        <f t="shared" ca="1" si="10"/>
        <v>0</v>
      </c>
      <c r="K25" s="653">
        <f t="shared" ca="1" si="10"/>
        <v>0</v>
      </c>
      <c r="L25" s="653">
        <f t="shared" ca="1" si="10"/>
        <v>0</v>
      </c>
      <c r="M25" s="654">
        <f ca="1">L25+M23</f>
        <v>0</v>
      </c>
      <c r="N25" s="464"/>
      <c r="O25" s="648"/>
      <c r="P25" s="463"/>
      <c r="Q25" s="660"/>
      <c r="R25" s="463"/>
      <c r="S25" s="463"/>
      <c r="T25" s="464"/>
      <c r="U25" s="465"/>
      <c r="V25" s="463"/>
      <c r="W25" s="463"/>
      <c r="X25" s="463"/>
      <c r="Y25" s="463"/>
      <c r="Z25" s="464"/>
      <c r="AA25" s="465"/>
      <c r="AB25" s="463"/>
      <c r="AC25" s="463"/>
      <c r="AD25" s="463"/>
      <c r="AE25" s="463"/>
      <c r="AF25" s="464"/>
      <c r="AG25" s="465"/>
      <c r="AH25" s="463"/>
      <c r="AI25" s="463"/>
      <c r="AJ25" s="463"/>
      <c r="AK25" s="463"/>
      <c r="AL25" s="464"/>
      <c r="AM25" s="465"/>
      <c r="AN25" s="463"/>
      <c r="AO25" s="463"/>
      <c r="AP25" s="463"/>
      <c r="AQ25" s="463"/>
      <c r="AR25" s="464"/>
      <c r="AS25" s="465"/>
      <c r="AT25" s="463"/>
      <c r="AU25" s="463"/>
      <c r="AV25" s="463"/>
      <c r="AW25" s="463"/>
      <c r="AX25" s="464"/>
      <c r="AY25" s="465"/>
      <c r="AZ25" s="463"/>
      <c r="BA25" s="463"/>
      <c r="BB25" s="463"/>
      <c r="BC25" s="463"/>
      <c r="BD25" s="464"/>
      <c r="BE25" s="465"/>
      <c r="BF25" s="463"/>
      <c r="BG25" s="463"/>
      <c r="BH25" s="463"/>
      <c r="BI25" s="463"/>
      <c r="BJ25" s="464"/>
      <c r="BK25" s="465"/>
      <c r="BL25" s="463"/>
      <c r="BM25" s="463"/>
      <c r="BN25" s="463"/>
      <c r="BO25" s="463"/>
      <c r="BP25" s="464"/>
      <c r="BQ25" s="465"/>
      <c r="BR25" s="463"/>
      <c r="BS25" s="463"/>
      <c r="BT25" s="463"/>
      <c r="BU25" s="463"/>
      <c r="BV25" s="464"/>
      <c r="BW25" s="465"/>
      <c r="BX25" s="463"/>
      <c r="BY25" s="463"/>
      <c r="BZ25" s="463"/>
      <c r="CA25" s="463"/>
      <c r="CB25" s="464"/>
      <c r="CC25" s="465"/>
      <c r="CD25" s="463"/>
      <c r="CE25" s="463"/>
      <c r="CF25" s="463"/>
      <c r="CG25" s="463"/>
      <c r="CH25" s="464"/>
      <c r="CI25" s="465"/>
      <c r="CJ25" s="463"/>
      <c r="CK25" s="463"/>
      <c r="CL25" s="463"/>
      <c r="CM25" s="463"/>
      <c r="CN25" s="464"/>
      <c r="CO25" s="465"/>
      <c r="CP25" s="463"/>
      <c r="CQ25" s="463"/>
      <c r="CR25" s="463"/>
      <c r="CS25" s="463"/>
      <c r="CT25" s="464"/>
      <c r="CU25" s="465"/>
      <c r="CV25" s="463"/>
      <c r="CW25" s="463"/>
      <c r="CX25" s="463"/>
      <c r="CY25" s="463"/>
      <c r="CZ25" s="464"/>
      <c r="DA25" s="465"/>
      <c r="DB25" s="463"/>
      <c r="DC25" s="463"/>
      <c r="DD25" s="463"/>
      <c r="DE25" s="463"/>
      <c r="DF25" s="464"/>
      <c r="DG25" s="465"/>
      <c r="DH25" s="463"/>
      <c r="DI25" s="463"/>
      <c r="DJ25" s="463"/>
      <c r="DK25" s="463"/>
      <c r="DL25" s="464"/>
      <c r="DM25" s="465"/>
      <c r="DN25" s="463"/>
      <c r="DO25" s="463"/>
      <c r="DP25" s="463"/>
      <c r="DQ25" s="463"/>
      <c r="DR25" s="464"/>
      <c r="DS25" s="465"/>
      <c r="DT25" s="463"/>
      <c r="DU25" s="463"/>
      <c r="DV25" s="463"/>
      <c r="DW25" s="463"/>
      <c r="DX25" s="464"/>
      <c r="DY25" s="465"/>
      <c r="DZ25" s="463"/>
      <c r="EA25" s="463"/>
      <c r="EB25" s="463"/>
      <c r="EC25" s="463"/>
      <c r="ED25" s="464"/>
      <c r="EE25" s="465"/>
      <c r="EF25" s="463"/>
      <c r="EG25" s="463"/>
      <c r="EH25" s="463"/>
      <c r="EI25" s="463"/>
      <c r="EJ25" s="464"/>
      <c r="EK25" s="465"/>
      <c r="EL25" s="463"/>
      <c r="EM25" s="463"/>
      <c r="EN25" s="463"/>
      <c r="EO25" s="463"/>
      <c r="EP25" s="464"/>
      <c r="EQ25" s="465"/>
      <c r="ER25" s="463"/>
      <c r="ES25" s="463"/>
      <c r="ET25" s="463"/>
      <c r="EU25" s="463"/>
      <c r="EV25" s="464"/>
      <c r="EW25" s="465"/>
      <c r="EX25" s="463"/>
      <c r="EY25" s="463"/>
      <c r="EZ25" s="463"/>
      <c r="FA25" s="463"/>
      <c r="FB25" s="464"/>
      <c r="FC25" s="465"/>
      <c r="FD25" s="463"/>
      <c r="FE25" s="463"/>
      <c r="FF25" s="463"/>
      <c r="FG25" s="463"/>
      <c r="FH25" s="464"/>
      <c r="FI25" s="465"/>
      <c r="FJ25" s="463"/>
      <c r="FK25" s="463"/>
      <c r="FL25" s="463"/>
      <c r="FM25" s="463"/>
      <c r="FN25" s="464"/>
      <c r="FO25" s="465"/>
      <c r="FP25" s="463"/>
      <c r="FQ25" s="463"/>
      <c r="FR25" s="463"/>
      <c r="FS25" s="463"/>
      <c r="FT25" s="464"/>
      <c r="FU25" s="465"/>
      <c r="FV25" s="463"/>
      <c r="FW25" s="463"/>
      <c r="FX25" s="463"/>
      <c r="FY25" s="463"/>
      <c r="FZ25" s="464"/>
      <c r="GA25" s="465"/>
      <c r="GB25" s="463"/>
      <c r="GC25" s="463"/>
      <c r="GD25" s="463"/>
      <c r="GE25" s="463"/>
      <c r="GF25" s="464"/>
      <c r="GG25" s="465"/>
      <c r="GH25" s="463"/>
      <c r="GI25" s="463"/>
      <c r="GJ25" s="463"/>
      <c r="GK25" s="463"/>
      <c r="GL25" s="464"/>
      <c r="GM25" s="465"/>
      <c r="GN25" s="463"/>
      <c r="GO25" s="463"/>
      <c r="GP25" s="463"/>
      <c r="GQ25" s="463"/>
      <c r="GR25" s="464"/>
      <c r="GS25" s="465"/>
      <c r="GT25" s="463"/>
      <c r="GU25" s="463"/>
      <c r="GV25" s="463"/>
      <c r="GW25" s="463"/>
      <c r="GX25" s="464"/>
      <c r="GY25" s="465"/>
      <c r="GZ25" s="463"/>
      <c r="HA25" s="463"/>
      <c r="HB25" s="463"/>
      <c r="HC25" s="463"/>
      <c r="HD25" s="464"/>
      <c r="HE25" s="465"/>
      <c r="HF25" s="463"/>
      <c r="HG25" s="463"/>
      <c r="HH25" s="463"/>
      <c r="HI25" s="463"/>
      <c r="HJ25" s="464"/>
      <c r="HK25" s="465"/>
      <c r="HL25" s="463"/>
      <c r="HM25" s="463"/>
      <c r="HN25" s="463"/>
      <c r="HO25" s="463"/>
      <c r="HP25" s="464"/>
      <c r="HQ25" s="465"/>
      <c r="HR25" s="463"/>
      <c r="HS25" s="463"/>
      <c r="HT25" s="463"/>
      <c r="HU25" s="463"/>
      <c r="HV25" s="464"/>
      <c r="HW25" s="465"/>
      <c r="HX25" s="463"/>
      <c r="HY25" s="463"/>
      <c r="HZ25" s="463"/>
      <c r="IA25" s="463"/>
      <c r="IB25" s="464"/>
      <c r="IC25" s="465"/>
      <c r="ID25" s="463"/>
      <c r="IE25" s="463"/>
      <c r="IF25" s="463"/>
    </row>
    <row r="26" spans="2:240" ht="18" customHeight="1" x14ac:dyDescent="0.2">
      <c r="B26" s="665"/>
      <c r="C26" s="666"/>
      <c r="D26" s="667"/>
      <c r="E26" s="668" t="s">
        <v>335</v>
      </c>
      <c r="F26" s="669" t="e">
        <f ca="1">F24</f>
        <v>#DIV/0!</v>
      </c>
      <c r="G26" s="670" t="e">
        <f ca="1">F26+G24</f>
        <v>#DIV/0!</v>
      </c>
      <c r="H26" s="669" t="e">
        <f t="shared" ca="1" si="10"/>
        <v>#DIV/0!</v>
      </c>
      <c r="I26" s="669" t="e">
        <f t="shared" ca="1" si="10"/>
        <v>#DIV/0!</v>
      </c>
      <c r="J26" s="669" t="e">
        <f t="shared" ca="1" si="10"/>
        <v>#DIV/0!</v>
      </c>
      <c r="K26" s="669" t="e">
        <f t="shared" ca="1" si="10"/>
        <v>#DIV/0!</v>
      </c>
      <c r="L26" s="670" t="e">
        <f t="shared" ca="1" si="10"/>
        <v>#DIV/0!</v>
      </c>
      <c r="M26" s="671" t="e">
        <f t="shared" ca="1" si="10"/>
        <v>#DIV/0!</v>
      </c>
    </row>
    <row r="27" spans="2:240" ht="14.25" x14ac:dyDescent="0.2">
      <c r="O27" s="648"/>
    </row>
    <row r="28" spans="2:240" ht="14.25" x14ac:dyDescent="0.2">
      <c r="R28" s="645"/>
    </row>
  </sheetData>
  <mergeCells count="16">
    <mergeCell ref="B6:M6"/>
    <mergeCell ref="C7:D7"/>
    <mergeCell ref="B8:B9"/>
    <mergeCell ref="C8:D9"/>
    <mergeCell ref="B10:B11"/>
    <mergeCell ref="C10:D11"/>
    <mergeCell ref="B18:B19"/>
    <mergeCell ref="C18:D19"/>
    <mergeCell ref="B20:B21"/>
    <mergeCell ref="C20:D21"/>
    <mergeCell ref="B12:B13"/>
    <mergeCell ref="C12:D13"/>
    <mergeCell ref="B14:B15"/>
    <mergeCell ref="C14:D15"/>
    <mergeCell ref="B16:B17"/>
    <mergeCell ref="C16:D17"/>
  </mergeCells>
  <conditionalFormatting sqref="F8:M8">
    <cfRule type="cellIs" dxfId="11" priority="10" operator="greaterThan">
      <formula>0</formula>
    </cfRule>
  </conditionalFormatting>
  <conditionalFormatting sqref="F10:M10">
    <cfRule type="cellIs" dxfId="10" priority="9" operator="greaterThan">
      <formula>0</formula>
    </cfRule>
  </conditionalFormatting>
  <conditionalFormatting sqref="F12:M12">
    <cfRule type="cellIs" dxfId="9" priority="8" operator="greaterThan">
      <formula>0</formula>
    </cfRule>
  </conditionalFormatting>
  <conditionalFormatting sqref="F14:M14">
    <cfRule type="cellIs" dxfId="8" priority="7" operator="greaterThan">
      <formula>0</formula>
    </cfRule>
  </conditionalFormatting>
  <conditionalFormatting sqref="F16:M16">
    <cfRule type="cellIs" dxfId="7" priority="6" operator="greaterThan">
      <formula>0</formula>
    </cfRule>
  </conditionalFormatting>
  <conditionalFormatting sqref="F18:M18">
    <cfRule type="cellIs" dxfId="6" priority="5" operator="greaterThan">
      <formula>0</formula>
    </cfRule>
  </conditionalFormatting>
  <conditionalFormatting sqref="F20:M20">
    <cfRule type="cellIs" dxfId="5" priority="4" operator="greaterThan">
      <formula>0</formula>
    </cfRule>
  </conditionalFormatting>
  <conditionalFormatting sqref="C1:C3">
    <cfRule type="expression" dxfId="4" priority="3">
      <formula>$H1="VERIFICAR CÓDIGO"</formula>
    </cfRule>
  </conditionalFormatting>
  <conditionalFormatting sqref="C4">
    <cfRule type="expression" dxfId="3" priority="2">
      <formula>$H4="VERIFICAR CÓDIGO"</formula>
    </cfRule>
  </conditionalFormatting>
  <conditionalFormatting sqref="C5">
    <cfRule type="expression" dxfId="2" priority="1">
      <formula>$H5="VERIFICAR CÓDIGO"</formula>
    </cfRule>
  </conditionalFormatting>
  <printOptions horizontalCentered="1"/>
  <pageMargins left="0.59055118110236227" right="0.59055118110236227" top="1.7716535433070868" bottom="0.78740157480314965" header="0" footer="0"/>
  <pageSetup paperSize="9" scale="55" firstPageNumber="25" fitToHeight="100" orientation="landscape" r:id="rId1"/>
  <headerFooter scaleWithDoc="0">
    <oddHeader>&amp;L&amp;G</oddHead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tabColor rgb="FF00B0F0"/>
    <pageSetUpPr fitToPage="1"/>
  </sheetPr>
  <dimension ref="A1:IJ46"/>
  <sheetViews>
    <sheetView showGridLines="0" view="pageBreakPreview" topLeftCell="A14" zoomScale="70" zoomScaleNormal="55" zoomScaleSheetLayoutView="70" workbookViewId="0">
      <selection activeCell="K22" sqref="K22:L22"/>
    </sheetView>
  </sheetViews>
  <sheetFormatPr defaultColWidth="9.109375" defaultRowHeight="13.8" x14ac:dyDescent="0.25"/>
  <cols>
    <col min="1" max="1" width="8.5546875" style="411" customWidth="1"/>
    <col min="2" max="2" width="37.5546875" style="700" bestFit="1" customWidth="1"/>
    <col min="3" max="4" width="15" style="701" bestFit="1" customWidth="1"/>
    <col min="5" max="6" width="2.5546875" style="411" bestFit="1" customWidth="1"/>
    <col min="7" max="7" width="9" style="411" customWidth="1"/>
    <col min="8" max="8" width="3.88671875" style="411" bestFit="1" customWidth="1"/>
    <col min="9" max="9" width="2.5546875" style="411" bestFit="1" customWidth="1"/>
    <col min="10" max="10" width="7.6640625" style="689" customWidth="1"/>
    <col min="11" max="11" width="14.33203125" style="411" bestFit="1" customWidth="1"/>
    <col min="12" max="12" width="13.109375" style="411" customWidth="1"/>
    <col min="13" max="13" width="13.44140625" style="411" customWidth="1"/>
    <col min="14" max="14" width="18.109375" style="411" customWidth="1"/>
    <col min="15" max="15" width="14.109375" style="411" customWidth="1"/>
    <col min="16" max="16" width="15.33203125" style="411" hidden="1" customWidth="1"/>
    <col min="17" max="17" width="13.6640625" style="411" hidden="1" customWidth="1"/>
    <col min="18" max="18" width="9.5546875" style="411" bestFit="1" customWidth="1"/>
    <col min="19" max="20" width="9.109375" style="411"/>
    <col min="21" max="21" width="13.6640625" style="411" customWidth="1"/>
    <col min="22" max="22" width="13.33203125" style="411" customWidth="1"/>
    <col min="23" max="16384" width="9.109375" style="411"/>
  </cols>
  <sheetData>
    <row r="1" spans="1:244" ht="26.25" customHeight="1" x14ac:dyDescent="0.25">
      <c r="A1" s="1260" t="s">
        <v>336</v>
      </c>
      <c r="B1" s="1261"/>
      <c r="C1" s="1261"/>
      <c r="D1" s="1261"/>
      <c r="E1" s="1261"/>
      <c r="F1" s="1261"/>
      <c r="G1" s="1261"/>
      <c r="H1" s="1261"/>
      <c r="I1" s="1261"/>
      <c r="J1" s="1261"/>
      <c r="K1" s="1261"/>
      <c r="L1" s="1261"/>
      <c r="M1" s="1261"/>
      <c r="N1" s="1261"/>
      <c r="O1" s="1262"/>
      <c r="P1" s="672"/>
      <c r="Q1" s="672"/>
      <c r="R1" s="672"/>
      <c r="S1" s="672"/>
      <c r="T1" s="672"/>
      <c r="U1" s="672"/>
      <c r="V1" s="672"/>
      <c r="W1" s="672"/>
      <c r="X1" s="672"/>
      <c r="Y1" s="672"/>
      <c r="Z1" s="672"/>
      <c r="AA1" s="672"/>
    </row>
    <row r="2" spans="1:244" ht="30" customHeight="1" x14ac:dyDescent="0.25">
      <c r="A2" s="1263" t="s">
        <v>243</v>
      </c>
      <c r="B2" s="1263" t="s">
        <v>337</v>
      </c>
      <c r="C2" s="1264" t="s">
        <v>338</v>
      </c>
      <c r="D2" s="1264"/>
      <c r="E2" s="1265" t="s">
        <v>339</v>
      </c>
      <c r="F2" s="1265"/>
      <c r="G2" s="1265"/>
      <c r="H2" s="1265"/>
      <c r="I2" s="1265"/>
      <c r="J2" s="1265"/>
      <c r="K2" s="673" t="s">
        <v>340</v>
      </c>
      <c r="L2" s="673" t="s">
        <v>341</v>
      </c>
      <c r="M2" s="673" t="s">
        <v>342</v>
      </c>
      <c r="N2" s="674" t="s">
        <v>343</v>
      </c>
      <c r="O2" s="674" t="s">
        <v>344</v>
      </c>
    </row>
    <row r="3" spans="1:244" x14ac:dyDescent="0.25">
      <c r="A3" s="1263"/>
      <c r="B3" s="1263"/>
      <c r="C3" s="675" t="s">
        <v>345</v>
      </c>
      <c r="D3" s="675" t="s">
        <v>346</v>
      </c>
      <c r="E3" s="1264" t="s">
        <v>345</v>
      </c>
      <c r="F3" s="1264"/>
      <c r="G3" s="1264"/>
      <c r="H3" s="1264" t="s">
        <v>346</v>
      </c>
      <c r="I3" s="1264"/>
      <c r="J3" s="1264"/>
      <c r="K3" s="676" t="s">
        <v>347</v>
      </c>
      <c r="L3" s="676" t="s">
        <v>347</v>
      </c>
      <c r="M3" s="676" t="s">
        <v>348</v>
      </c>
      <c r="N3" s="676" t="s">
        <v>348</v>
      </c>
      <c r="O3" s="676" t="s">
        <v>348</v>
      </c>
    </row>
    <row r="4" spans="1:244" ht="27.75" customHeight="1" x14ac:dyDescent="0.25">
      <c r="A4" s="457">
        <v>1</v>
      </c>
      <c r="B4" s="677" t="s">
        <v>349</v>
      </c>
      <c r="C4" s="678" t="s">
        <v>350</v>
      </c>
      <c r="D4" s="678" t="s">
        <v>351</v>
      </c>
      <c r="E4" s="679">
        <v>0</v>
      </c>
      <c r="F4" s="680" t="s">
        <v>352</v>
      </c>
      <c r="G4" s="681">
        <v>0</v>
      </c>
      <c r="H4" s="679">
        <v>10</v>
      </c>
      <c r="I4" s="680" t="s">
        <v>352</v>
      </c>
      <c r="J4" s="681">
        <v>6.8</v>
      </c>
      <c r="K4" s="682">
        <f t="shared" ref="K4:K44" si="0">TRUNC(((H4*20)+J4)-((E4*20)+G4),2)</f>
        <v>206.8</v>
      </c>
      <c r="L4" s="683">
        <v>8.4</v>
      </c>
      <c r="M4" s="684">
        <f t="shared" ref="M4:M44" si="1">TRUNC(L4*K4,2)</f>
        <v>1737.12</v>
      </c>
      <c r="N4" s="685">
        <v>0</v>
      </c>
      <c r="O4" s="684">
        <f>TRUNC((M4+N4),2)</f>
        <v>1737.12</v>
      </c>
      <c r="P4" s="686">
        <v>206.8</v>
      </c>
      <c r="Q4" s="687">
        <f>P4-K4</f>
        <v>0</v>
      </c>
      <c r="R4" s="464"/>
      <c r="S4" s="465"/>
      <c r="T4" s="463"/>
      <c r="U4" s="463"/>
      <c r="V4" s="463"/>
      <c r="W4" s="463"/>
      <c r="X4" s="464"/>
      <c r="Y4" s="465"/>
      <c r="Z4" s="463"/>
      <c r="AA4" s="463"/>
      <c r="AB4" s="463"/>
      <c r="AC4" s="463"/>
      <c r="AD4" s="464"/>
      <c r="AE4" s="465"/>
      <c r="AF4" s="463"/>
      <c r="AG4" s="463"/>
      <c r="AH4" s="463"/>
      <c r="AI4" s="463"/>
      <c r="AJ4" s="464"/>
      <c r="AK4" s="465"/>
      <c r="AL4" s="463"/>
      <c r="AM4" s="463"/>
      <c r="AN4" s="463"/>
      <c r="AO4" s="463"/>
      <c r="AP4" s="464"/>
      <c r="AQ4" s="465"/>
      <c r="AR4" s="463"/>
      <c r="AS4" s="463"/>
      <c r="AT4" s="463"/>
      <c r="AU4" s="463"/>
      <c r="AV4" s="464"/>
      <c r="AW4" s="465"/>
      <c r="AX4" s="463"/>
      <c r="AY4" s="463"/>
      <c r="AZ4" s="463"/>
      <c r="BA4" s="463"/>
      <c r="BB4" s="464"/>
      <c r="BC4" s="465"/>
      <c r="BD4" s="463"/>
      <c r="BE4" s="463"/>
      <c r="BF4" s="463"/>
      <c r="BG4" s="463"/>
      <c r="BH4" s="464"/>
      <c r="BI4" s="465"/>
      <c r="BJ4" s="463"/>
      <c r="BK4" s="463"/>
      <c r="BL4" s="463"/>
      <c r="BM4" s="463"/>
      <c r="BN4" s="464"/>
      <c r="BO4" s="465"/>
      <c r="BP4" s="463"/>
      <c r="BQ4" s="463"/>
      <c r="BR4" s="463"/>
      <c r="BS4" s="463"/>
      <c r="BT4" s="464"/>
      <c r="BU4" s="465"/>
      <c r="BV4" s="463"/>
      <c r="BW4" s="463"/>
      <c r="BX4" s="463"/>
      <c r="BY4" s="463"/>
      <c r="BZ4" s="464"/>
      <c r="CA4" s="465"/>
      <c r="CB4" s="463"/>
      <c r="CC4" s="463"/>
      <c r="CD4" s="463"/>
      <c r="CE4" s="463"/>
      <c r="CF4" s="464"/>
      <c r="CG4" s="465"/>
      <c r="CH4" s="463"/>
      <c r="CI4" s="463"/>
      <c r="CJ4" s="463"/>
      <c r="CK4" s="463"/>
      <c r="CL4" s="464"/>
      <c r="CM4" s="465"/>
      <c r="CN4" s="463"/>
      <c r="CO4" s="463"/>
      <c r="CP4" s="463"/>
      <c r="CQ4" s="463"/>
      <c r="CR4" s="464"/>
      <c r="CS4" s="465"/>
      <c r="CT4" s="463"/>
      <c r="CU4" s="463"/>
      <c r="CV4" s="463"/>
      <c r="CW4" s="463"/>
      <c r="CX4" s="464"/>
      <c r="CY4" s="465"/>
      <c r="CZ4" s="463"/>
      <c r="DA4" s="463"/>
      <c r="DB4" s="463"/>
      <c r="DC4" s="463"/>
      <c r="DD4" s="464"/>
      <c r="DE4" s="465"/>
      <c r="DF4" s="463"/>
      <c r="DG4" s="463"/>
      <c r="DH4" s="463"/>
      <c r="DI4" s="463"/>
      <c r="DJ4" s="464"/>
      <c r="DK4" s="465"/>
      <c r="DL4" s="463"/>
      <c r="DM4" s="463"/>
      <c r="DN4" s="463"/>
      <c r="DO4" s="463"/>
      <c r="DP4" s="464"/>
      <c r="DQ4" s="465"/>
      <c r="DR4" s="463"/>
      <c r="DS4" s="463"/>
      <c r="DT4" s="463"/>
      <c r="DU4" s="463"/>
      <c r="DV4" s="464"/>
      <c r="DW4" s="465"/>
      <c r="DX4" s="463"/>
      <c r="DY4" s="463"/>
      <c r="DZ4" s="463"/>
      <c r="EA4" s="463"/>
      <c r="EB4" s="464"/>
      <c r="EC4" s="465"/>
      <c r="ED4" s="463"/>
      <c r="EE4" s="463"/>
      <c r="EF4" s="463"/>
      <c r="EG4" s="463"/>
      <c r="EH4" s="464"/>
      <c r="EI4" s="465"/>
      <c r="EJ4" s="463"/>
      <c r="EK4" s="463"/>
      <c r="EL4" s="463"/>
      <c r="EM4" s="463"/>
      <c r="EN4" s="464"/>
      <c r="EO4" s="465"/>
      <c r="EP4" s="463"/>
      <c r="EQ4" s="463"/>
      <c r="ER4" s="463"/>
      <c r="ES4" s="463"/>
      <c r="ET4" s="464"/>
      <c r="EU4" s="465"/>
      <c r="EV4" s="463"/>
      <c r="EW4" s="463"/>
      <c r="EX4" s="463"/>
      <c r="EY4" s="463"/>
      <c r="EZ4" s="464"/>
      <c r="FA4" s="465"/>
      <c r="FB4" s="463"/>
      <c r="FC4" s="463"/>
      <c r="FD4" s="463"/>
      <c r="FE4" s="463"/>
      <c r="FF4" s="464"/>
      <c r="FG4" s="465"/>
      <c r="FH4" s="463"/>
      <c r="FI4" s="463"/>
      <c r="FJ4" s="463"/>
      <c r="FK4" s="463"/>
      <c r="FL4" s="464"/>
      <c r="FM4" s="465"/>
      <c r="FN4" s="463"/>
      <c r="FO4" s="463"/>
      <c r="FP4" s="463"/>
      <c r="FQ4" s="463"/>
      <c r="FR4" s="464"/>
      <c r="FS4" s="465"/>
      <c r="FT4" s="463"/>
      <c r="FU4" s="463"/>
      <c r="FV4" s="463"/>
      <c r="FW4" s="463"/>
      <c r="FX4" s="464"/>
      <c r="FY4" s="465"/>
      <c r="FZ4" s="463"/>
      <c r="GA4" s="463"/>
      <c r="GB4" s="463"/>
      <c r="GC4" s="463"/>
      <c r="GD4" s="464"/>
      <c r="GE4" s="465"/>
      <c r="GF4" s="463"/>
      <c r="GG4" s="463"/>
      <c r="GH4" s="463"/>
      <c r="GI4" s="463"/>
      <c r="GJ4" s="464"/>
      <c r="GK4" s="465"/>
      <c r="GL4" s="463"/>
      <c r="GM4" s="463"/>
      <c r="GN4" s="463"/>
      <c r="GO4" s="463"/>
      <c r="GP4" s="464"/>
      <c r="GQ4" s="465"/>
      <c r="GR4" s="463"/>
      <c r="GS4" s="463"/>
      <c r="GT4" s="463"/>
      <c r="GU4" s="463"/>
      <c r="GV4" s="464"/>
      <c r="GW4" s="465"/>
      <c r="GX4" s="463"/>
      <c r="GY4" s="463"/>
      <c r="GZ4" s="463"/>
      <c r="HA4" s="463"/>
      <c r="HB4" s="464"/>
      <c r="HC4" s="465"/>
      <c r="HD4" s="463"/>
      <c r="HE4" s="463"/>
      <c r="HF4" s="463"/>
      <c r="HG4" s="463"/>
      <c r="HH4" s="464"/>
      <c r="HI4" s="465"/>
      <c r="HJ4" s="463"/>
      <c r="HK4" s="463"/>
      <c r="HL4" s="463"/>
      <c r="HM4" s="463"/>
      <c r="HN4" s="464"/>
      <c r="HO4" s="465"/>
      <c r="HP4" s="463"/>
      <c r="HQ4" s="463"/>
      <c r="HR4" s="463"/>
      <c r="HS4" s="463"/>
      <c r="HT4" s="464"/>
      <c r="HU4" s="465"/>
      <c r="HV4" s="463"/>
      <c r="HW4" s="463"/>
      <c r="HX4" s="463"/>
      <c r="HY4" s="463"/>
      <c r="HZ4" s="464"/>
      <c r="IA4" s="465"/>
      <c r="IB4" s="463"/>
      <c r="IC4" s="463"/>
      <c r="ID4" s="463"/>
      <c r="IE4" s="463"/>
      <c r="IF4" s="464"/>
      <c r="IG4" s="465"/>
      <c r="IH4" s="463"/>
      <c r="II4" s="463"/>
      <c r="IJ4" s="463"/>
    </row>
    <row r="5" spans="1:244" ht="27.75" customHeight="1" x14ac:dyDescent="0.25">
      <c r="A5" s="457">
        <v>2</v>
      </c>
      <c r="B5" s="677" t="s">
        <v>353</v>
      </c>
      <c r="C5" s="678" t="s">
        <v>354</v>
      </c>
      <c r="D5" s="678" t="s">
        <v>355</v>
      </c>
      <c r="E5" s="679">
        <v>0</v>
      </c>
      <c r="F5" s="680" t="s">
        <v>352</v>
      </c>
      <c r="G5" s="681">
        <v>0</v>
      </c>
      <c r="H5" s="679">
        <v>3</v>
      </c>
      <c r="I5" s="680" t="s">
        <v>352</v>
      </c>
      <c r="J5" s="681">
        <v>0</v>
      </c>
      <c r="K5" s="682">
        <f t="shared" si="0"/>
        <v>60</v>
      </c>
      <c r="L5" s="683">
        <v>6.4</v>
      </c>
      <c r="M5" s="684">
        <f t="shared" si="1"/>
        <v>384</v>
      </c>
      <c r="N5" s="685">
        <f>5.54+5.2</f>
        <v>10.74</v>
      </c>
      <c r="O5" s="684">
        <f t="shared" ref="O5:O44" si="2">TRUNC((M5+N5),2)</f>
        <v>394.74</v>
      </c>
      <c r="P5" s="686">
        <v>60</v>
      </c>
      <c r="Q5" s="687">
        <f t="shared" ref="Q5:Q44" si="3">P5-K5</f>
        <v>0</v>
      </c>
      <c r="R5" s="464"/>
      <c r="S5" s="465"/>
      <c r="T5" s="463"/>
      <c r="U5" s="463"/>
      <c r="V5" s="463"/>
      <c r="W5" s="463"/>
      <c r="X5" s="464"/>
      <c r="Y5" s="465"/>
      <c r="Z5" s="463"/>
      <c r="AA5" s="463"/>
      <c r="AB5" s="463"/>
      <c r="AC5" s="463"/>
      <c r="AD5" s="464"/>
      <c r="AE5" s="465"/>
      <c r="AF5" s="463"/>
      <c r="AG5" s="463"/>
      <c r="AH5" s="463"/>
      <c r="AI5" s="463"/>
      <c r="AJ5" s="464"/>
      <c r="AK5" s="465"/>
      <c r="AL5" s="463"/>
      <c r="AM5" s="463"/>
      <c r="AN5" s="463"/>
      <c r="AO5" s="463"/>
      <c r="AP5" s="464"/>
      <c r="AQ5" s="465"/>
      <c r="AR5" s="463"/>
      <c r="AS5" s="463"/>
      <c r="AT5" s="463"/>
      <c r="AU5" s="463"/>
      <c r="AV5" s="464"/>
      <c r="AW5" s="465"/>
      <c r="AX5" s="463"/>
      <c r="AY5" s="463"/>
      <c r="AZ5" s="463"/>
      <c r="BA5" s="463"/>
      <c r="BB5" s="464"/>
      <c r="BC5" s="465"/>
      <c r="BD5" s="463"/>
      <c r="BE5" s="463"/>
      <c r="BF5" s="463"/>
      <c r="BG5" s="463"/>
      <c r="BH5" s="464"/>
      <c r="BI5" s="465"/>
      <c r="BJ5" s="463"/>
      <c r="BK5" s="463"/>
      <c r="BL5" s="463"/>
      <c r="BM5" s="463"/>
      <c r="BN5" s="464"/>
      <c r="BO5" s="465"/>
      <c r="BP5" s="463"/>
      <c r="BQ5" s="463"/>
      <c r="BR5" s="463"/>
      <c r="BS5" s="463"/>
      <c r="BT5" s="464"/>
      <c r="BU5" s="465"/>
      <c r="BV5" s="463"/>
      <c r="BW5" s="463"/>
      <c r="BX5" s="463"/>
      <c r="BY5" s="463"/>
      <c r="BZ5" s="464"/>
      <c r="CA5" s="465"/>
      <c r="CB5" s="463"/>
      <c r="CC5" s="463"/>
      <c r="CD5" s="463"/>
      <c r="CE5" s="463"/>
      <c r="CF5" s="464"/>
      <c r="CG5" s="465"/>
      <c r="CH5" s="463"/>
      <c r="CI5" s="463"/>
      <c r="CJ5" s="463"/>
      <c r="CK5" s="463"/>
      <c r="CL5" s="464"/>
      <c r="CM5" s="465"/>
      <c r="CN5" s="463"/>
      <c r="CO5" s="463"/>
      <c r="CP5" s="463"/>
      <c r="CQ5" s="463"/>
      <c r="CR5" s="464"/>
      <c r="CS5" s="465"/>
      <c r="CT5" s="463"/>
      <c r="CU5" s="463"/>
      <c r="CV5" s="463"/>
      <c r="CW5" s="463"/>
      <c r="CX5" s="464"/>
      <c r="CY5" s="465"/>
      <c r="CZ5" s="463"/>
      <c r="DA5" s="463"/>
      <c r="DB5" s="463"/>
      <c r="DC5" s="463"/>
      <c r="DD5" s="464"/>
      <c r="DE5" s="465"/>
      <c r="DF5" s="463"/>
      <c r="DG5" s="463"/>
      <c r="DH5" s="463"/>
      <c r="DI5" s="463"/>
      <c r="DJ5" s="464"/>
      <c r="DK5" s="465"/>
      <c r="DL5" s="463"/>
      <c r="DM5" s="463"/>
      <c r="DN5" s="463"/>
      <c r="DO5" s="463"/>
      <c r="DP5" s="464"/>
      <c r="DQ5" s="465"/>
      <c r="DR5" s="463"/>
      <c r="DS5" s="463"/>
      <c r="DT5" s="463"/>
      <c r="DU5" s="463"/>
      <c r="DV5" s="464"/>
      <c r="DW5" s="465"/>
      <c r="DX5" s="463"/>
      <c r="DY5" s="463"/>
      <c r="DZ5" s="463"/>
      <c r="EA5" s="463"/>
      <c r="EB5" s="464"/>
      <c r="EC5" s="465"/>
      <c r="ED5" s="463"/>
      <c r="EE5" s="463"/>
      <c r="EF5" s="463"/>
      <c r="EG5" s="463"/>
      <c r="EH5" s="464"/>
      <c r="EI5" s="465"/>
      <c r="EJ5" s="463"/>
      <c r="EK5" s="463"/>
      <c r="EL5" s="463"/>
      <c r="EM5" s="463"/>
      <c r="EN5" s="464"/>
      <c r="EO5" s="465"/>
      <c r="EP5" s="463"/>
      <c r="EQ5" s="463"/>
      <c r="ER5" s="463"/>
      <c r="ES5" s="463"/>
      <c r="ET5" s="464"/>
      <c r="EU5" s="465"/>
      <c r="EV5" s="463"/>
      <c r="EW5" s="463"/>
      <c r="EX5" s="463"/>
      <c r="EY5" s="463"/>
      <c r="EZ5" s="464"/>
      <c r="FA5" s="465"/>
      <c r="FB5" s="463"/>
      <c r="FC5" s="463"/>
      <c r="FD5" s="463"/>
      <c r="FE5" s="463"/>
      <c r="FF5" s="464"/>
      <c r="FG5" s="465"/>
      <c r="FH5" s="463"/>
      <c r="FI5" s="463"/>
      <c r="FJ5" s="463"/>
      <c r="FK5" s="463"/>
      <c r="FL5" s="464"/>
      <c r="FM5" s="465"/>
      <c r="FN5" s="463"/>
      <c r="FO5" s="463"/>
      <c r="FP5" s="463"/>
      <c r="FQ5" s="463"/>
      <c r="FR5" s="464"/>
      <c r="FS5" s="465"/>
      <c r="FT5" s="463"/>
      <c r="FU5" s="463"/>
      <c r="FV5" s="463"/>
      <c r="FW5" s="463"/>
      <c r="FX5" s="464"/>
      <c r="FY5" s="465"/>
      <c r="FZ5" s="463"/>
      <c r="GA5" s="463"/>
      <c r="GB5" s="463"/>
      <c r="GC5" s="463"/>
      <c r="GD5" s="464"/>
      <c r="GE5" s="465"/>
      <c r="GF5" s="463"/>
      <c r="GG5" s="463"/>
      <c r="GH5" s="463"/>
      <c r="GI5" s="463"/>
      <c r="GJ5" s="464"/>
      <c r="GK5" s="465"/>
      <c r="GL5" s="463"/>
      <c r="GM5" s="463"/>
      <c r="GN5" s="463"/>
      <c r="GO5" s="463"/>
      <c r="GP5" s="464"/>
      <c r="GQ5" s="465"/>
      <c r="GR5" s="463"/>
      <c r="GS5" s="463"/>
      <c r="GT5" s="463"/>
      <c r="GU5" s="463"/>
      <c r="GV5" s="464"/>
      <c r="GW5" s="465"/>
      <c r="GX5" s="463"/>
      <c r="GY5" s="463"/>
      <c r="GZ5" s="463"/>
      <c r="HA5" s="463"/>
      <c r="HB5" s="464"/>
      <c r="HC5" s="465"/>
      <c r="HD5" s="463"/>
      <c r="HE5" s="463"/>
      <c r="HF5" s="463"/>
      <c r="HG5" s="463"/>
      <c r="HH5" s="464"/>
      <c r="HI5" s="465"/>
      <c r="HJ5" s="463"/>
      <c r="HK5" s="463"/>
      <c r="HL5" s="463"/>
      <c r="HM5" s="463"/>
      <c r="HN5" s="464"/>
      <c r="HO5" s="465"/>
      <c r="HP5" s="463"/>
      <c r="HQ5" s="463"/>
      <c r="HR5" s="463"/>
      <c r="HS5" s="463"/>
      <c r="HT5" s="464"/>
      <c r="HU5" s="465"/>
      <c r="HV5" s="463"/>
      <c r="HW5" s="463"/>
      <c r="HX5" s="463"/>
      <c r="HY5" s="463"/>
      <c r="HZ5" s="464"/>
      <c r="IA5" s="465"/>
      <c r="IB5" s="463"/>
      <c r="IC5" s="463"/>
      <c r="ID5" s="463"/>
      <c r="IE5" s="463"/>
      <c r="IF5" s="464"/>
      <c r="IG5" s="465"/>
      <c r="IH5" s="463"/>
      <c r="II5" s="463"/>
      <c r="IJ5" s="463"/>
    </row>
    <row r="6" spans="1:244" ht="27.75" customHeight="1" x14ac:dyDescent="0.25">
      <c r="A6" s="457">
        <v>3</v>
      </c>
      <c r="B6" s="677" t="s">
        <v>356</v>
      </c>
      <c r="C6" s="678" t="s">
        <v>357</v>
      </c>
      <c r="D6" s="678" t="s">
        <v>358</v>
      </c>
      <c r="E6" s="679">
        <v>0</v>
      </c>
      <c r="F6" s="680" t="s">
        <v>352</v>
      </c>
      <c r="G6" s="681">
        <v>0</v>
      </c>
      <c r="H6" s="679">
        <v>5</v>
      </c>
      <c r="I6" s="680" t="s">
        <v>352</v>
      </c>
      <c r="J6" s="681">
        <v>7.9669999999999996</v>
      </c>
      <c r="K6" s="682">
        <f t="shared" si="0"/>
        <v>107.96</v>
      </c>
      <c r="L6" s="683">
        <v>6.4</v>
      </c>
      <c r="M6" s="684">
        <f t="shared" si="1"/>
        <v>690.94</v>
      </c>
      <c r="N6" s="685">
        <f>5.2+5.53+5.91+3.31</f>
        <v>19.95</v>
      </c>
      <c r="O6" s="684">
        <f t="shared" si="2"/>
        <v>710.89</v>
      </c>
      <c r="P6" s="686">
        <v>107.967</v>
      </c>
      <c r="Q6" s="687">
        <f t="shared" si="3"/>
        <v>7.0000000000050022E-3</v>
      </c>
      <c r="R6" s="464"/>
      <c r="S6" s="465"/>
      <c r="T6" s="463"/>
      <c r="U6" s="463"/>
      <c r="V6" s="463"/>
      <c r="W6" s="463"/>
      <c r="X6" s="464"/>
      <c r="Y6" s="465"/>
      <c r="Z6" s="463"/>
      <c r="AA6" s="463"/>
      <c r="AB6" s="463"/>
      <c r="AC6" s="463"/>
      <c r="AD6" s="464"/>
      <c r="AE6" s="465"/>
      <c r="AF6" s="463"/>
      <c r="AG6" s="463"/>
      <c r="AH6" s="463"/>
      <c r="AI6" s="463"/>
      <c r="AJ6" s="464"/>
      <c r="AK6" s="465"/>
      <c r="AL6" s="463"/>
      <c r="AM6" s="463"/>
      <c r="AN6" s="463"/>
      <c r="AO6" s="463"/>
      <c r="AP6" s="464"/>
      <c r="AQ6" s="465"/>
      <c r="AR6" s="463"/>
      <c r="AS6" s="463"/>
      <c r="AT6" s="463"/>
      <c r="AU6" s="463"/>
      <c r="AV6" s="464"/>
      <c r="AW6" s="465"/>
      <c r="AX6" s="463"/>
      <c r="AY6" s="463"/>
      <c r="AZ6" s="463"/>
      <c r="BA6" s="463"/>
      <c r="BB6" s="464"/>
      <c r="BC6" s="465"/>
      <c r="BD6" s="463"/>
      <c r="BE6" s="463"/>
      <c r="BF6" s="463"/>
      <c r="BG6" s="463"/>
      <c r="BH6" s="464"/>
      <c r="BI6" s="465"/>
      <c r="BJ6" s="463"/>
      <c r="BK6" s="463"/>
      <c r="BL6" s="463"/>
      <c r="BM6" s="463"/>
      <c r="BN6" s="464"/>
      <c r="BO6" s="465"/>
      <c r="BP6" s="463"/>
      <c r="BQ6" s="463"/>
      <c r="BR6" s="463"/>
      <c r="BS6" s="463"/>
      <c r="BT6" s="464"/>
      <c r="BU6" s="465"/>
      <c r="BV6" s="463"/>
      <c r="BW6" s="463"/>
      <c r="BX6" s="463"/>
      <c r="BY6" s="463"/>
      <c r="BZ6" s="464"/>
      <c r="CA6" s="465"/>
      <c r="CB6" s="463"/>
      <c r="CC6" s="463"/>
      <c r="CD6" s="463"/>
      <c r="CE6" s="463"/>
      <c r="CF6" s="464"/>
      <c r="CG6" s="465"/>
      <c r="CH6" s="463"/>
      <c r="CI6" s="463"/>
      <c r="CJ6" s="463"/>
      <c r="CK6" s="463"/>
      <c r="CL6" s="464"/>
      <c r="CM6" s="465"/>
      <c r="CN6" s="463"/>
      <c r="CO6" s="463"/>
      <c r="CP6" s="463"/>
      <c r="CQ6" s="463"/>
      <c r="CR6" s="464"/>
      <c r="CS6" s="465"/>
      <c r="CT6" s="463"/>
      <c r="CU6" s="463"/>
      <c r="CV6" s="463"/>
      <c r="CW6" s="463"/>
      <c r="CX6" s="464"/>
      <c r="CY6" s="465"/>
      <c r="CZ6" s="463"/>
      <c r="DA6" s="463"/>
      <c r="DB6" s="463"/>
      <c r="DC6" s="463"/>
      <c r="DD6" s="464"/>
      <c r="DE6" s="465"/>
      <c r="DF6" s="463"/>
      <c r="DG6" s="463"/>
      <c r="DH6" s="463"/>
      <c r="DI6" s="463"/>
      <c r="DJ6" s="464"/>
      <c r="DK6" s="465"/>
      <c r="DL6" s="463"/>
      <c r="DM6" s="463"/>
      <c r="DN6" s="463"/>
      <c r="DO6" s="463"/>
      <c r="DP6" s="464"/>
      <c r="DQ6" s="465"/>
      <c r="DR6" s="463"/>
      <c r="DS6" s="463"/>
      <c r="DT6" s="463"/>
      <c r="DU6" s="463"/>
      <c r="DV6" s="464"/>
      <c r="DW6" s="465"/>
      <c r="DX6" s="463"/>
      <c r="DY6" s="463"/>
      <c r="DZ6" s="463"/>
      <c r="EA6" s="463"/>
      <c r="EB6" s="464"/>
      <c r="EC6" s="465"/>
      <c r="ED6" s="463"/>
      <c r="EE6" s="463"/>
      <c r="EF6" s="463"/>
      <c r="EG6" s="463"/>
      <c r="EH6" s="464"/>
      <c r="EI6" s="465"/>
      <c r="EJ6" s="463"/>
      <c r="EK6" s="463"/>
      <c r="EL6" s="463"/>
      <c r="EM6" s="463"/>
      <c r="EN6" s="464"/>
      <c r="EO6" s="465"/>
      <c r="EP6" s="463"/>
      <c r="EQ6" s="463"/>
      <c r="ER6" s="463"/>
      <c r="ES6" s="463"/>
      <c r="ET6" s="464"/>
      <c r="EU6" s="465"/>
      <c r="EV6" s="463"/>
      <c r="EW6" s="463"/>
      <c r="EX6" s="463"/>
      <c r="EY6" s="463"/>
      <c r="EZ6" s="464"/>
      <c r="FA6" s="465"/>
      <c r="FB6" s="463"/>
      <c r="FC6" s="463"/>
      <c r="FD6" s="463"/>
      <c r="FE6" s="463"/>
      <c r="FF6" s="464"/>
      <c r="FG6" s="465"/>
      <c r="FH6" s="463"/>
      <c r="FI6" s="463"/>
      <c r="FJ6" s="463"/>
      <c r="FK6" s="463"/>
      <c r="FL6" s="464"/>
      <c r="FM6" s="465"/>
      <c r="FN6" s="463"/>
      <c r="FO6" s="463"/>
      <c r="FP6" s="463"/>
      <c r="FQ6" s="463"/>
      <c r="FR6" s="464"/>
      <c r="FS6" s="465"/>
      <c r="FT6" s="463"/>
      <c r="FU6" s="463"/>
      <c r="FV6" s="463"/>
      <c r="FW6" s="463"/>
      <c r="FX6" s="464"/>
      <c r="FY6" s="465"/>
      <c r="FZ6" s="463"/>
      <c r="GA6" s="463"/>
      <c r="GB6" s="463"/>
      <c r="GC6" s="463"/>
      <c r="GD6" s="464"/>
      <c r="GE6" s="465"/>
      <c r="GF6" s="463"/>
      <c r="GG6" s="463"/>
      <c r="GH6" s="463"/>
      <c r="GI6" s="463"/>
      <c r="GJ6" s="464"/>
      <c r="GK6" s="465"/>
      <c r="GL6" s="463"/>
      <c r="GM6" s="463"/>
      <c r="GN6" s="463"/>
      <c r="GO6" s="463"/>
      <c r="GP6" s="464"/>
      <c r="GQ6" s="465"/>
      <c r="GR6" s="463"/>
      <c r="GS6" s="463"/>
      <c r="GT6" s="463"/>
      <c r="GU6" s="463"/>
      <c r="GV6" s="464"/>
      <c r="GW6" s="465"/>
      <c r="GX6" s="463"/>
      <c r="GY6" s="463"/>
      <c r="GZ6" s="463"/>
      <c r="HA6" s="463"/>
      <c r="HB6" s="464"/>
      <c r="HC6" s="465"/>
      <c r="HD6" s="463"/>
      <c r="HE6" s="463"/>
      <c r="HF6" s="463"/>
      <c r="HG6" s="463"/>
      <c r="HH6" s="464"/>
      <c r="HI6" s="465"/>
      <c r="HJ6" s="463"/>
      <c r="HK6" s="463"/>
      <c r="HL6" s="463"/>
      <c r="HM6" s="463"/>
      <c r="HN6" s="464"/>
      <c r="HO6" s="465"/>
      <c r="HP6" s="463"/>
      <c r="HQ6" s="463"/>
      <c r="HR6" s="463"/>
      <c r="HS6" s="463"/>
      <c r="HT6" s="464"/>
      <c r="HU6" s="465"/>
      <c r="HV6" s="463"/>
      <c r="HW6" s="463"/>
      <c r="HX6" s="463"/>
      <c r="HY6" s="463"/>
      <c r="HZ6" s="464"/>
      <c r="IA6" s="465"/>
      <c r="IB6" s="463"/>
      <c r="IC6" s="463"/>
      <c r="ID6" s="463"/>
      <c r="IE6" s="463"/>
      <c r="IF6" s="464"/>
      <c r="IG6" s="465"/>
      <c r="IH6" s="463"/>
      <c r="II6" s="463"/>
      <c r="IJ6" s="463"/>
    </row>
    <row r="7" spans="1:244" ht="27.75" customHeight="1" x14ac:dyDescent="0.25">
      <c r="A7" s="457">
        <v>4</v>
      </c>
      <c r="B7" s="677" t="s">
        <v>359</v>
      </c>
      <c r="C7" s="678" t="s">
        <v>360</v>
      </c>
      <c r="D7" s="678" t="s">
        <v>361</v>
      </c>
      <c r="E7" s="679">
        <v>0</v>
      </c>
      <c r="F7" s="680" t="s">
        <v>352</v>
      </c>
      <c r="G7" s="681">
        <v>0</v>
      </c>
      <c r="H7" s="679">
        <v>3</v>
      </c>
      <c r="I7" s="680" t="s">
        <v>352</v>
      </c>
      <c r="J7" s="681">
        <v>2.7509999999999999</v>
      </c>
      <c r="K7" s="682">
        <f t="shared" si="0"/>
        <v>62.75</v>
      </c>
      <c r="L7" s="683">
        <v>8.4</v>
      </c>
      <c r="M7" s="684">
        <f t="shared" si="1"/>
        <v>527.1</v>
      </c>
      <c r="N7" s="685">
        <f>5.65+5.22</f>
        <v>10.870000000000001</v>
      </c>
      <c r="O7" s="684">
        <f t="shared" si="2"/>
        <v>537.97</v>
      </c>
      <c r="P7" s="686">
        <v>62.750999999999998</v>
      </c>
      <c r="Q7" s="687">
        <f t="shared" si="3"/>
        <v>9.9999999999766942E-4</v>
      </c>
      <c r="R7" s="464"/>
      <c r="S7" s="465"/>
      <c r="T7" s="463"/>
      <c r="U7" s="463"/>
      <c r="V7" s="463"/>
      <c r="W7" s="463"/>
      <c r="X7" s="464"/>
      <c r="Y7" s="465"/>
      <c r="Z7" s="463"/>
      <c r="AA7" s="463"/>
      <c r="AB7" s="463"/>
      <c r="AC7" s="463"/>
      <c r="AD7" s="464"/>
      <c r="AE7" s="465"/>
      <c r="AF7" s="463"/>
      <c r="AG7" s="463"/>
      <c r="AH7" s="463"/>
      <c r="AI7" s="463"/>
      <c r="AJ7" s="464"/>
      <c r="AK7" s="465"/>
      <c r="AL7" s="463"/>
      <c r="AM7" s="463"/>
      <c r="AN7" s="463"/>
      <c r="AO7" s="463"/>
      <c r="AP7" s="464"/>
      <c r="AQ7" s="465"/>
      <c r="AR7" s="463"/>
      <c r="AS7" s="463"/>
      <c r="AT7" s="463"/>
      <c r="AU7" s="463"/>
      <c r="AV7" s="464"/>
      <c r="AW7" s="465"/>
      <c r="AX7" s="463"/>
      <c r="AY7" s="463"/>
      <c r="AZ7" s="463"/>
      <c r="BA7" s="463"/>
      <c r="BB7" s="464"/>
      <c r="BC7" s="465"/>
      <c r="BD7" s="463"/>
      <c r="BE7" s="463"/>
      <c r="BF7" s="463"/>
      <c r="BG7" s="463"/>
      <c r="BH7" s="464"/>
      <c r="BI7" s="465"/>
      <c r="BJ7" s="463"/>
      <c r="BK7" s="463"/>
      <c r="BL7" s="463"/>
      <c r="BM7" s="463"/>
      <c r="BN7" s="464"/>
      <c r="BO7" s="465"/>
      <c r="BP7" s="463"/>
      <c r="BQ7" s="463"/>
      <c r="BR7" s="463"/>
      <c r="BS7" s="463"/>
      <c r="BT7" s="464"/>
      <c r="BU7" s="465"/>
      <c r="BV7" s="463"/>
      <c r="BW7" s="463"/>
      <c r="BX7" s="463"/>
      <c r="BY7" s="463"/>
      <c r="BZ7" s="464"/>
      <c r="CA7" s="465"/>
      <c r="CB7" s="463"/>
      <c r="CC7" s="463"/>
      <c r="CD7" s="463"/>
      <c r="CE7" s="463"/>
      <c r="CF7" s="464"/>
      <c r="CG7" s="465"/>
      <c r="CH7" s="463"/>
      <c r="CI7" s="463"/>
      <c r="CJ7" s="463"/>
      <c r="CK7" s="463"/>
      <c r="CL7" s="464"/>
      <c r="CM7" s="465"/>
      <c r="CN7" s="463"/>
      <c r="CO7" s="463"/>
      <c r="CP7" s="463"/>
      <c r="CQ7" s="463"/>
      <c r="CR7" s="464"/>
      <c r="CS7" s="465"/>
      <c r="CT7" s="463"/>
      <c r="CU7" s="463"/>
      <c r="CV7" s="463"/>
      <c r="CW7" s="463"/>
      <c r="CX7" s="464"/>
      <c r="CY7" s="465"/>
      <c r="CZ7" s="463"/>
      <c r="DA7" s="463"/>
      <c r="DB7" s="463"/>
      <c r="DC7" s="463"/>
      <c r="DD7" s="464"/>
      <c r="DE7" s="465"/>
      <c r="DF7" s="463"/>
      <c r="DG7" s="463"/>
      <c r="DH7" s="463"/>
      <c r="DI7" s="463"/>
      <c r="DJ7" s="464"/>
      <c r="DK7" s="465"/>
      <c r="DL7" s="463"/>
      <c r="DM7" s="463"/>
      <c r="DN7" s="463"/>
      <c r="DO7" s="463"/>
      <c r="DP7" s="464"/>
      <c r="DQ7" s="465"/>
      <c r="DR7" s="463"/>
      <c r="DS7" s="463"/>
      <c r="DT7" s="463"/>
      <c r="DU7" s="463"/>
      <c r="DV7" s="464"/>
      <c r="DW7" s="465"/>
      <c r="DX7" s="463"/>
      <c r="DY7" s="463"/>
      <c r="DZ7" s="463"/>
      <c r="EA7" s="463"/>
      <c r="EB7" s="464"/>
      <c r="EC7" s="465"/>
      <c r="ED7" s="463"/>
      <c r="EE7" s="463"/>
      <c r="EF7" s="463"/>
      <c r="EG7" s="463"/>
      <c r="EH7" s="464"/>
      <c r="EI7" s="465"/>
      <c r="EJ7" s="463"/>
      <c r="EK7" s="463"/>
      <c r="EL7" s="463"/>
      <c r="EM7" s="463"/>
      <c r="EN7" s="464"/>
      <c r="EO7" s="465"/>
      <c r="EP7" s="463"/>
      <c r="EQ7" s="463"/>
      <c r="ER7" s="463"/>
      <c r="ES7" s="463"/>
      <c r="ET7" s="464"/>
      <c r="EU7" s="465"/>
      <c r="EV7" s="463"/>
      <c r="EW7" s="463"/>
      <c r="EX7" s="463"/>
      <c r="EY7" s="463"/>
      <c r="EZ7" s="464"/>
      <c r="FA7" s="465"/>
      <c r="FB7" s="463"/>
      <c r="FC7" s="463"/>
      <c r="FD7" s="463"/>
      <c r="FE7" s="463"/>
      <c r="FF7" s="464"/>
      <c r="FG7" s="465"/>
      <c r="FH7" s="463"/>
      <c r="FI7" s="463"/>
      <c r="FJ7" s="463"/>
      <c r="FK7" s="463"/>
      <c r="FL7" s="464"/>
      <c r="FM7" s="465"/>
      <c r="FN7" s="463"/>
      <c r="FO7" s="463"/>
      <c r="FP7" s="463"/>
      <c r="FQ7" s="463"/>
      <c r="FR7" s="464"/>
      <c r="FS7" s="465"/>
      <c r="FT7" s="463"/>
      <c r="FU7" s="463"/>
      <c r="FV7" s="463"/>
      <c r="FW7" s="463"/>
      <c r="FX7" s="464"/>
      <c r="FY7" s="465"/>
      <c r="FZ7" s="463"/>
      <c r="GA7" s="463"/>
      <c r="GB7" s="463"/>
      <c r="GC7" s="463"/>
      <c r="GD7" s="464"/>
      <c r="GE7" s="465"/>
      <c r="GF7" s="463"/>
      <c r="GG7" s="463"/>
      <c r="GH7" s="463"/>
      <c r="GI7" s="463"/>
      <c r="GJ7" s="464"/>
      <c r="GK7" s="465"/>
      <c r="GL7" s="463"/>
      <c r="GM7" s="463"/>
      <c r="GN7" s="463"/>
      <c r="GO7" s="463"/>
      <c r="GP7" s="464"/>
      <c r="GQ7" s="465"/>
      <c r="GR7" s="463"/>
      <c r="GS7" s="463"/>
      <c r="GT7" s="463"/>
      <c r="GU7" s="463"/>
      <c r="GV7" s="464"/>
      <c r="GW7" s="465"/>
      <c r="GX7" s="463"/>
      <c r="GY7" s="463"/>
      <c r="GZ7" s="463"/>
      <c r="HA7" s="463"/>
      <c r="HB7" s="464"/>
      <c r="HC7" s="465"/>
      <c r="HD7" s="463"/>
      <c r="HE7" s="463"/>
      <c r="HF7" s="463"/>
      <c r="HG7" s="463"/>
      <c r="HH7" s="464"/>
      <c r="HI7" s="465"/>
      <c r="HJ7" s="463"/>
      <c r="HK7" s="463"/>
      <c r="HL7" s="463"/>
      <c r="HM7" s="463"/>
      <c r="HN7" s="464"/>
      <c r="HO7" s="465"/>
      <c r="HP7" s="463"/>
      <c r="HQ7" s="463"/>
      <c r="HR7" s="463"/>
      <c r="HS7" s="463"/>
      <c r="HT7" s="464"/>
      <c r="HU7" s="465"/>
      <c r="HV7" s="463"/>
      <c r="HW7" s="463"/>
      <c r="HX7" s="463"/>
      <c r="HY7" s="463"/>
      <c r="HZ7" s="464"/>
      <c r="IA7" s="465"/>
      <c r="IB7" s="463"/>
      <c r="IC7" s="463"/>
      <c r="ID7" s="463"/>
      <c r="IE7" s="463"/>
      <c r="IF7" s="464"/>
      <c r="IG7" s="465"/>
      <c r="IH7" s="463"/>
      <c r="II7" s="463"/>
      <c r="IJ7" s="463"/>
    </row>
    <row r="8" spans="1:244" ht="27.75" customHeight="1" x14ac:dyDescent="0.25">
      <c r="A8" s="457">
        <v>5</v>
      </c>
      <c r="B8" s="677" t="s">
        <v>362</v>
      </c>
      <c r="C8" s="678" t="s">
        <v>363</v>
      </c>
      <c r="D8" s="678" t="s">
        <v>364</v>
      </c>
      <c r="E8" s="679">
        <v>0</v>
      </c>
      <c r="F8" s="680"/>
      <c r="G8" s="681">
        <v>0</v>
      </c>
      <c r="H8" s="679">
        <v>5</v>
      </c>
      <c r="I8" s="680" t="s">
        <v>352</v>
      </c>
      <c r="J8" s="681">
        <v>5.7880000000000003</v>
      </c>
      <c r="K8" s="682">
        <f t="shared" si="0"/>
        <v>105.78</v>
      </c>
      <c r="L8" s="683">
        <v>8.4</v>
      </c>
      <c r="M8" s="684">
        <f t="shared" si="1"/>
        <v>888.55</v>
      </c>
      <c r="N8" s="685">
        <f>5.39+5.22+5.21+5.52</f>
        <v>21.34</v>
      </c>
      <c r="O8" s="684">
        <f t="shared" si="2"/>
        <v>909.89</v>
      </c>
      <c r="P8" s="686">
        <v>105.788</v>
      </c>
      <c r="Q8" s="687">
        <f t="shared" si="3"/>
        <v>7.9999999999955662E-3</v>
      </c>
      <c r="R8" s="464"/>
      <c r="S8" s="465"/>
      <c r="T8" s="463"/>
      <c r="U8" s="463"/>
      <c r="V8" s="463"/>
      <c r="W8" s="463"/>
      <c r="X8" s="464"/>
      <c r="Y8" s="465"/>
      <c r="Z8" s="463"/>
      <c r="AA8" s="463"/>
      <c r="AB8" s="463"/>
      <c r="AC8" s="463"/>
      <c r="AD8" s="464"/>
      <c r="AE8" s="465"/>
      <c r="AF8" s="463"/>
      <c r="AG8" s="463"/>
      <c r="AH8" s="463"/>
      <c r="AI8" s="463"/>
      <c r="AJ8" s="464"/>
      <c r="AK8" s="465"/>
      <c r="AL8" s="463"/>
      <c r="AM8" s="463"/>
      <c r="AN8" s="463"/>
      <c r="AO8" s="463"/>
      <c r="AP8" s="464"/>
      <c r="AQ8" s="465"/>
      <c r="AR8" s="463"/>
      <c r="AS8" s="463"/>
      <c r="AT8" s="463"/>
      <c r="AU8" s="463"/>
      <c r="AV8" s="464"/>
      <c r="AW8" s="465"/>
      <c r="AX8" s="463"/>
      <c r="AY8" s="463"/>
      <c r="AZ8" s="463"/>
      <c r="BA8" s="463"/>
      <c r="BB8" s="464"/>
      <c r="BC8" s="465"/>
      <c r="BD8" s="463"/>
      <c r="BE8" s="463"/>
      <c r="BF8" s="463"/>
      <c r="BG8" s="463"/>
      <c r="BH8" s="464"/>
      <c r="BI8" s="465"/>
      <c r="BJ8" s="463"/>
      <c r="BK8" s="463"/>
      <c r="BL8" s="463"/>
      <c r="BM8" s="463"/>
      <c r="BN8" s="464"/>
      <c r="BO8" s="465"/>
      <c r="BP8" s="463"/>
      <c r="BQ8" s="463"/>
      <c r="BR8" s="463"/>
      <c r="BS8" s="463"/>
      <c r="BT8" s="464"/>
      <c r="BU8" s="465"/>
      <c r="BV8" s="463"/>
      <c r="BW8" s="463"/>
      <c r="BX8" s="463"/>
      <c r="BY8" s="463"/>
      <c r="BZ8" s="464"/>
      <c r="CA8" s="465"/>
      <c r="CB8" s="463"/>
      <c r="CC8" s="463"/>
      <c r="CD8" s="463"/>
      <c r="CE8" s="463"/>
      <c r="CF8" s="464"/>
      <c r="CG8" s="465"/>
      <c r="CH8" s="463"/>
      <c r="CI8" s="463"/>
      <c r="CJ8" s="463"/>
      <c r="CK8" s="463"/>
      <c r="CL8" s="464"/>
      <c r="CM8" s="465"/>
      <c r="CN8" s="463"/>
      <c r="CO8" s="463"/>
      <c r="CP8" s="463"/>
      <c r="CQ8" s="463"/>
      <c r="CR8" s="464"/>
      <c r="CS8" s="465"/>
      <c r="CT8" s="463"/>
      <c r="CU8" s="463"/>
      <c r="CV8" s="463"/>
      <c r="CW8" s="463"/>
      <c r="CX8" s="464"/>
      <c r="CY8" s="465"/>
      <c r="CZ8" s="463"/>
      <c r="DA8" s="463"/>
      <c r="DB8" s="463"/>
      <c r="DC8" s="463"/>
      <c r="DD8" s="464"/>
      <c r="DE8" s="465"/>
      <c r="DF8" s="463"/>
      <c r="DG8" s="463"/>
      <c r="DH8" s="463"/>
      <c r="DI8" s="463"/>
      <c r="DJ8" s="464"/>
      <c r="DK8" s="465"/>
      <c r="DL8" s="463"/>
      <c r="DM8" s="463"/>
      <c r="DN8" s="463"/>
      <c r="DO8" s="463"/>
      <c r="DP8" s="464"/>
      <c r="DQ8" s="465"/>
      <c r="DR8" s="463"/>
      <c r="DS8" s="463"/>
      <c r="DT8" s="463"/>
      <c r="DU8" s="463"/>
      <c r="DV8" s="464"/>
      <c r="DW8" s="465"/>
      <c r="DX8" s="463"/>
      <c r="DY8" s="463"/>
      <c r="DZ8" s="463"/>
      <c r="EA8" s="463"/>
      <c r="EB8" s="464"/>
      <c r="EC8" s="465"/>
      <c r="ED8" s="463"/>
      <c r="EE8" s="463"/>
      <c r="EF8" s="463"/>
      <c r="EG8" s="463"/>
      <c r="EH8" s="464"/>
      <c r="EI8" s="465"/>
      <c r="EJ8" s="463"/>
      <c r="EK8" s="463"/>
      <c r="EL8" s="463"/>
      <c r="EM8" s="463"/>
      <c r="EN8" s="464"/>
      <c r="EO8" s="465"/>
      <c r="EP8" s="463"/>
      <c r="EQ8" s="463"/>
      <c r="ER8" s="463"/>
      <c r="ES8" s="463"/>
      <c r="ET8" s="464"/>
      <c r="EU8" s="465"/>
      <c r="EV8" s="463"/>
      <c r="EW8" s="463"/>
      <c r="EX8" s="463"/>
      <c r="EY8" s="463"/>
      <c r="EZ8" s="464"/>
      <c r="FA8" s="465"/>
      <c r="FB8" s="463"/>
      <c r="FC8" s="463"/>
      <c r="FD8" s="463"/>
      <c r="FE8" s="463"/>
      <c r="FF8" s="464"/>
      <c r="FG8" s="465"/>
      <c r="FH8" s="463"/>
      <c r="FI8" s="463"/>
      <c r="FJ8" s="463"/>
      <c r="FK8" s="463"/>
      <c r="FL8" s="464"/>
      <c r="FM8" s="465"/>
      <c r="FN8" s="463"/>
      <c r="FO8" s="463"/>
      <c r="FP8" s="463"/>
      <c r="FQ8" s="463"/>
      <c r="FR8" s="464"/>
      <c r="FS8" s="465"/>
      <c r="FT8" s="463"/>
      <c r="FU8" s="463"/>
      <c r="FV8" s="463"/>
      <c r="FW8" s="463"/>
      <c r="FX8" s="464"/>
      <c r="FY8" s="465"/>
      <c r="FZ8" s="463"/>
      <c r="GA8" s="463"/>
      <c r="GB8" s="463"/>
      <c r="GC8" s="463"/>
      <c r="GD8" s="464"/>
      <c r="GE8" s="465"/>
      <c r="GF8" s="463"/>
      <c r="GG8" s="463"/>
      <c r="GH8" s="463"/>
      <c r="GI8" s="463"/>
      <c r="GJ8" s="464"/>
      <c r="GK8" s="465"/>
      <c r="GL8" s="463"/>
      <c r="GM8" s="463"/>
      <c r="GN8" s="463"/>
      <c r="GO8" s="463"/>
      <c r="GP8" s="464"/>
      <c r="GQ8" s="465"/>
      <c r="GR8" s="463"/>
      <c r="GS8" s="463"/>
      <c r="GT8" s="463"/>
      <c r="GU8" s="463"/>
      <c r="GV8" s="464"/>
      <c r="GW8" s="465"/>
      <c r="GX8" s="463"/>
      <c r="GY8" s="463"/>
      <c r="GZ8" s="463"/>
      <c r="HA8" s="463"/>
      <c r="HB8" s="464"/>
      <c r="HC8" s="465"/>
      <c r="HD8" s="463"/>
      <c r="HE8" s="463"/>
      <c r="HF8" s="463"/>
      <c r="HG8" s="463"/>
      <c r="HH8" s="464"/>
      <c r="HI8" s="465"/>
      <c r="HJ8" s="463"/>
      <c r="HK8" s="463"/>
      <c r="HL8" s="463"/>
      <c r="HM8" s="463"/>
      <c r="HN8" s="464"/>
      <c r="HO8" s="465"/>
      <c r="HP8" s="463"/>
      <c r="HQ8" s="463"/>
      <c r="HR8" s="463"/>
      <c r="HS8" s="463"/>
      <c r="HT8" s="464"/>
      <c r="HU8" s="465"/>
      <c r="HV8" s="463"/>
      <c r="HW8" s="463"/>
      <c r="HX8" s="463"/>
      <c r="HY8" s="463"/>
      <c r="HZ8" s="464"/>
      <c r="IA8" s="465"/>
      <c r="IB8" s="463"/>
      <c r="IC8" s="463"/>
      <c r="ID8" s="463"/>
      <c r="IE8" s="463"/>
      <c r="IF8" s="464"/>
      <c r="IG8" s="465"/>
      <c r="IH8" s="463"/>
      <c r="II8" s="463"/>
      <c r="IJ8" s="463"/>
    </row>
    <row r="9" spans="1:244" ht="27.75" customHeight="1" x14ac:dyDescent="0.25">
      <c r="A9" s="457">
        <v>6</v>
      </c>
      <c r="B9" s="677" t="s">
        <v>365</v>
      </c>
      <c r="C9" s="678" t="s">
        <v>366</v>
      </c>
      <c r="D9" s="678" t="s">
        <v>367</v>
      </c>
      <c r="E9" s="679">
        <v>0</v>
      </c>
      <c r="F9" s="680" t="s">
        <v>352</v>
      </c>
      <c r="G9" s="681">
        <v>0</v>
      </c>
      <c r="H9" s="679">
        <v>8</v>
      </c>
      <c r="I9" s="680" t="s">
        <v>352</v>
      </c>
      <c r="J9" s="681">
        <v>12.346</v>
      </c>
      <c r="K9" s="682">
        <f t="shared" si="0"/>
        <v>172.34</v>
      </c>
      <c r="L9" s="683">
        <v>9.4</v>
      </c>
      <c r="M9" s="684">
        <f t="shared" si="1"/>
        <v>1619.99</v>
      </c>
      <c r="N9" s="685">
        <f>5.26+5.48</f>
        <v>10.74</v>
      </c>
      <c r="O9" s="684">
        <f t="shared" si="2"/>
        <v>1630.73</v>
      </c>
      <c r="P9" s="686">
        <v>172.346</v>
      </c>
      <c r="Q9" s="687">
        <f t="shared" si="3"/>
        <v>6.0000000000002274E-3</v>
      </c>
      <c r="R9" s="464"/>
      <c r="S9" s="465"/>
      <c r="T9" s="463"/>
      <c r="U9" s="463"/>
      <c r="V9" s="463"/>
      <c r="W9" s="463"/>
      <c r="X9" s="464"/>
      <c r="Y9" s="465"/>
      <c r="Z9" s="463"/>
      <c r="AA9" s="463"/>
      <c r="AB9" s="463"/>
      <c r="AC9" s="463"/>
      <c r="AD9" s="464"/>
      <c r="AE9" s="465"/>
      <c r="AF9" s="463"/>
      <c r="AG9" s="463"/>
      <c r="AH9" s="463"/>
      <c r="AI9" s="463"/>
      <c r="AJ9" s="464"/>
      <c r="AK9" s="465"/>
      <c r="AL9" s="463"/>
      <c r="AM9" s="463"/>
      <c r="AN9" s="463"/>
      <c r="AO9" s="463"/>
      <c r="AP9" s="464"/>
      <c r="AQ9" s="465"/>
      <c r="AR9" s="463"/>
      <c r="AS9" s="463"/>
      <c r="AT9" s="463"/>
      <c r="AU9" s="463"/>
      <c r="AV9" s="464"/>
      <c r="AW9" s="465"/>
      <c r="AX9" s="463"/>
      <c r="AY9" s="463"/>
      <c r="AZ9" s="463"/>
      <c r="BA9" s="463"/>
      <c r="BB9" s="464"/>
      <c r="BC9" s="465"/>
      <c r="BD9" s="463"/>
      <c r="BE9" s="463"/>
      <c r="BF9" s="463"/>
      <c r="BG9" s="463"/>
      <c r="BH9" s="464"/>
      <c r="BI9" s="465"/>
      <c r="BJ9" s="463"/>
      <c r="BK9" s="463"/>
      <c r="BL9" s="463"/>
      <c r="BM9" s="463"/>
      <c r="BN9" s="464"/>
      <c r="BO9" s="465"/>
      <c r="BP9" s="463"/>
      <c r="BQ9" s="463"/>
      <c r="BR9" s="463"/>
      <c r="BS9" s="463"/>
      <c r="BT9" s="464"/>
      <c r="BU9" s="465"/>
      <c r="BV9" s="463"/>
      <c r="BW9" s="463"/>
      <c r="BX9" s="463"/>
      <c r="BY9" s="463"/>
      <c r="BZ9" s="464"/>
      <c r="CA9" s="465"/>
      <c r="CB9" s="463"/>
      <c r="CC9" s="463"/>
      <c r="CD9" s="463"/>
      <c r="CE9" s="463"/>
      <c r="CF9" s="464"/>
      <c r="CG9" s="465"/>
      <c r="CH9" s="463"/>
      <c r="CI9" s="463"/>
      <c r="CJ9" s="463"/>
      <c r="CK9" s="463"/>
      <c r="CL9" s="464"/>
      <c r="CM9" s="465"/>
      <c r="CN9" s="463"/>
      <c r="CO9" s="463"/>
      <c r="CP9" s="463"/>
      <c r="CQ9" s="463"/>
      <c r="CR9" s="464"/>
      <c r="CS9" s="465"/>
      <c r="CT9" s="463"/>
      <c r="CU9" s="463"/>
      <c r="CV9" s="463"/>
      <c r="CW9" s="463"/>
      <c r="CX9" s="464"/>
      <c r="CY9" s="465"/>
      <c r="CZ9" s="463"/>
      <c r="DA9" s="463"/>
      <c r="DB9" s="463"/>
      <c r="DC9" s="463"/>
      <c r="DD9" s="464"/>
      <c r="DE9" s="465"/>
      <c r="DF9" s="463"/>
      <c r="DG9" s="463"/>
      <c r="DH9" s="463"/>
      <c r="DI9" s="463"/>
      <c r="DJ9" s="464"/>
      <c r="DK9" s="465"/>
      <c r="DL9" s="463"/>
      <c r="DM9" s="463"/>
      <c r="DN9" s="463"/>
      <c r="DO9" s="463"/>
      <c r="DP9" s="464"/>
      <c r="DQ9" s="465"/>
      <c r="DR9" s="463"/>
      <c r="DS9" s="463"/>
      <c r="DT9" s="463"/>
      <c r="DU9" s="463"/>
      <c r="DV9" s="464"/>
      <c r="DW9" s="465"/>
      <c r="DX9" s="463"/>
      <c r="DY9" s="463"/>
      <c r="DZ9" s="463"/>
      <c r="EA9" s="463"/>
      <c r="EB9" s="464"/>
      <c r="EC9" s="465"/>
      <c r="ED9" s="463"/>
      <c r="EE9" s="463"/>
      <c r="EF9" s="463"/>
      <c r="EG9" s="463"/>
      <c r="EH9" s="464"/>
      <c r="EI9" s="465"/>
      <c r="EJ9" s="463"/>
      <c r="EK9" s="463"/>
      <c r="EL9" s="463"/>
      <c r="EM9" s="463"/>
      <c r="EN9" s="464"/>
      <c r="EO9" s="465"/>
      <c r="EP9" s="463"/>
      <c r="EQ9" s="463"/>
      <c r="ER9" s="463"/>
      <c r="ES9" s="463"/>
      <c r="ET9" s="464"/>
      <c r="EU9" s="465"/>
      <c r="EV9" s="463"/>
      <c r="EW9" s="463"/>
      <c r="EX9" s="463"/>
      <c r="EY9" s="463"/>
      <c r="EZ9" s="464"/>
      <c r="FA9" s="465"/>
      <c r="FB9" s="463"/>
      <c r="FC9" s="463"/>
      <c r="FD9" s="463"/>
      <c r="FE9" s="463"/>
      <c r="FF9" s="464"/>
      <c r="FG9" s="465"/>
      <c r="FH9" s="463"/>
      <c r="FI9" s="463"/>
      <c r="FJ9" s="463"/>
      <c r="FK9" s="463"/>
      <c r="FL9" s="464"/>
      <c r="FM9" s="465"/>
      <c r="FN9" s="463"/>
      <c r="FO9" s="463"/>
      <c r="FP9" s="463"/>
      <c r="FQ9" s="463"/>
      <c r="FR9" s="464"/>
      <c r="FS9" s="465"/>
      <c r="FT9" s="463"/>
      <c r="FU9" s="463"/>
      <c r="FV9" s="463"/>
      <c r="FW9" s="463"/>
      <c r="FX9" s="464"/>
      <c r="FY9" s="465"/>
      <c r="FZ9" s="463"/>
      <c r="GA9" s="463"/>
      <c r="GB9" s="463"/>
      <c r="GC9" s="463"/>
      <c r="GD9" s="464"/>
      <c r="GE9" s="465"/>
      <c r="GF9" s="463"/>
      <c r="GG9" s="463"/>
      <c r="GH9" s="463"/>
      <c r="GI9" s="463"/>
      <c r="GJ9" s="464"/>
      <c r="GK9" s="465"/>
      <c r="GL9" s="463"/>
      <c r="GM9" s="463"/>
      <c r="GN9" s="463"/>
      <c r="GO9" s="463"/>
      <c r="GP9" s="464"/>
      <c r="GQ9" s="465"/>
      <c r="GR9" s="463"/>
      <c r="GS9" s="463"/>
      <c r="GT9" s="463"/>
      <c r="GU9" s="463"/>
      <c r="GV9" s="464"/>
      <c r="GW9" s="465"/>
      <c r="GX9" s="463"/>
      <c r="GY9" s="463"/>
      <c r="GZ9" s="463"/>
      <c r="HA9" s="463"/>
      <c r="HB9" s="464"/>
      <c r="HC9" s="465"/>
      <c r="HD9" s="463"/>
      <c r="HE9" s="463"/>
      <c r="HF9" s="463"/>
      <c r="HG9" s="463"/>
      <c r="HH9" s="464"/>
      <c r="HI9" s="465"/>
      <c r="HJ9" s="463"/>
      <c r="HK9" s="463"/>
      <c r="HL9" s="463"/>
      <c r="HM9" s="463"/>
      <c r="HN9" s="464"/>
      <c r="HO9" s="465"/>
      <c r="HP9" s="463"/>
      <c r="HQ9" s="463"/>
      <c r="HR9" s="463"/>
      <c r="HS9" s="463"/>
      <c r="HT9" s="464"/>
      <c r="HU9" s="465"/>
      <c r="HV9" s="463"/>
      <c r="HW9" s="463"/>
      <c r="HX9" s="463"/>
      <c r="HY9" s="463"/>
      <c r="HZ9" s="464"/>
      <c r="IA9" s="465"/>
      <c r="IB9" s="463"/>
      <c r="IC9" s="463"/>
      <c r="ID9" s="463"/>
      <c r="IE9" s="463"/>
      <c r="IF9" s="464"/>
      <c r="IG9" s="465"/>
      <c r="IH9" s="463"/>
      <c r="II9" s="463"/>
      <c r="IJ9" s="463"/>
    </row>
    <row r="10" spans="1:244" ht="27.75" customHeight="1" x14ac:dyDescent="0.25">
      <c r="A10" s="457">
        <v>7</v>
      </c>
      <c r="B10" s="677" t="s">
        <v>368</v>
      </c>
      <c r="C10" s="678" t="s">
        <v>369</v>
      </c>
      <c r="D10" s="678" t="s">
        <v>370</v>
      </c>
      <c r="E10" s="679">
        <v>0</v>
      </c>
      <c r="F10" s="680" t="s">
        <v>352</v>
      </c>
      <c r="G10" s="681">
        <v>0</v>
      </c>
      <c r="H10" s="679">
        <v>8</v>
      </c>
      <c r="I10" s="680" t="s">
        <v>352</v>
      </c>
      <c r="J10" s="681">
        <v>14.87</v>
      </c>
      <c r="K10" s="682">
        <f t="shared" si="0"/>
        <v>174.87</v>
      </c>
      <c r="L10" s="683">
        <v>9.4</v>
      </c>
      <c r="M10" s="684">
        <f t="shared" si="1"/>
        <v>1643.77</v>
      </c>
      <c r="N10" s="685">
        <f>5.23+5.5</f>
        <v>10.73</v>
      </c>
      <c r="O10" s="684">
        <f t="shared" si="2"/>
        <v>1654.5</v>
      </c>
      <c r="P10" s="686">
        <v>174.87</v>
      </c>
      <c r="Q10" s="687">
        <f t="shared" si="3"/>
        <v>0</v>
      </c>
      <c r="R10" s="464"/>
      <c r="S10" s="465"/>
      <c r="T10" s="463"/>
      <c r="U10" s="463"/>
      <c r="V10" s="463"/>
      <c r="W10" s="463"/>
      <c r="X10" s="464"/>
      <c r="Y10" s="465"/>
      <c r="Z10" s="463"/>
      <c r="AA10" s="463"/>
      <c r="AB10" s="463"/>
      <c r="AC10" s="463"/>
      <c r="AD10" s="464"/>
      <c r="AE10" s="465"/>
      <c r="AF10" s="463"/>
      <c r="AG10" s="463"/>
      <c r="AH10" s="463"/>
      <c r="AI10" s="463"/>
      <c r="AJ10" s="464"/>
      <c r="AK10" s="465"/>
      <c r="AL10" s="463"/>
      <c r="AM10" s="463"/>
      <c r="AN10" s="463"/>
      <c r="AO10" s="463"/>
      <c r="AP10" s="464"/>
      <c r="AQ10" s="465"/>
      <c r="AR10" s="463"/>
      <c r="AS10" s="463"/>
      <c r="AT10" s="463"/>
      <c r="AU10" s="463"/>
      <c r="AV10" s="464"/>
      <c r="AW10" s="465"/>
      <c r="AX10" s="463"/>
      <c r="AY10" s="463"/>
      <c r="AZ10" s="463"/>
      <c r="BA10" s="463"/>
      <c r="BB10" s="464"/>
      <c r="BC10" s="465"/>
      <c r="BD10" s="463"/>
      <c r="BE10" s="463"/>
      <c r="BF10" s="463"/>
      <c r="BG10" s="463"/>
      <c r="BH10" s="464"/>
      <c r="BI10" s="465"/>
      <c r="BJ10" s="463"/>
      <c r="BK10" s="463"/>
      <c r="BL10" s="463"/>
      <c r="BM10" s="463"/>
      <c r="BN10" s="464"/>
      <c r="BO10" s="465"/>
      <c r="BP10" s="463"/>
      <c r="BQ10" s="463"/>
      <c r="BR10" s="463"/>
      <c r="BS10" s="463"/>
      <c r="BT10" s="464"/>
      <c r="BU10" s="465"/>
      <c r="BV10" s="463"/>
      <c r="BW10" s="463"/>
      <c r="BX10" s="463"/>
      <c r="BY10" s="463"/>
      <c r="BZ10" s="464"/>
      <c r="CA10" s="465"/>
      <c r="CB10" s="463"/>
      <c r="CC10" s="463"/>
      <c r="CD10" s="463"/>
      <c r="CE10" s="463"/>
      <c r="CF10" s="464"/>
      <c r="CG10" s="465"/>
      <c r="CH10" s="463"/>
      <c r="CI10" s="463"/>
      <c r="CJ10" s="463"/>
      <c r="CK10" s="463"/>
      <c r="CL10" s="464"/>
      <c r="CM10" s="465"/>
      <c r="CN10" s="463"/>
      <c r="CO10" s="463"/>
      <c r="CP10" s="463"/>
      <c r="CQ10" s="463"/>
      <c r="CR10" s="464"/>
      <c r="CS10" s="465"/>
      <c r="CT10" s="463"/>
      <c r="CU10" s="463"/>
      <c r="CV10" s="463"/>
      <c r="CW10" s="463"/>
      <c r="CX10" s="464"/>
      <c r="CY10" s="465"/>
      <c r="CZ10" s="463"/>
      <c r="DA10" s="463"/>
      <c r="DB10" s="463"/>
      <c r="DC10" s="463"/>
      <c r="DD10" s="464"/>
      <c r="DE10" s="465"/>
      <c r="DF10" s="463"/>
      <c r="DG10" s="463"/>
      <c r="DH10" s="463"/>
      <c r="DI10" s="463"/>
      <c r="DJ10" s="464"/>
      <c r="DK10" s="465"/>
      <c r="DL10" s="463"/>
      <c r="DM10" s="463"/>
      <c r="DN10" s="463"/>
      <c r="DO10" s="463"/>
      <c r="DP10" s="464"/>
      <c r="DQ10" s="465"/>
      <c r="DR10" s="463"/>
      <c r="DS10" s="463"/>
      <c r="DT10" s="463"/>
      <c r="DU10" s="463"/>
      <c r="DV10" s="464"/>
      <c r="DW10" s="465"/>
      <c r="DX10" s="463"/>
      <c r="DY10" s="463"/>
      <c r="DZ10" s="463"/>
      <c r="EA10" s="463"/>
      <c r="EB10" s="464"/>
      <c r="EC10" s="465"/>
      <c r="ED10" s="463"/>
      <c r="EE10" s="463"/>
      <c r="EF10" s="463"/>
      <c r="EG10" s="463"/>
      <c r="EH10" s="464"/>
      <c r="EI10" s="465"/>
      <c r="EJ10" s="463"/>
      <c r="EK10" s="463"/>
      <c r="EL10" s="463"/>
      <c r="EM10" s="463"/>
      <c r="EN10" s="464"/>
      <c r="EO10" s="465"/>
      <c r="EP10" s="463"/>
      <c r="EQ10" s="463"/>
      <c r="ER10" s="463"/>
      <c r="ES10" s="463"/>
      <c r="ET10" s="464"/>
      <c r="EU10" s="465"/>
      <c r="EV10" s="463"/>
      <c r="EW10" s="463"/>
      <c r="EX10" s="463"/>
      <c r="EY10" s="463"/>
      <c r="EZ10" s="464"/>
      <c r="FA10" s="465"/>
      <c r="FB10" s="463"/>
      <c r="FC10" s="463"/>
      <c r="FD10" s="463"/>
      <c r="FE10" s="463"/>
      <c r="FF10" s="464"/>
      <c r="FG10" s="465"/>
      <c r="FH10" s="463"/>
      <c r="FI10" s="463"/>
      <c r="FJ10" s="463"/>
      <c r="FK10" s="463"/>
      <c r="FL10" s="464"/>
      <c r="FM10" s="465"/>
      <c r="FN10" s="463"/>
      <c r="FO10" s="463"/>
      <c r="FP10" s="463"/>
      <c r="FQ10" s="463"/>
      <c r="FR10" s="464"/>
      <c r="FS10" s="465"/>
      <c r="FT10" s="463"/>
      <c r="FU10" s="463"/>
      <c r="FV10" s="463"/>
      <c r="FW10" s="463"/>
      <c r="FX10" s="464"/>
      <c r="FY10" s="465"/>
      <c r="FZ10" s="463"/>
      <c r="GA10" s="463"/>
      <c r="GB10" s="463"/>
      <c r="GC10" s="463"/>
      <c r="GD10" s="464"/>
      <c r="GE10" s="465"/>
      <c r="GF10" s="463"/>
      <c r="GG10" s="463"/>
      <c r="GH10" s="463"/>
      <c r="GI10" s="463"/>
      <c r="GJ10" s="464"/>
      <c r="GK10" s="465"/>
      <c r="GL10" s="463"/>
      <c r="GM10" s="463"/>
      <c r="GN10" s="463"/>
      <c r="GO10" s="463"/>
      <c r="GP10" s="464"/>
      <c r="GQ10" s="465"/>
      <c r="GR10" s="463"/>
      <c r="GS10" s="463"/>
      <c r="GT10" s="463"/>
      <c r="GU10" s="463"/>
      <c r="GV10" s="464"/>
      <c r="GW10" s="465"/>
      <c r="GX10" s="463"/>
      <c r="GY10" s="463"/>
      <c r="GZ10" s="463"/>
      <c r="HA10" s="463"/>
      <c r="HB10" s="464"/>
      <c r="HC10" s="465"/>
      <c r="HD10" s="463"/>
      <c r="HE10" s="463"/>
      <c r="HF10" s="463"/>
      <c r="HG10" s="463"/>
      <c r="HH10" s="464"/>
      <c r="HI10" s="465"/>
      <c r="HJ10" s="463"/>
      <c r="HK10" s="463"/>
      <c r="HL10" s="463"/>
      <c r="HM10" s="463"/>
      <c r="HN10" s="464"/>
      <c r="HO10" s="465"/>
      <c r="HP10" s="463"/>
      <c r="HQ10" s="463"/>
      <c r="HR10" s="463"/>
      <c r="HS10" s="463"/>
      <c r="HT10" s="464"/>
      <c r="HU10" s="465"/>
      <c r="HV10" s="463"/>
      <c r="HW10" s="463"/>
      <c r="HX10" s="463"/>
      <c r="HY10" s="463"/>
      <c r="HZ10" s="464"/>
      <c r="IA10" s="465"/>
      <c r="IB10" s="463"/>
      <c r="IC10" s="463"/>
      <c r="ID10" s="463"/>
      <c r="IE10" s="463"/>
      <c r="IF10" s="464"/>
      <c r="IG10" s="465"/>
      <c r="IH10" s="463"/>
      <c r="II10" s="463"/>
      <c r="IJ10" s="463"/>
    </row>
    <row r="11" spans="1:244" ht="27.75" customHeight="1" x14ac:dyDescent="0.25">
      <c r="A11" s="457">
        <v>8</v>
      </c>
      <c r="B11" s="677" t="s">
        <v>371</v>
      </c>
      <c r="C11" s="678" t="s">
        <v>372</v>
      </c>
      <c r="D11" s="678" t="s">
        <v>373</v>
      </c>
      <c r="E11" s="679">
        <v>0</v>
      </c>
      <c r="F11" s="680" t="s">
        <v>352</v>
      </c>
      <c r="G11" s="681">
        <v>0</v>
      </c>
      <c r="H11" s="679">
        <v>3</v>
      </c>
      <c r="I11" s="680" t="s">
        <v>352</v>
      </c>
      <c r="J11" s="681">
        <v>4.8559999999999999</v>
      </c>
      <c r="K11" s="682">
        <f t="shared" si="0"/>
        <v>64.849999999999994</v>
      </c>
      <c r="L11" s="683">
        <v>8.4</v>
      </c>
      <c r="M11" s="684">
        <f t="shared" si="1"/>
        <v>544.74</v>
      </c>
      <c r="N11" s="685">
        <f>5.47+5.26</f>
        <v>10.73</v>
      </c>
      <c r="O11" s="684">
        <f t="shared" si="2"/>
        <v>555.47</v>
      </c>
      <c r="P11" s="686">
        <v>64.855999999999995</v>
      </c>
      <c r="Q11" s="687">
        <f t="shared" si="3"/>
        <v>6.0000000000002274E-3</v>
      </c>
      <c r="R11" s="464"/>
      <c r="S11" s="465"/>
      <c r="T11" s="463"/>
      <c r="U11" s="463"/>
      <c r="V11" s="463"/>
      <c r="W11" s="463"/>
      <c r="X11" s="464"/>
      <c r="Y11" s="465"/>
      <c r="Z11" s="463"/>
      <c r="AA11" s="463"/>
      <c r="AB11" s="463"/>
      <c r="AC11" s="463"/>
      <c r="AD11" s="464"/>
      <c r="AE11" s="465"/>
      <c r="AF11" s="463"/>
      <c r="AG11" s="463"/>
      <c r="AH11" s="463"/>
      <c r="AI11" s="463"/>
      <c r="AJ11" s="464"/>
      <c r="AK11" s="465"/>
      <c r="AL11" s="463"/>
      <c r="AM11" s="463"/>
      <c r="AN11" s="463"/>
      <c r="AO11" s="463"/>
      <c r="AP11" s="464"/>
      <c r="AQ11" s="465"/>
      <c r="AR11" s="463"/>
      <c r="AS11" s="463"/>
      <c r="AT11" s="463"/>
      <c r="AU11" s="463"/>
      <c r="AV11" s="464"/>
      <c r="AW11" s="465"/>
      <c r="AX11" s="463"/>
      <c r="AY11" s="463"/>
      <c r="AZ11" s="463"/>
      <c r="BA11" s="463"/>
      <c r="BB11" s="464"/>
      <c r="BC11" s="465"/>
      <c r="BD11" s="463"/>
      <c r="BE11" s="463"/>
      <c r="BF11" s="463"/>
      <c r="BG11" s="463"/>
      <c r="BH11" s="464"/>
      <c r="BI11" s="465"/>
      <c r="BJ11" s="463"/>
      <c r="BK11" s="463"/>
      <c r="BL11" s="463"/>
      <c r="BM11" s="463"/>
      <c r="BN11" s="464"/>
      <c r="BO11" s="465"/>
      <c r="BP11" s="463"/>
      <c r="BQ11" s="463"/>
      <c r="BR11" s="463"/>
      <c r="BS11" s="463"/>
      <c r="BT11" s="464"/>
      <c r="BU11" s="465"/>
      <c r="BV11" s="463"/>
      <c r="BW11" s="463"/>
      <c r="BX11" s="463"/>
      <c r="BY11" s="463"/>
      <c r="BZ11" s="464"/>
      <c r="CA11" s="465"/>
      <c r="CB11" s="463"/>
      <c r="CC11" s="463"/>
      <c r="CD11" s="463"/>
      <c r="CE11" s="463"/>
      <c r="CF11" s="464"/>
      <c r="CG11" s="465"/>
      <c r="CH11" s="463"/>
      <c r="CI11" s="463"/>
      <c r="CJ11" s="463"/>
      <c r="CK11" s="463"/>
      <c r="CL11" s="464"/>
      <c r="CM11" s="465"/>
      <c r="CN11" s="463"/>
      <c r="CO11" s="463"/>
      <c r="CP11" s="463"/>
      <c r="CQ11" s="463"/>
      <c r="CR11" s="464"/>
      <c r="CS11" s="465"/>
      <c r="CT11" s="463"/>
      <c r="CU11" s="463"/>
      <c r="CV11" s="463"/>
      <c r="CW11" s="463"/>
      <c r="CX11" s="464"/>
      <c r="CY11" s="465"/>
      <c r="CZ11" s="463"/>
      <c r="DA11" s="463"/>
      <c r="DB11" s="463"/>
      <c r="DC11" s="463"/>
      <c r="DD11" s="464"/>
      <c r="DE11" s="465"/>
      <c r="DF11" s="463"/>
      <c r="DG11" s="463"/>
      <c r="DH11" s="463"/>
      <c r="DI11" s="463"/>
      <c r="DJ11" s="464"/>
      <c r="DK11" s="465"/>
      <c r="DL11" s="463"/>
      <c r="DM11" s="463"/>
      <c r="DN11" s="463"/>
      <c r="DO11" s="463"/>
      <c r="DP11" s="464"/>
      <c r="DQ11" s="465"/>
      <c r="DR11" s="463"/>
      <c r="DS11" s="463"/>
      <c r="DT11" s="463"/>
      <c r="DU11" s="463"/>
      <c r="DV11" s="464"/>
      <c r="DW11" s="465"/>
      <c r="DX11" s="463"/>
      <c r="DY11" s="463"/>
      <c r="DZ11" s="463"/>
      <c r="EA11" s="463"/>
      <c r="EB11" s="464"/>
      <c r="EC11" s="465"/>
      <c r="ED11" s="463"/>
      <c r="EE11" s="463"/>
      <c r="EF11" s="463"/>
      <c r="EG11" s="463"/>
      <c r="EH11" s="464"/>
      <c r="EI11" s="465"/>
      <c r="EJ11" s="463"/>
      <c r="EK11" s="463"/>
      <c r="EL11" s="463"/>
      <c r="EM11" s="463"/>
      <c r="EN11" s="464"/>
      <c r="EO11" s="465"/>
      <c r="EP11" s="463"/>
      <c r="EQ11" s="463"/>
      <c r="ER11" s="463"/>
      <c r="ES11" s="463"/>
      <c r="ET11" s="464"/>
      <c r="EU11" s="465"/>
      <c r="EV11" s="463"/>
      <c r="EW11" s="463"/>
      <c r="EX11" s="463"/>
      <c r="EY11" s="463"/>
      <c r="EZ11" s="464"/>
      <c r="FA11" s="465"/>
      <c r="FB11" s="463"/>
      <c r="FC11" s="463"/>
      <c r="FD11" s="463"/>
      <c r="FE11" s="463"/>
      <c r="FF11" s="464"/>
      <c r="FG11" s="465"/>
      <c r="FH11" s="463"/>
      <c r="FI11" s="463"/>
      <c r="FJ11" s="463"/>
      <c r="FK11" s="463"/>
      <c r="FL11" s="464"/>
      <c r="FM11" s="465"/>
      <c r="FN11" s="463"/>
      <c r="FO11" s="463"/>
      <c r="FP11" s="463"/>
      <c r="FQ11" s="463"/>
      <c r="FR11" s="464"/>
      <c r="FS11" s="465"/>
      <c r="FT11" s="463"/>
      <c r="FU11" s="463"/>
      <c r="FV11" s="463"/>
      <c r="FW11" s="463"/>
      <c r="FX11" s="464"/>
      <c r="FY11" s="465"/>
      <c r="FZ11" s="463"/>
      <c r="GA11" s="463"/>
      <c r="GB11" s="463"/>
      <c r="GC11" s="463"/>
      <c r="GD11" s="464"/>
      <c r="GE11" s="465"/>
      <c r="GF11" s="463"/>
      <c r="GG11" s="463"/>
      <c r="GH11" s="463"/>
      <c r="GI11" s="463"/>
      <c r="GJ11" s="464"/>
      <c r="GK11" s="465"/>
      <c r="GL11" s="463"/>
      <c r="GM11" s="463"/>
      <c r="GN11" s="463"/>
      <c r="GO11" s="463"/>
      <c r="GP11" s="464"/>
      <c r="GQ11" s="465"/>
      <c r="GR11" s="463"/>
      <c r="GS11" s="463"/>
      <c r="GT11" s="463"/>
      <c r="GU11" s="463"/>
      <c r="GV11" s="464"/>
      <c r="GW11" s="465"/>
      <c r="GX11" s="463"/>
      <c r="GY11" s="463"/>
      <c r="GZ11" s="463"/>
      <c r="HA11" s="463"/>
      <c r="HB11" s="464"/>
      <c r="HC11" s="465"/>
      <c r="HD11" s="463"/>
      <c r="HE11" s="463"/>
      <c r="HF11" s="463"/>
      <c r="HG11" s="463"/>
      <c r="HH11" s="464"/>
      <c r="HI11" s="465"/>
      <c r="HJ11" s="463"/>
      <c r="HK11" s="463"/>
      <c r="HL11" s="463"/>
      <c r="HM11" s="463"/>
      <c r="HN11" s="464"/>
      <c r="HO11" s="465"/>
      <c r="HP11" s="463"/>
      <c r="HQ11" s="463"/>
      <c r="HR11" s="463"/>
      <c r="HS11" s="463"/>
      <c r="HT11" s="464"/>
      <c r="HU11" s="465"/>
      <c r="HV11" s="463"/>
      <c r="HW11" s="463"/>
      <c r="HX11" s="463"/>
      <c r="HY11" s="463"/>
      <c r="HZ11" s="464"/>
      <c r="IA11" s="465"/>
      <c r="IB11" s="463"/>
      <c r="IC11" s="463"/>
      <c r="ID11" s="463"/>
      <c r="IE11" s="463"/>
      <c r="IF11" s="464"/>
      <c r="IG11" s="465"/>
      <c r="IH11" s="463"/>
      <c r="II11" s="463"/>
      <c r="IJ11" s="463"/>
    </row>
    <row r="12" spans="1:244" ht="27.75" customHeight="1" x14ac:dyDescent="0.25">
      <c r="A12" s="457">
        <v>9</v>
      </c>
      <c r="B12" s="677" t="s">
        <v>374</v>
      </c>
      <c r="C12" s="678" t="s">
        <v>375</v>
      </c>
      <c r="D12" s="678" t="s">
        <v>376</v>
      </c>
      <c r="E12" s="679">
        <v>0</v>
      </c>
      <c r="F12" s="680" t="s">
        <v>352</v>
      </c>
      <c r="G12" s="681">
        <v>0</v>
      </c>
      <c r="H12" s="679">
        <v>5</v>
      </c>
      <c r="I12" s="680" t="s">
        <v>352</v>
      </c>
      <c r="J12" s="681">
        <v>6.0019999999999998</v>
      </c>
      <c r="K12" s="682">
        <f t="shared" si="0"/>
        <v>106</v>
      </c>
      <c r="L12" s="683">
        <v>8.4</v>
      </c>
      <c r="M12" s="684">
        <f t="shared" si="1"/>
        <v>890.4</v>
      </c>
      <c r="N12" s="685">
        <f>5.35+5.38+5.52+5.22</f>
        <v>21.47</v>
      </c>
      <c r="O12" s="684">
        <f t="shared" si="2"/>
        <v>911.87</v>
      </c>
      <c r="P12" s="686">
        <v>106.002</v>
      </c>
      <c r="Q12" s="687">
        <f t="shared" si="3"/>
        <v>1.9999999999953388E-3</v>
      </c>
      <c r="R12" s="464"/>
      <c r="S12" s="465"/>
      <c r="T12" s="463"/>
      <c r="U12" s="463"/>
      <c r="V12" s="463"/>
      <c r="W12" s="463"/>
      <c r="X12" s="464"/>
      <c r="Y12" s="465"/>
      <c r="Z12" s="463"/>
      <c r="AA12" s="463"/>
      <c r="AB12" s="463"/>
      <c r="AC12" s="463"/>
      <c r="AD12" s="464"/>
      <c r="AE12" s="465"/>
      <c r="AF12" s="463"/>
      <c r="AG12" s="463"/>
      <c r="AH12" s="463"/>
      <c r="AI12" s="463"/>
      <c r="AJ12" s="464"/>
      <c r="AK12" s="465"/>
      <c r="AL12" s="463"/>
      <c r="AM12" s="463"/>
      <c r="AN12" s="463"/>
      <c r="AO12" s="463"/>
      <c r="AP12" s="464"/>
      <c r="AQ12" s="465"/>
      <c r="AR12" s="463"/>
      <c r="AS12" s="463"/>
      <c r="AT12" s="463"/>
      <c r="AU12" s="463"/>
      <c r="AV12" s="464"/>
      <c r="AW12" s="465"/>
      <c r="AX12" s="463"/>
      <c r="AY12" s="463"/>
      <c r="AZ12" s="463"/>
      <c r="BA12" s="463"/>
      <c r="BB12" s="464"/>
      <c r="BC12" s="465"/>
      <c r="BD12" s="463"/>
      <c r="BE12" s="463"/>
      <c r="BF12" s="463"/>
      <c r="BG12" s="463"/>
      <c r="BH12" s="464"/>
      <c r="BI12" s="465"/>
      <c r="BJ12" s="463"/>
      <c r="BK12" s="463"/>
      <c r="BL12" s="463"/>
      <c r="BM12" s="463"/>
      <c r="BN12" s="464"/>
      <c r="BO12" s="465"/>
      <c r="BP12" s="463"/>
      <c r="BQ12" s="463"/>
      <c r="BR12" s="463"/>
      <c r="BS12" s="463"/>
      <c r="BT12" s="464"/>
      <c r="BU12" s="465"/>
      <c r="BV12" s="463"/>
      <c r="BW12" s="463"/>
      <c r="BX12" s="463"/>
      <c r="BY12" s="463"/>
      <c r="BZ12" s="464"/>
      <c r="CA12" s="465"/>
      <c r="CB12" s="463"/>
      <c r="CC12" s="463"/>
      <c r="CD12" s="463"/>
      <c r="CE12" s="463"/>
      <c r="CF12" s="464"/>
      <c r="CG12" s="465"/>
      <c r="CH12" s="463"/>
      <c r="CI12" s="463"/>
      <c r="CJ12" s="463"/>
      <c r="CK12" s="463"/>
      <c r="CL12" s="464"/>
      <c r="CM12" s="465"/>
      <c r="CN12" s="463"/>
      <c r="CO12" s="463"/>
      <c r="CP12" s="463"/>
      <c r="CQ12" s="463"/>
      <c r="CR12" s="464"/>
      <c r="CS12" s="465"/>
      <c r="CT12" s="463"/>
      <c r="CU12" s="463"/>
      <c r="CV12" s="463"/>
      <c r="CW12" s="463"/>
      <c r="CX12" s="464"/>
      <c r="CY12" s="465"/>
      <c r="CZ12" s="463"/>
      <c r="DA12" s="463"/>
      <c r="DB12" s="463"/>
      <c r="DC12" s="463"/>
      <c r="DD12" s="464"/>
      <c r="DE12" s="465"/>
      <c r="DF12" s="463"/>
      <c r="DG12" s="463"/>
      <c r="DH12" s="463"/>
      <c r="DI12" s="463"/>
      <c r="DJ12" s="464"/>
      <c r="DK12" s="465"/>
      <c r="DL12" s="463"/>
      <c r="DM12" s="463"/>
      <c r="DN12" s="463"/>
      <c r="DO12" s="463"/>
      <c r="DP12" s="464"/>
      <c r="DQ12" s="465"/>
      <c r="DR12" s="463"/>
      <c r="DS12" s="463"/>
      <c r="DT12" s="463"/>
      <c r="DU12" s="463"/>
      <c r="DV12" s="464"/>
      <c r="DW12" s="465"/>
      <c r="DX12" s="463"/>
      <c r="DY12" s="463"/>
      <c r="DZ12" s="463"/>
      <c r="EA12" s="463"/>
      <c r="EB12" s="464"/>
      <c r="EC12" s="465"/>
      <c r="ED12" s="463"/>
      <c r="EE12" s="463"/>
      <c r="EF12" s="463"/>
      <c r="EG12" s="463"/>
      <c r="EH12" s="464"/>
      <c r="EI12" s="465"/>
      <c r="EJ12" s="463"/>
      <c r="EK12" s="463"/>
      <c r="EL12" s="463"/>
      <c r="EM12" s="463"/>
      <c r="EN12" s="464"/>
      <c r="EO12" s="465"/>
      <c r="EP12" s="463"/>
      <c r="EQ12" s="463"/>
      <c r="ER12" s="463"/>
      <c r="ES12" s="463"/>
      <c r="ET12" s="464"/>
      <c r="EU12" s="465"/>
      <c r="EV12" s="463"/>
      <c r="EW12" s="463"/>
      <c r="EX12" s="463"/>
      <c r="EY12" s="463"/>
      <c r="EZ12" s="464"/>
      <c r="FA12" s="465"/>
      <c r="FB12" s="463"/>
      <c r="FC12" s="463"/>
      <c r="FD12" s="463"/>
      <c r="FE12" s="463"/>
      <c r="FF12" s="464"/>
      <c r="FG12" s="465"/>
      <c r="FH12" s="463"/>
      <c r="FI12" s="463"/>
      <c r="FJ12" s="463"/>
      <c r="FK12" s="463"/>
      <c r="FL12" s="464"/>
      <c r="FM12" s="465"/>
      <c r="FN12" s="463"/>
      <c r="FO12" s="463"/>
      <c r="FP12" s="463"/>
      <c r="FQ12" s="463"/>
      <c r="FR12" s="464"/>
      <c r="FS12" s="465"/>
      <c r="FT12" s="463"/>
      <c r="FU12" s="463"/>
      <c r="FV12" s="463"/>
      <c r="FW12" s="463"/>
      <c r="FX12" s="464"/>
      <c r="FY12" s="465"/>
      <c r="FZ12" s="463"/>
      <c r="GA12" s="463"/>
      <c r="GB12" s="463"/>
      <c r="GC12" s="463"/>
      <c r="GD12" s="464"/>
      <c r="GE12" s="465"/>
      <c r="GF12" s="463"/>
      <c r="GG12" s="463"/>
      <c r="GH12" s="463"/>
      <c r="GI12" s="463"/>
      <c r="GJ12" s="464"/>
      <c r="GK12" s="465"/>
      <c r="GL12" s="463"/>
      <c r="GM12" s="463"/>
      <c r="GN12" s="463"/>
      <c r="GO12" s="463"/>
      <c r="GP12" s="464"/>
      <c r="GQ12" s="465"/>
      <c r="GR12" s="463"/>
      <c r="GS12" s="463"/>
      <c r="GT12" s="463"/>
      <c r="GU12" s="463"/>
      <c r="GV12" s="464"/>
      <c r="GW12" s="465"/>
      <c r="GX12" s="463"/>
      <c r="GY12" s="463"/>
      <c r="GZ12" s="463"/>
      <c r="HA12" s="463"/>
      <c r="HB12" s="464"/>
      <c r="HC12" s="465"/>
      <c r="HD12" s="463"/>
      <c r="HE12" s="463"/>
      <c r="HF12" s="463"/>
      <c r="HG12" s="463"/>
      <c r="HH12" s="464"/>
      <c r="HI12" s="465"/>
      <c r="HJ12" s="463"/>
      <c r="HK12" s="463"/>
      <c r="HL12" s="463"/>
      <c r="HM12" s="463"/>
      <c r="HN12" s="464"/>
      <c r="HO12" s="465"/>
      <c r="HP12" s="463"/>
      <c r="HQ12" s="463"/>
      <c r="HR12" s="463"/>
      <c r="HS12" s="463"/>
      <c r="HT12" s="464"/>
      <c r="HU12" s="465"/>
      <c r="HV12" s="463"/>
      <c r="HW12" s="463"/>
      <c r="HX12" s="463"/>
      <c r="HY12" s="463"/>
      <c r="HZ12" s="464"/>
      <c r="IA12" s="465"/>
      <c r="IB12" s="463"/>
      <c r="IC12" s="463"/>
      <c r="ID12" s="463"/>
      <c r="IE12" s="463"/>
      <c r="IF12" s="464"/>
      <c r="IG12" s="465"/>
      <c r="IH12" s="463"/>
      <c r="II12" s="463"/>
      <c r="IJ12" s="463"/>
    </row>
    <row r="13" spans="1:244" ht="27.75" customHeight="1" x14ac:dyDescent="0.25">
      <c r="A13" s="457">
        <v>10</v>
      </c>
      <c r="B13" s="677" t="s">
        <v>377</v>
      </c>
      <c r="C13" s="678" t="s">
        <v>378</v>
      </c>
      <c r="D13" s="678" t="s">
        <v>379</v>
      </c>
      <c r="E13" s="679">
        <v>0</v>
      </c>
      <c r="F13" s="680" t="s">
        <v>352</v>
      </c>
      <c r="G13" s="681">
        <v>0</v>
      </c>
      <c r="H13" s="679">
        <v>2</v>
      </c>
      <c r="I13" s="680" t="s">
        <v>352</v>
      </c>
      <c r="J13" s="681">
        <v>16.222000000000001</v>
      </c>
      <c r="K13" s="682">
        <f t="shared" si="0"/>
        <v>56.22</v>
      </c>
      <c r="L13" s="683">
        <v>8.4</v>
      </c>
      <c r="M13" s="684">
        <f t="shared" si="1"/>
        <v>472.24</v>
      </c>
      <c r="N13" s="685">
        <f>5.36+5.45</f>
        <v>10.81</v>
      </c>
      <c r="O13" s="684">
        <f t="shared" si="2"/>
        <v>483.05</v>
      </c>
      <c r="P13" s="686">
        <v>56.222000000000001</v>
      </c>
      <c r="Q13" s="687">
        <f t="shared" si="3"/>
        <v>2.0000000000024443E-3</v>
      </c>
      <c r="R13" s="464"/>
      <c r="S13" s="465"/>
      <c r="T13" s="463"/>
      <c r="U13" s="463"/>
      <c r="V13" s="463"/>
      <c r="W13" s="463"/>
      <c r="X13" s="464"/>
      <c r="Y13" s="465"/>
      <c r="Z13" s="463"/>
      <c r="AA13" s="463"/>
      <c r="AB13" s="463"/>
      <c r="AC13" s="463"/>
      <c r="AD13" s="464"/>
      <c r="AE13" s="465"/>
      <c r="AF13" s="463"/>
      <c r="AG13" s="463"/>
      <c r="AH13" s="463"/>
      <c r="AI13" s="463"/>
      <c r="AJ13" s="464"/>
      <c r="AK13" s="465"/>
      <c r="AL13" s="463"/>
      <c r="AM13" s="463"/>
      <c r="AN13" s="463"/>
      <c r="AO13" s="463"/>
      <c r="AP13" s="464"/>
      <c r="AQ13" s="465"/>
      <c r="AR13" s="463"/>
      <c r="AS13" s="463"/>
      <c r="AT13" s="463"/>
      <c r="AU13" s="463"/>
      <c r="AV13" s="464"/>
      <c r="AW13" s="465"/>
      <c r="AX13" s="463"/>
      <c r="AY13" s="463"/>
      <c r="AZ13" s="463"/>
      <c r="BA13" s="463"/>
      <c r="BB13" s="464"/>
      <c r="BC13" s="465"/>
      <c r="BD13" s="463"/>
      <c r="BE13" s="463"/>
      <c r="BF13" s="463"/>
      <c r="BG13" s="463"/>
      <c r="BH13" s="464"/>
      <c r="BI13" s="465"/>
      <c r="BJ13" s="463"/>
      <c r="BK13" s="463"/>
      <c r="BL13" s="463"/>
      <c r="BM13" s="463"/>
      <c r="BN13" s="464"/>
      <c r="BO13" s="465"/>
      <c r="BP13" s="463"/>
      <c r="BQ13" s="463"/>
      <c r="BR13" s="463"/>
      <c r="BS13" s="463"/>
      <c r="BT13" s="464"/>
      <c r="BU13" s="465"/>
      <c r="BV13" s="463"/>
      <c r="BW13" s="463"/>
      <c r="BX13" s="463"/>
      <c r="BY13" s="463"/>
      <c r="BZ13" s="464"/>
      <c r="CA13" s="465"/>
      <c r="CB13" s="463"/>
      <c r="CC13" s="463"/>
      <c r="CD13" s="463"/>
      <c r="CE13" s="463"/>
      <c r="CF13" s="464"/>
      <c r="CG13" s="465"/>
      <c r="CH13" s="463"/>
      <c r="CI13" s="463"/>
      <c r="CJ13" s="463"/>
      <c r="CK13" s="463"/>
      <c r="CL13" s="464"/>
      <c r="CM13" s="465"/>
      <c r="CN13" s="463"/>
      <c r="CO13" s="463"/>
      <c r="CP13" s="463"/>
      <c r="CQ13" s="463"/>
      <c r="CR13" s="464"/>
      <c r="CS13" s="465"/>
      <c r="CT13" s="463"/>
      <c r="CU13" s="463"/>
      <c r="CV13" s="463"/>
      <c r="CW13" s="463"/>
      <c r="CX13" s="464"/>
      <c r="CY13" s="465"/>
      <c r="CZ13" s="463"/>
      <c r="DA13" s="463"/>
      <c r="DB13" s="463"/>
      <c r="DC13" s="463"/>
      <c r="DD13" s="464"/>
      <c r="DE13" s="465"/>
      <c r="DF13" s="463"/>
      <c r="DG13" s="463"/>
      <c r="DH13" s="463"/>
      <c r="DI13" s="463"/>
      <c r="DJ13" s="464"/>
      <c r="DK13" s="465"/>
      <c r="DL13" s="463"/>
      <c r="DM13" s="463"/>
      <c r="DN13" s="463"/>
      <c r="DO13" s="463"/>
      <c r="DP13" s="464"/>
      <c r="DQ13" s="465"/>
      <c r="DR13" s="463"/>
      <c r="DS13" s="463"/>
      <c r="DT13" s="463"/>
      <c r="DU13" s="463"/>
      <c r="DV13" s="464"/>
      <c r="DW13" s="465"/>
      <c r="DX13" s="463"/>
      <c r="DY13" s="463"/>
      <c r="DZ13" s="463"/>
      <c r="EA13" s="463"/>
      <c r="EB13" s="464"/>
      <c r="EC13" s="465"/>
      <c r="ED13" s="463"/>
      <c r="EE13" s="463"/>
      <c r="EF13" s="463"/>
      <c r="EG13" s="463"/>
      <c r="EH13" s="464"/>
      <c r="EI13" s="465"/>
      <c r="EJ13" s="463"/>
      <c r="EK13" s="463"/>
      <c r="EL13" s="463"/>
      <c r="EM13" s="463"/>
      <c r="EN13" s="464"/>
      <c r="EO13" s="465"/>
      <c r="EP13" s="463"/>
      <c r="EQ13" s="463"/>
      <c r="ER13" s="463"/>
      <c r="ES13" s="463"/>
      <c r="ET13" s="464"/>
      <c r="EU13" s="465"/>
      <c r="EV13" s="463"/>
      <c r="EW13" s="463"/>
      <c r="EX13" s="463"/>
      <c r="EY13" s="463"/>
      <c r="EZ13" s="464"/>
      <c r="FA13" s="465"/>
      <c r="FB13" s="463"/>
      <c r="FC13" s="463"/>
      <c r="FD13" s="463"/>
      <c r="FE13" s="463"/>
      <c r="FF13" s="464"/>
      <c r="FG13" s="465"/>
      <c r="FH13" s="463"/>
      <c r="FI13" s="463"/>
      <c r="FJ13" s="463"/>
      <c r="FK13" s="463"/>
      <c r="FL13" s="464"/>
      <c r="FM13" s="465"/>
      <c r="FN13" s="463"/>
      <c r="FO13" s="463"/>
      <c r="FP13" s="463"/>
      <c r="FQ13" s="463"/>
      <c r="FR13" s="464"/>
      <c r="FS13" s="465"/>
      <c r="FT13" s="463"/>
      <c r="FU13" s="463"/>
      <c r="FV13" s="463"/>
      <c r="FW13" s="463"/>
      <c r="FX13" s="464"/>
      <c r="FY13" s="465"/>
      <c r="FZ13" s="463"/>
      <c r="GA13" s="463"/>
      <c r="GB13" s="463"/>
      <c r="GC13" s="463"/>
      <c r="GD13" s="464"/>
      <c r="GE13" s="465"/>
      <c r="GF13" s="463"/>
      <c r="GG13" s="463"/>
      <c r="GH13" s="463"/>
      <c r="GI13" s="463"/>
      <c r="GJ13" s="464"/>
      <c r="GK13" s="465"/>
      <c r="GL13" s="463"/>
      <c r="GM13" s="463"/>
      <c r="GN13" s="463"/>
      <c r="GO13" s="463"/>
      <c r="GP13" s="464"/>
      <c r="GQ13" s="465"/>
      <c r="GR13" s="463"/>
      <c r="GS13" s="463"/>
      <c r="GT13" s="463"/>
      <c r="GU13" s="463"/>
      <c r="GV13" s="464"/>
      <c r="GW13" s="465"/>
      <c r="GX13" s="463"/>
      <c r="GY13" s="463"/>
      <c r="GZ13" s="463"/>
      <c r="HA13" s="463"/>
      <c r="HB13" s="464"/>
      <c r="HC13" s="465"/>
      <c r="HD13" s="463"/>
      <c r="HE13" s="463"/>
      <c r="HF13" s="463"/>
      <c r="HG13" s="463"/>
      <c r="HH13" s="464"/>
      <c r="HI13" s="465"/>
      <c r="HJ13" s="463"/>
      <c r="HK13" s="463"/>
      <c r="HL13" s="463"/>
      <c r="HM13" s="463"/>
      <c r="HN13" s="464"/>
      <c r="HO13" s="465"/>
      <c r="HP13" s="463"/>
      <c r="HQ13" s="463"/>
      <c r="HR13" s="463"/>
      <c r="HS13" s="463"/>
      <c r="HT13" s="464"/>
      <c r="HU13" s="465"/>
      <c r="HV13" s="463"/>
      <c r="HW13" s="463"/>
      <c r="HX13" s="463"/>
      <c r="HY13" s="463"/>
      <c r="HZ13" s="464"/>
      <c r="IA13" s="465"/>
      <c r="IB13" s="463"/>
      <c r="IC13" s="463"/>
      <c r="ID13" s="463"/>
      <c r="IE13" s="463"/>
      <c r="IF13" s="464"/>
      <c r="IG13" s="465"/>
      <c r="IH13" s="463"/>
      <c r="II13" s="463"/>
      <c r="IJ13" s="463"/>
    </row>
    <row r="14" spans="1:244" ht="27.75" customHeight="1" x14ac:dyDescent="0.25">
      <c r="A14" s="457">
        <v>11</v>
      </c>
      <c r="B14" s="677" t="s">
        <v>380</v>
      </c>
      <c r="C14" s="678" t="s">
        <v>381</v>
      </c>
      <c r="D14" s="678" t="s">
        <v>382</v>
      </c>
      <c r="E14" s="679">
        <v>0</v>
      </c>
      <c r="F14" s="680" t="s">
        <v>352</v>
      </c>
      <c r="G14" s="681">
        <v>0</v>
      </c>
      <c r="H14" s="679">
        <v>5</v>
      </c>
      <c r="I14" s="680" t="s">
        <v>352</v>
      </c>
      <c r="J14" s="681">
        <v>5.7460000000000004</v>
      </c>
      <c r="K14" s="682">
        <f t="shared" si="0"/>
        <v>105.74</v>
      </c>
      <c r="L14" s="683">
        <v>8.4</v>
      </c>
      <c r="M14" s="684">
        <f t="shared" si="1"/>
        <v>888.21</v>
      </c>
      <c r="N14" s="685">
        <f>5.3+5.34+5.34+5.39</f>
        <v>21.37</v>
      </c>
      <c r="O14" s="684">
        <f t="shared" si="2"/>
        <v>909.58</v>
      </c>
      <c r="P14" s="686">
        <v>105.746</v>
      </c>
      <c r="Q14" s="687">
        <f t="shared" si="3"/>
        <v>6.0000000000002274E-3</v>
      </c>
      <c r="R14" s="464"/>
      <c r="S14" s="465"/>
      <c r="T14" s="463"/>
      <c r="U14" s="463"/>
      <c r="V14" s="463"/>
      <c r="W14" s="463"/>
      <c r="X14" s="464"/>
      <c r="Y14" s="465"/>
      <c r="Z14" s="463"/>
      <c r="AA14" s="463"/>
      <c r="AB14" s="463"/>
      <c r="AC14" s="463"/>
      <c r="AD14" s="464"/>
      <c r="AE14" s="465"/>
      <c r="AF14" s="463"/>
      <c r="AG14" s="463"/>
      <c r="AH14" s="463"/>
      <c r="AI14" s="463"/>
      <c r="AJ14" s="464"/>
      <c r="AK14" s="465"/>
      <c r="AL14" s="463"/>
      <c r="AM14" s="463"/>
      <c r="AN14" s="463"/>
      <c r="AO14" s="463"/>
      <c r="AP14" s="464"/>
      <c r="AQ14" s="465"/>
      <c r="AR14" s="463"/>
      <c r="AS14" s="463"/>
      <c r="AT14" s="463"/>
      <c r="AU14" s="463"/>
      <c r="AV14" s="464"/>
      <c r="AW14" s="465"/>
      <c r="AX14" s="463"/>
      <c r="AY14" s="463"/>
      <c r="AZ14" s="463"/>
      <c r="BA14" s="463"/>
      <c r="BB14" s="464"/>
      <c r="BC14" s="465"/>
      <c r="BD14" s="463"/>
      <c r="BE14" s="463"/>
      <c r="BF14" s="463"/>
      <c r="BG14" s="463"/>
      <c r="BH14" s="464"/>
      <c r="BI14" s="465"/>
      <c r="BJ14" s="463"/>
      <c r="BK14" s="463"/>
      <c r="BL14" s="463"/>
      <c r="BM14" s="463"/>
      <c r="BN14" s="464"/>
      <c r="BO14" s="465"/>
      <c r="BP14" s="463"/>
      <c r="BQ14" s="463"/>
      <c r="BR14" s="463"/>
      <c r="BS14" s="463"/>
      <c r="BT14" s="464"/>
      <c r="BU14" s="465"/>
      <c r="BV14" s="463"/>
      <c r="BW14" s="463"/>
      <c r="BX14" s="463"/>
      <c r="BY14" s="463"/>
      <c r="BZ14" s="464"/>
      <c r="CA14" s="465"/>
      <c r="CB14" s="463"/>
      <c r="CC14" s="463"/>
      <c r="CD14" s="463"/>
      <c r="CE14" s="463"/>
      <c r="CF14" s="464"/>
      <c r="CG14" s="465"/>
      <c r="CH14" s="463"/>
      <c r="CI14" s="463"/>
      <c r="CJ14" s="463"/>
      <c r="CK14" s="463"/>
      <c r="CL14" s="464"/>
      <c r="CM14" s="465"/>
      <c r="CN14" s="463"/>
      <c r="CO14" s="463"/>
      <c r="CP14" s="463"/>
      <c r="CQ14" s="463"/>
      <c r="CR14" s="464"/>
      <c r="CS14" s="465"/>
      <c r="CT14" s="463"/>
      <c r="CU14" s="463"/>
      <c r="CV14" s="463"/>
      <c r="CW14" s="463"/>
      <c r="CX14" s="464"/>
      <c r="CY14" s="465"/>
      <c r="CZ14" s="463"/>
      <c r="DA14" s="463"/>
      <c r="DB14" s="463"/>
      <c r="DC14" s="463"/>
      <c r="DD14" s="464"/>
      <c r="DE14" s="465"/>
      <c r="DF14" s="463"/>
      <c r="DG14" s="463"/>
      <c r="DH14" s="463"/>
      <c r="DI14" s="463"/>
      <c r="DJ14" s="464"/>
      <c r="DK14" s="465"/>
      <c r="DL14" s="463"/>
      <c r="DM14" s="463"/>
      <c r="DN14" s="463"/>
      <c r="DO14" s="463"/>
      <c r="DP14" s="464"/>
      <c r="DQ14" s="465"/>
      <c r="DR14" s="463"/>
      <c r="DS14" s="463"/>
      <c r="DT14" s="463"/>
      <c r="DU14" s="463"/>
      <c r="DV14" s="464"/>
      <c r="DW14" s="465"/>
      <c r="DX14" s="463"/>
      <c r="DY14" s="463"/>
      <c r="DZ14" s="463"/>
      <c r="EA14" s="463"/>
      <c r="EB14" s="464"/>
      <c r="EC14" s="465"/>
      <c r="ED14" s="463"/>
      <c r="EE14" s="463"/>
      <c r="EF14" s="463"/>
      <c r="EG14" s="463"/>
      <c r="EH14" s="464"/>
      <c r="EI14" s="465"/>
      <c r="EJ14" s="463"/>
      <c r="EK14" s="463"/>
      <c r="EL14" s="463"/>
      <c r="EM14" s="463"/>
      <c r="EN14" s="464"/>
      <c r="EO14" s="465"/>
      <c r="EP14" s="463"/>
      <c r="EQ14" s="463"/>
      <c r="ER14" s="463"/>
      <c r="ES14" s="463"/>
      <c r="ET14" s="464"/>
      <c r="EU14" s="465"/>
      <c r="EV14" s="463"/>
      <c r="EW14" s="463"/>
      <c r="EX14" s="463"/>
      <c r="EY14" s="463"/>
      <c r="EZ14" s="464"/>
      <c r="FA14" s="465"/>
      <c r="FB14" s="463"/>
      <c r="FC14" s="463"/>
      <c r="FD14" s="463"/>
      <c r="FE14" s="463"/>
      <c r="FF14" s="464"/>
      <c r="FG14" s="465"/>
      <c r="FH14" s="463"/>
      <c r="FI14" s="463"/>
      <c r="FJ14" s="463"/>
      <c r="FK14" s="463"/>
      <c r="FL14" s="464"/>
      <c r="FM14" s="465"/>
      <c r="FN14" s="463"/>
      <c r="FO14" s="463"/>
      <c r="FP14" s="463"/>
      <c r="FQ14" s="463"/>
      <c r="FR14" s="464"/>
      <c r="FS14" s="465"/>
      <c r="FT14" s="463"/>
      <c r="FU14" s="463"/>
      <c r="FV14" s="463"/>
      <c r="FW14" s="463"/>
      <c r="FX14" s="464"/>
      <c r="FY14" s="465"/>
      <c r="FZ14" s="463"/>
      <c r="GA14" s="463"/>
      <c r="GB14" s="463"/>
      <c r="GC14" s="463"/>
      <c r="GD14" s="464"/>
      <c r="GE14" s="465"/>
      <c r="GF14" s="463"/>
      <c r="GG14" s="463"/>
      <c r="GH14" s="463"/>
      <c r="GI14" s="463"/>
      <c r="GJ14" s="464"/>
      <c r="GK14" s="465"/>
      <c r="GL14" s="463"/>
      <c r="GM14" s="463"/>
      <c r="GN14" s="463"/>
      <c r="GO14" s="463"/>
      <c r="GP14" s="464"/>
      <c r="GQ14" s="465"/>
      <c r="GR14" s="463"/>
      <c r="GS14" s="463"/>
      <c r="GT14" s="463"/>
      <c r="GU14" s="463"/>
      <c r="GV14" s="464"/>
      <c r="GW14" s="465"/>
      <c r="GX14" s="463"/>
      <c r="GY14" s="463"/>
      <c r="GZ14" s="463"/>
      <c r="HA14" s="463"/>
      <c r="HB14" s="464"/>
      <c r="HC14" s="465"/>
      <c r="HD14" s="463"/>
      <c r="HE14" s="463"/>
      <c r="HF14" s="463"/>
      <c r="HG14" s="463"/>
      <c r="HH14" s="464"/>
      <c r="HI14" s="465"/>
      <c r="HJ14" s="463"/>
      <c r="HK14" s="463"/>
      <c r="HL14" s="463"/>
      <c r="HM14" s="463"/>
      <c r="HN14" s="464"/>
      <c r="HO14" s="465"/>
      <c r="HP14" s="463"/>
      <c r="HQ14" s="463"/>
      <c r="HR14" s="463"/>
      <c r="HS14" s="463"/>
      <c r="HT14" s="464"/>
      <c r="HU14" s="465"/>
      <c r="HV14" s="463"/>
      <c r="HW14" s="463"/>
      <c r="HX14" s="463"/>
      <c r="HY14" s="463"/>
      <c r="HZ14" s="464"/>
      <c r="IA14" s="465"/>
      <c r="IB14" s="463"/>
      <c r="IC14" s="463"/>
      <c r="ID14" s="463"/>
      <c r="IE14" s="463"/>
      <c r="IF14" s="464"/>
      <c r="IG14" s="465"/>
      <c r="IH14" s="463"/>
      <c r="II14" s="463"/>
      <c r="IJ14" s="463"/>
    </row>
    <row r="15" spans="1:244" ht="27.75" customHeight="1" x14ac:dyDescent="0.25">
      <c r="A15" s="457">
        <v>12</v>
      </c>
      <c r="B15" s="677" t="s">
        <v>383</v>
      </c>
      <c r="C15" s="678" t="s">
        <v>384</v>
      </c>
      <c r="D15" s="678" t="s">
        <v>385</v>
      </c>
      <c r="E15" s="679">
        <v>0</v>
      </c>
      <c r="F15" s="680" t="s">
        <v>352</v>
      </c>
      <c r="G15" s="681">
        <v>0</v>
      </c>
      <c r="H15" s="679">
        <v>7</v>
      </c>
      <c r="I15" s="680" t="s">
        <v>352</v>
      </c>
      <c r="J15" s="681">
        <v>13.608000000000001</v>
      </c>
      <c r="K15" s="682">
        <f t="shared" si="0"/>
        <v>153.6</v>
      </c>
      <c r="L15" s="683">
        <v>8.4</v>
      </c>
      <c r="M15" s="684">
        <f t="shared" si="1"/>
        <v>1290.24</v>
      </c>
      <c r="N15" s="685">
        <f>5.31+5.42</f>
        <v>10.73</v>
      </c>
      <c r="O15" s="684">
        <f t="shared" si="2"/>
        <v>1300.97</v>
      </c>
      <c r="P15" s="686">
        <v>153.608</v>
      </c>
      <c r="Q15" s="687">
        <f t="shared" si="3"/>
        <v>8.0000000000097771E-3</v>
      </c>
      <c r="R15" s="464"/>
      <c r="S15" s="465"/>
      <c r="T15" s="463"/>
      <c r="U15" s="463"/>
      <c r="V15" s="463"/>
      <c r="W15" s="463"/>
      <c r="X15" s="464"/>
      <c r="Y15" s="465"/>
      <c r="Z15" s="463"/>
      <c r="AA15" s="463"/>
      <c r="AB15" s="463"/>
      <c r="AC15" s="463"/>
      <c r="AD15" s="464"/>
      <c r="AE15" s="465"/>
      <c r="AF15" s="463"/>
      <c r="AG15" s="463"/>
      <c r="AH15" s="463"/>
      <c r="AI15" s="463"/>
      <c r="AJ15" s="464"/>
      <c r="AK15" s="465"/>
      <c r="AL15" s="463"/>
      <c r="AM15" s="463"/>
      <c r="AN15" s="463"/>
      <c r="AO15" s="463"/>
      <c r="AP15" s="464"/>
      <c r="AQ15" s="465"/>
      <c r="AR15" s="463"/>
      <c r="AS15" s="463"/>
      <c r="AT15" s="463"/>
      <c r="AU15" s="463"/>
      <c r="AV15" s="464"/>
      <c r="AW15" s="465"/>
      <c r="AX15" s="463"/>
      <c r="AY15" s="463"/>
      <c r="AZ15" s="463"/>
      <c r="BA15" s="463"/>
      <c r="BB15" s="464"/>
      <c r="BC15" s="465"/>
      <c r="BD15" s="463"/>
      <c r="BE15" s="463"/>
      <c r="BF15" s="463"/>
      <c r="BG15" s="463"/>
      <c r="BH15" s="464"/>
      <c r="BI15" s="465"/>
      <c r="BJ15" s="463"/>
      <c r="BK15" s="463"/>
      <c r="BL15" s="463"/>
      <c r="BM15" s="463"/>
      <c r="BN15" s="464"/>
      <c r="BO15" s="465"/>
      <c r="BP15" s="463"/>
      <c r="BQ15" s="463"/>
      <c r="BR15" s="463"/>
      <c r="BS15" s="463"/>
      <c r="BT15" s="464"/>
      <c r="BU15" s="465"/>
      <c r="BV15" s="463"/>
      <c r="BW15" s="463"/>
      <c r="BX15" s="463"/>
      <c r="BY15" s="463"/>
      <c r="BZ15" s="464"/>
      <c r="CA15" s="465"/>
      <c r="CB15" s="463"/>
      <c r="CC15" s="463"/>
      <c r="CD15" s="463"/>
      <c r="CE15" s="463"/>
      <c r="CF15" s="464"/>
      <c r="CG15" s="465"/>
      <c r="CH15" s="463"/>
      <c r="CI15" s="463"/>
      <c r="CJ15" s="463"/>
      <c r="CK15" s="463"/>
      <c r="CL15" s="464"/>
      <c r="CM15" s="465"/>
      <c r="CN15" s="463"/>
      <c r="CO15" s="463"/>
      <c r="CP15" s="463"/>
      <c r="CQ15" s="463"/>
      <c r="CR15" s="464"/>
      <c r="CS15" s="465"/>
      <c r="CT15" s="463"/>
      <c r="CU15" s="463"/>
      <c r="CV15" s="463"/>
      <c r="CW15" s="463"/>
      <c r="CX15" s="464"/>
      <c r="CY15" s="465"/>
      <c r="CZ15" s="463"/>
      <c r="DA15" s="463"/>
      <c r="DB15" s="463"/>
      <c r="DC15" s="463"/>
      <c r="DD15" s="464"/>
      <c r="DE15" s="465"/>
      <c r="DF15" s="463"/>
      <c r="DG15" s="463"/>
      <c r="DH15" s="463"/>
      <c r="DI15" s="463"/>
      <c r="DJ15" s="464"/>
      <c r="DK15" s="465"/>
      <c r="DL15" s="463"/>
      <c r="DM15" s="463"/>
      <c r="DN15" s="463"/>
      <c r="DO15" s="463"/>
      <c r="DP15" s="464"/>
      <c r="DQ15" s="465"/>
      <c r="DR15" s="463"/>
      <c r="DS15" s="463"/>
      <c r="DT15" s="463"/>
      <c r="DU15" s="463"/>
      <c r="DV15" s="464"/>
      <c r="DW15" s="465"/>
      <c r="DX15" s="463"/>
      <c r="DY15" s="463"/>
      <c r="DZ15" s="463"/>
      <c r="EA15" s="463"/>
      <c r="EB15" s="464"/>
      <c r="EC15" s="465"/>
      <c r="ED15" s="463"/>
      <c r="EE15" s="463"/>
      <c r="EF15" s="463"/>
      <c r="EG15" s="463"/>
      <c r="EH15" s="464"/>
      <c r="EI15" s="465"/>
      <c r="EJ15" s="463"/>
      <c r="EK15" s="463"/>
      <c r="EL15" s="463"/>
      <c r="EM15" s="463"/>
      <c r="EN15" s="464"/>
      <c r="EO15" s="465"/>
      <c r="EP15" s="463"/>
      <c r="EQ15" s="463"/>
      <c r="ER15" s="463"/>
      <c r="ES15" s="463"/>
      <c r="ET15" s="464"/>
      <c r="EU15" s="465"/>
      <c r="EV15" s="463"/>
      <c r="EW15" s="463"/>
      <c r="EX15" s="463"/>
      <c r="EY15" s="463"/>
      <c r="EZ15" s="464"/>
      <c r="FA15" s="465"/>
      <c r="FB15" s="463"/>
      <c r="FC15" s="463"/>
      <c r="FD15" s="463"/>
      <c r="FE15" s="463"/>
      <c r="FF15" s="464"/>
      <c r="FG15" s="465"/>
      <c r="FH15" s="463"/>
      <c r="FI15" s="463"/>
      <c r="FJ15" s="463"/>
      <c r="FK15" s="463"/>
      <c r="FL15" s="464"/>
      <c r="FM15" s="465"/>
      <c r="FN15" s="463"/>
      <c r="FO15" s="463"/>
      <c r="FP15" s="463"/>
      <c r="FQ15" s="463"/>
      <c r="FR15" s="464"/>
      <c r="FS15" s="465"/>
      <c r="FT15" s="463"/>
      <c r="FU15" s="463"/>
      <c r="FV15" s="463"/>
      <c r="FW15" s="463"/>
      <c r="FX15" s="464"/>
      <c r="FY15" s="465"/>
      <c r="FZ15" s="463"/>
      <c r="GA15" s="463"/>
      <c r="GB15" s="463"/>
      <c r="GC15" s="463"/>
      <c r="GD15" s="464"/>
      <c r="GE15" s="465"/>
      <c r="GF15" s="463"/>
      <c r="GG15" s="463"/>
      <c r="GH15" s="463"/>
      <c r="GI15" s="463"/>
      <c r="GJ15" s="464"/>
      <c r="GK15" s="465"/>
      <c r="GL15" s="463"/>
      <c r="GM15" s="463"/>
      <c r="GN15" s="463"/>
      <c r="GO15" s="463"/>
      <c r="GP15" s="464"/>
      <c r="GQ15" s="465"/>
      <c r="GR15" s="463"/>
      <c r="GS15" s="463"/>
      <c r="GT15" s="463"/>
      <c r="GU15" s="463"/>
      <c r="GV15" s="464"/>
      <c r="GW15" s="465"/>
      <c r="GX15" s="463"/>
      <c r="GY15" s="463"/>
      <c r="GZ15" s="463"/>
      <c r="HA15" s="463"/>
      <c r="HB15" s="464"/>
      <c r="HC15" s="465"/>
      <c r="HD15" s="463"/>
      <c r="HE15" s="463"/>
      <c r="HF15" s="463"/>
      <c r="HG15" s="463"/>
      <c r="HH15" s="464"/>
      <c r="HI15" s="465"/>
      <c r="HJ15" s="463"/>
      <c r="HK15" s="463"/>
      <c r="HL15" s="463"/>
      <c r="HM15" s="463"/>
      <c r="HN15" s="464"/>
      <c r="HO15" s="465"/>
      <c r="HP15" s="463"/>
      <c r="HQ15" s="463"/>
      <c r="HR15" s="463"/>
      <c r="HS15" s="463"/>
      <c r="HT15" s="464"/>
      <c r="HU15" s="465"/>
      <c r="HV15" s="463"/>
      <c r="HW15" s="463"/>
      <c r="HX15" s="463"/>
      <c r="HY15" s="463"/>
      <c r="HZ15" s="464"/>
      <c r="IA15" s="465"/>
      <c r="IB15" s="463"/>
      <c r="IC15" s="463"/>
      <c r="ID15" s="463"/>
      <c r="IE15" s="463"/>
      <c r="IF15" s="464"/>
      <c r="IG15" s="465"/>
      <c r="IH15" s="463"/>
      <c r="II15" s="463"/>
      <c r="IJ15" s="463"/>
    </row>
    <row r="16" spans="1:244" ht="27.75" customHeight="1" x14ac:dyDescent="0.25">
      <c r="A16" s="457">
        <v>13</v>
      </c>
      <c r="B16" s="677" t="s">
        <v>386</v>
      </c>
      <c r="C16" s="678" t="s">
        <v>387</v>
      </c>
      <c r="D16" s="678" t="s">
        <v>388</v>
      </c>
      <c r="E16" s="679">
        <v>0</v>
      </c>
      <c r="F16" s="680" t="s">
        <v>352</v>
      </c>
      <c r="G16" s="681">
        <v>0</v>
      </c>
      <c r="H16" s="679">
        <v>4</v>
      </c>
      <c r="I16" s="680" t="s">
        <v>352</v>
      </c>
      <c r="J16" s="681">
        <v>2.35</v>
      </c>
      <c r="K16" s="682">
        <f t="shared" si="0"/>
        <v>82.35</v>
      </c>
      <c r="L16" s="683">
        <v>8.4</v>
      </c>
      <c r="M16" s="684">
        <f t="shared" si="1"/>
        <v>691.74</v>
      </c>
      <c r="N16" s="685">
        <f>5.38+5.35+5.04+5.79</f>
        <v>21.56</v>
      </c>
      <c r="O16" s="684">
        <f t="shared" si="2"/>
        <v>713.3</v>
      </c>
      <c r="P16" s="686">
        <v>82.35</v>
      </c>
      <c r="Q16" s="687">
        <f t="shared" si="3"/>
        <v>0</v>
      </c>
      <c r="R16" s="464"/>
      <c r="S16" s="465"/>
      <c r="T16" s="463"/>
      <c r="U16" s="463"/>
      <c r="V16" s="463"/>
      <c r="W16" s="463"/>
      <c r="X16" s="464"/>
      <c r="Y16" s="465"/>
      <c r="Z16" s="463"/>
      <c r="AA16" s="463"/>
      <c r="AB16" s="463"/>
      <c r="AC16" s="463"/>
      <c r="AD16" s="464"/>
      <c r="AE16" s="465"/>
      <c r="AF16" s="463"/>
      <c r="AG16" s="463"/>
      <c r="AH16" s="463"/>
      <c r="AI16" s="463"/>
      <c r="AJ16" s="464"/>
      <c r="AK16" s="465"/>
      <c r="AL16" s="463"/>
      <c r="AM16" s="463"/>
      <c r="AN16" s="463"/>
      <c r="AO16" s="463"/>
      <c r="AP16" s="464"/>
      <c r="AQ16" s="465"/>
      <c r="AR16" s="463"/>
      <c r="AS16" s="463"/>
      <c r="AT16" s="463"/>
      <c r="AU16" s="463"/>
      <c r="AV16" s="464"/>
      <c r="AW16" s="465"/>
      <c r="AX16" s="463"/>
      <c r="AY16" s="463"/>
      <c r="AZ16" s="463"/>
      <c r="BA16" s="463"/>
      <c r="BB16" s="464"/>
      <c r="BC16" s="465"/>
      <c r="BD16" s="463"/>
      <c r="BE16" s="463"/>
      <c r="BF16" s="463"/>
      <c r="BG16" s="463"/>
      <c r="BH16" s="464"/>
      <c r="BI16" s="465"/>
      <c r="BJ16" s="463"/>
      <c r="BK16" s="463"/>
      <c r="BL16" s="463"/>
      <c r="BM16" s="463"/>
      <c r="BN16" s="464"/>
      <c r="BO16" s="465"/>
      <c r="BP16" s="463"/>
      <c r="BQ16" s="463"/>
      <c r="BR16" s="463"/>
      <c r="BS16" s="463"/>
      <c r="BT16" s="464"/>
      <c r="BU16" s="465"/>
      <c r="BV16" s="463"/>
      <c r="BW16" s="463"/>
      <c r="BX16" s="463"/>
      <c r="BY16" s="463"/>
      <c r="BZ16" s="464"/>
      <c r="CA16" s="465"/>
      <c r="CB16" s="463"/>
      <c r="CC16" s="463"/>
      <c r="CD16" s="463"/>
      <c r="CE16" s="463"/>
      <c r="CF16" s="464"/>
      <c r="CG16" s="465"/>
      <c r="CH16" s="463"/>
      <c r="CI16" s="463"/>
      <c r="CJ16" s="463"/>
      <c r="CK16" s="463"/>
      <c r="CL16" s="464"/>
      <c r="CM16" s="465"/>
      <c r="CN16" s="463"/>
      <c r="CO16" s="463"/>
      <c r="CP16" s="463"/>
      <c r="CQ16" s="463"/>
      <c r="CR16" s="464"/>
      <c r="CS16" s="465"/>
      <c r="CT16" s="463"/>
      <c r="CU16" s="463"/>
      <c r="CV16" s="463"/>
      <c r="CW16" s="463"/>
      <c r="CX16" s="464"/>
      <c r="CY16" s="465"/>
      <c r="CZ16" s="463"/>
      <c r="DA16" s="463"/>
      <c r="DB16" s="463"/>
      <c r="DC16" s="463"/>
      <c r="DD16" s="464"/>
      <c r="DE16" s="465"/>
      <c r="DF16" s="463"/>
      <c r="DG16" s="463"/>
      <c r="DH16" s="463"/>
      <c r="DI16" s="463"/>
      <c r="DJ16" s="464"/>
      <c r="DK16" s="465"/>
      <c r="DL16" s="463"/>
      <c r="DM16" s="463"/>
      <c r="DN16" s="463"/>
      <c r="DO16" s="463"/>
      <c r="DP16" s="464"/>
      <c r="DQ16" s="465"/>
      <c r="DR16" s="463"/>
      <c r="DS16" s="463"/>
      <c r="DT16" s="463"/>
      <c r="DU16" s="463"/>
      <c r="DV16" s="464"/>
      <c r="DW16" s="465"/>
      <c r="DX16" s="463"/>
      <c r="DY16" s="463"/>
      <c r="DZ16" s="463"/>
      <c r="EA16" s="463"/>
      <c r="EB16" s="464"/>
      <c r="EC16" s="465"/>
      <c r="ED16" s="463"/>
      <c r="EE16" s="463"/>
      <c r="EF16" s="463"/>
      <c r="EG16" s="463"/>
      <c r="EH16" s="464"/>
      <c r="EI16" s="465"/>
      <c r="EJ16" s="463"/>
      <c r="EK16" s="463"/>
      <c r="EL16" s="463"/>
      <c r="EM16" s="463"/>
      <c r="EN16" s="464"/>
      <c r="EO16" s="465"/>
      <c r="EP16" s="463"/>
      <c r="EQ16" s="463"/>
      <c r="ER16" s="463"/>
      <c r="ES16" s="463"/>
      <c r="ET16" s="464"/>
      <c r="EU16" s="465"/>
      <c r="EV16" s="463"/>
      <c r="EW16" s="463"/>
      <c r="EX16" s="463"/>
      <c r="EY16" s="463"/>
      <c r="EZ16" s="464"/>
      <c r="FA16" s="465"/>
      <c r="FB16" s="463"/>
      <c r="FC16" s="463"/>
      <c r="FD16" s="463"/>
      <c r="FE16" s="463"/>
      <c r="FF16" s="464"/>
      <c r="FG16" s="465"/>
      <c r="FH16" s="463"/>
      <c r="FI16" s="463"/>
      <c r="FJ16" s="463"/>
      <c r="FK16" s="463"/>
      <c r="FL16" s="464"/>
      <c r="FM16" s="465"/>
      <c r="FN16" s="463"/>
      <c r="FO16" s="463"/>
      <c r="FP16" s="463"/>
      <c r="FQ16" s="463"/>
      <c r="FR16" s="464"/>
      <c r="FS16" s="465"/>
      <c r="FT16" s="463"/>
      <c r="FU16" s="463"/>
      <c r="FV16" s="463"/>
      <c r="FW16" s="463"/>
      <c r="FX16" s="464"/>
      <c r="FY16" s="465"/>
      <c r="FZ16" s="463"/>
      <c r="GA16" s="463"/>
      <c r="GB16" s="463"/>
      <c r="GC16" s="463"/>
      <c r="GD16" s="464"/>
      <c r="GE16" s="465"/>
      <c r="GF16" s="463"/>
      <c r="GG16" s="463"/>
      <c r="GH16" s="463"/>
      <c r="GI16" s="463"/>
      <c r="GJ16" s="464"/>
      <c r="GK16" s="465"/>
      <c r="GL16" s="463"/>
      <c r="GM16" s="463"/>
      <c r="GN16" s="463"/>
      <c r="GO16" s="463"/>
      <c r="GP16" s="464"/>
      <c r="GQ16" s="465"/>
      <c r="GR16" s="463"/>
      <c r="GS16" s="463"/>
      <c r="GT16" s="463"/>
      <c r="GU16" s="463"/>
      <c r="GV16" s="464"/>
      <c r="GW16" s="465"/>
      <c r="GX16" s="463"/>
      <c r="GY16" s="463"/>
      <c r="GZ16" s="463"/>
      <c r="HA16" s="463"/>
      <c r="HB16" s="464"/>
      <c r="HC16" s="465"/>
      <c r="HD16" s="463"/>
      <c r="HE16" s="463"/>
      <c r="HF16" s="463"/>
      <c r="HG16" s="463"/>
      <c r="HH16" s="464"/>
      <c r="HI16" s="465"/>
      <c r="HJ16" s="463"/>
      <c r="HK16" s="463"/>
      <c r="HL16" s="463"/>
      <c r="HM16" s="463"/>
      <c r="HN16" s="464"/>
      <c r="HO16" s="465"/>
      <c r="HP16" s="463"/>
      <c r="HQ16" s="463"/>
      <c r="HR16" s="463"/>
      <c r="HS16" s="463"/>
      <c r="HT16" s="464"/>
      <c r="HU16" s="465"/>
      <c r="HV16" s="463"/>
      <c r="HW16" s="463"/>
      <c r="HX16" s="463"/>
      <c r="HY16" s="463"/>
      <c r="HZ16" s="464"/>
      <c r="IA16" s="465"/>
      <c r="IB16" s="463"/>
      <c r="IC16" s="463"/>
      <c r="ID16" s="463"/>
      <c r="IE16" s="463"/>
      <c r="IF16" s="464"/>
      <c r="IG16" s="465"/>
      <c r="IH16" s="463"/>
      <c r="II16" s="463"/>
      <c r="IJ16" s="463"/>
    </row>
    <row r="17" spans="1:244" ht="27.75" customHeight="1" x14ac:dyDescent="0.25">
      <c r="A17" s="457">
        <v>14</v>
      </c>
      <c r="B17" s="677" t="s">
        <v>389</v>
      </c>
      <c r="C17" s="678" t="s">
        <v>390</v>
      </c>
      <c r="D17" s="678" t="s">
        <v>391</v>
      </c>
      <c r="E17" s="679">
        <v>0</v>
      </c>
      <c r="F17" s="680" t="s">
        <v>352</v>
      </c>
      <c r="G17" s="681">
        <v>0</v>
      </c>
      <c r="H17" s="679">
        <v>5</v>
      </c>
      <c r="I17" s="680" t="s">
        <v>352</v>
      </c>
      <c r="J17" s="681">
        <v>6.6210000000000004</v>
      </c>
      <c r="K17" s="682">
        <f t="shared" si="0"/>
        <v>106.62</v>
      </c>
      <c r="L17" s="683">
        <v>8.4</v>
      </c>
      <c r="M17" s="684">
        <f t="shared" si="1"/>
        <v>895.6</v>
      </c>
      <c r="N17" s="685">
        <f>5.7+4.97+5.34+5.39</f>
        <v>21.4</v>
      </c>
      <c r="O17" s="684">
        <f t="shared" si="2"/>
        <v>917</v>
      </c>
      <c r="P17" s="686">
        <v>106.621</v>
      </c>
      <c r="Q17" s="687">
        <f t="shared" si="3"/>
        <v>9.9999999999056399E-4</v>
      </c>
      <c r="R17" s="464"/>
      <c r="S17" s="465"/>
      <c r="T17" s="463"/>
      <c r="U17" s="463"/>
      <c r="V17" s="463"/>
      <c r="W17" s="463"/>
      <c r="X17" s="464"/>
      <c r="Y17" s="465"/>
      <c r="Z17" s="463"/>
      <c r="AA17" s="463"/>
      <c r="AB17" s="463"/>
      <c r="AC17" s="463"/>
      <c r="AD17" s="464"/>
      <c r="AE17" s="465"/>
      <c r="AF17" s="463"/>
      <c r="AG17" s="463"/>
      <c r="AH17" s="463"/>
      <c r="AI17" s="463"/>
      <c r="AJ17" s="464"/>
      <c r="AK17" s="465"/>
      <c r="AL17" s="463"/>
      <c r="AM17" s="463"/>
      <c r="AN17" s="463"/>
      <c r="AO17" s="463"/>
      <c r="AP17" s="464"/>
      <c r="AQ17" s="465"/>
      <c r="AR17" s="463"/>
      <c r="AS17" s="463"/>
      <c r="AT17" s="463"/>
      <c r="AU17" s="463"/>
      <c r="AV17" s="464"/>
      <c r="AW17" s="465"/>
      <c r="AX17" s="463"/>
      <c r="AY17" s="463"/>
      <c r="AZ17" s="463"/>
      <c r="BA17" s="463"/>
      <c r="BB17" s="464"/>
      <c r="BC17" s="465"/>
      <c r="BD17" s="463"/>
      <c r="BE17" s="463"/>
      <c r="BF17" s="463"/>
      <c r="BG17" s="463"/>
      <c r="BH17" s="464"/>
      <c r="BI17" s="465"/>
      <c r="BJ17" s="463"/>
      <c r="BK17" s="463"/>
      <c r="BL17" s="463"/>
      <c r="BM17" s="463"/>
      <c r="BN17" s="464"/>
      <c r="BO17" s="465"/>
      <c r="BP17" s="463"/>
      <c r="BQ17" s="463"/>
      <c r="BR17" s="463"/>
      <c r="BS17" s="463"/>
      <c r="BT17" s="464"/>
      <c r="BU17" s="465"/>
      <c r="BV17" s="463"/>
      <c r="BW17" s="463"/>
      <c r="BX17" s="463"/>
      <c r="BY17" s="463"/>
      <c r="BZ17" s="464"/>
      <c r="CA17" s="465"/>
      <c r="CB17" s="463"/>
      <c r="CC17" s="463"/>
      <c r="CD17" s="463"/>
      <c r="CE17" s="463"/>
      <c r="CF17" s="464"/>
      <c r="CG17" s="465"/>
      <c r="CH17" s="463"/>
      <c r="CI17" s="463"/>
      <c r="CJ17" s="463"/>
      <c r="CK17" s="463"/>
      <c r="CL17" s="464"/>
      <c r="CM17" s="465"/>
      <c r="CN17" s="463"/>
      <c r="CO17" s="463"/>
      <c r="CP17" s="463"/>
      <c r="CQ17" s="463"/>
      <c r="CR17" s="464"/>
      <c r="CS17" s="465"/>
      <c r="CT17" s="463"/>
      <c r="CU17" s="463"/>
      <c r="CV17" s="463"/>
      <c r="CW17" s="463"/>
      <c r="CX17" s="464"/>
      <c r="CY17" s="465"/>
      <c r="CZ17" s="463"/>
      <c r="DA17" s="463"/>
      <c r="DB17" s="463"/>
      <c r="DC17" s="463"/>
      <c r="DD17" s="464"/>
      <c r="DE17" s="465"/>
      <c r="DF17" s="463"/>
      <c r="DG17" s="463"/>
      <c r="DH17" s="463"/>
      <c r="DI17" s="463"/>
      <c r="DJ17" s="464"/>
      <c r="DK17" s="465"/>
      <c r="DL17" s="463"/>
      <c r="DM17" s="463"/>
      <c r="DN17" s="463"/>
      <c r="DO17" s="463"/>
      <c r="DP17" s="464"/>
      <c r="DQ17" s="465"/>
      <c r="DR17" s="463"/>
      <c r="DS17" s="463"/>
      <c r="DT17" s="463"/>
      <c r="DU17" s="463"/>
      <c r="DV17" s="464"/>
      <c r="DW17" s="465"/>
      <c r="DX17" s="463"/>
      <c r="DY17" s="463"/>
      <c r="DZ17" s="463"/>
      <c r="EA17" s="463"/>
      <c r="EB17" s="464"/>
      <c r="EC17" s="465"/>
      <c r="ED17" s="463"/>
      <c r="EE17" s="463"/>
      <c r="EF17" s="463"/>
      <c r="EG17" s="463"/>
      <c r="EH17" s="464"/>
      <c r="EI17" s="465"/>
      <c r="EJ17" s="463"/>
      <c r="EK17" s="463"/>
      <c r="EL17" s="463"/>
      <c r="EM17" s="463"/>
      <c r="EN17" s="464"/>
      <c r="EO17" s="465"/>
      <c r="EP17" s="463"/>
      <c r="EQ17" s="463"/>
      <c r="ER17" s="463"/>
      <c r="ES17" s="463"/>
      <c r="ET17" s="464"/>
      <c r="EU17" s="465"/>
      <c r="EV17" s="463"/>
      <c r="EW17" s="463"/>
      <c r="EX17" s="463"/>
      <c r="EY17" s="463"/>
      <c r="EZ17" s="464"/>
      <c r="FA17" s="465"/>
      <c r="FB17" s="463"/>
      <c r="FC17" s="463"/>
      <c r="FD17" s="463"/>
      <c r="FE17" s="463"/>
      <c r="FF17" s="464"/>
      <c r="FG17" s="465"/>
      <c r="FH17" s="463"/>
      <c r="FI17" s="463"/>
      <c r="FJ17" s="463"/>
      <c r="FK17" s="463"/>
      <c r="FL17" s="464"/>
      <c r="FM17" s="465"/>
      <c r="FN17" s="463"/>
      <c r="FO17" s="463"/>
      <c r="FP17" s="463"/>
      <c r="FQ17" s="463"/>
      <c r="FR17" s="464"/>
      <c r="FS17" s="465"/>
      <c r="FT17" s="463"/>
      <c r="FU17" s="463"/>
      <c r="FV17" s="463"/>
      <c r="FW17" s="463"/>
      <c r="FX17" s="464"/>
      <c r="FY17" s="465"/>
      <c r="FZ17" s="463"/>
      <c r="GA17" s="463"/>
      <c r="GB17" s="463"/>
      <c r="GC17" s="463"/>
      <c r="GD17" s="464"/>
      <c r="GE17" s="465"/>
      <c r="GF17" s="463"/>
      <c r="GG17" s="463"/>
      <c r="GH17" s="463"/>
      <c r="GI17" s="463"/>
      <c r="GJ17" s="464"/>
      <c r="GK17" s="465"/>
      <c r="GL17" s="463"/>
      <c r="GM17" s="463"/>
      <c r="GN17" s="463"/>
      <c r="GO17" s="463"/>
      <c r="GP17" s="464"/>
      <c r="GQ17" s="465"/>
      <c r="GR17" s="463"/>
      <c r="GS17" s="463"/>
      <c r="GT17" s="463"/>
      <c r="GU17" s="463"/>
      <c r="GV17" s="464"/>
      <c r="GW17" s="465"/>
      <c r="GX17" s="463"/>
      <c r="GY17" s="463"/>
      <c r="GZ17" s="463"/>
      <c r="HA17" s="463"/>
      <c r="HB17" s="464"/>
      <c r="HC17" s="465"/>
      <c r="HD17" s="463"/>
      <c r="HE17" s="463"/>
      <c r="HF17" s="463"/>
      <c r="HG17" s="463"/>
      <c r="HH17" s="464"/>
      <c r="HI17" s="465"/>
      <c r="HJ17" s="463"/>
      <c r="HK17" s="463"/>
      <c r="HL17" s="463"/>
      <c r="HM17" s="463"/>
      <c r="HN17" s="464"/>
      <c r="HO17" s="465"/>
      <c r="HP17" s="463"/>
      <c r="HQ17" s="463"/>
      <c r="HR17" s="463"/>
      <c r="HS17" s="463"/>
      <c r="HT17" s="464"/>
      <c r="HU17" s="465"/>
      <c r="HV17" s="463"/>
      <c r="HW17" s="463"/>
      <c r="HX17" s="463"/>
      <c r="HY17" s="463"/>
      <c r="HZ17" s="464"/>
      <c r="IA17" s="465"/>
      <c r="IB17" s="463"/>
      <c r="IC17" s="463"/>
      <c r="ID17" s="463"/>
      <c r="IE17" s="463"/>
      <c r="IF17" s="464"/>
      <c r="IG17" s="465"/>
      <c r="IH17" s="463"/>
      <c r="II17" s="463"/>
      <c r="IJ17" s="463"/>
    </row>
    <row r="18" spans="1:244" ht="27.75" customHeight="1" x14ac:dyDescent="0.25">
      <c r="A18" s="457">
        <v>15</v>
      </c>
      <c r="B18" s="688" t="s">
        <v>392</v>
      </c>
      <c r="C18" s="678" t="s">
        <v>393</v>
      </c>
      <c r="D18" s="678" t="s">
        <v>394</v>
      </c>
      <c r="E18" s="679">
        <v>0</v>
      </c>
      <c r="F18" s="680" t="s">
        <v>352</v>
      </c>
      <c r="G18" s="681">
        <v>0</v>
      </c>
      <c r="H18" s="679">
        <v>3</v>
      </c>
      <c r="I18" s="680" t="s">
        <v>352</v>
      </c>
      <c r="J18" s="681">
        <v>9.6859999999999999</v>
      </c>
      <c r="K18" s="682">
        <f t="shared" si="0"/>
        <v>69.680000000000007</v>
      </c>
      <c r="L18" s="683">
        <v>8.4</v>
      </c>
      <c r="M18" s="684">
        <f t="shared" si="1"/>
        <v>585.30999999999995</v>
      </c>
      <c r="N18" s="685">
        <f>5.37+5.1+5.39+5.35</f>
        <v>21.21</v>
      </c>
      <c r="O18" s="684">
        <f t="shared" si="2"/>
        <v>606.52</v>
      </c>
      <c r="P18" s="686">
        <v>69.686000000000007</v>
      </c>
      <c r="Q18" s="687">
        <f t="shared" si="3"/>
        <v>6.0000000000002274E-3</v>
      </c>
      <c r="R18" s="464"/>
      <c r="S18" s="465"/>
      <c r="T18" s="463"/>
      <c r="U18" s="463"/>
      <c r="V18" s="463"/>
      <c r="W18" s="463"/>
      <c r="X18" s="464"/>
      <c r="Y18" s="465"/>
      <c r="Z18" s="463"/>
      <c r="AA18" s="463"/>
      <c r="AB18" s="463"/>
      <c r="AC18" s="463"/>
      <c r="AD18" s="464"/>
      <c r="AE18" s="465"/>
      <c r="AF18" s="463"/>
      <c r="AG18" s="463"/>
      <c r="AH18" s="463"/>
      <c r="AI18" s="463"/>
      <c r="AJ18" s="464"/>
      <c r="AK18" s="465"/>
      <c r="AL18" s="463"/>
      <c r="AM18" s="463"/>
      <c r="AN18" s="463"/>
      <c r="AO18" s="463"/>
      <c r="AP18" s="464"/>
      <c r="AQ18" s="465"/>
      <c r="AR18" s="463"/>
      <c r="AS18" s="463"/>
      <c r="AT18" s="463"/>
      <c r="AU18" s="463"/>
      <c r="AV18" s="464"/>
      <c r="AW18" s="465"/>
      <c r="AX18" s="463"/>
      <c r="AY18" s="463"/>
      <c r="AZ18" s="463"/>
      <c r="BA18" s="463"/>
      <c r="BB18" s="464"/>
      <c r="BC18" s="465"/>
      <c r="BD18" s="463"/>
      <c r="BE18" s="463"/>
      <c r="BF18" s="463"/>
      <c r="BG18" s="463"/>
      <c r="BH18" s="464"/>
      <c r="BI18" s="465"/>
      <c r="BJ18" s="463"/>
      <c r="BK18" s="463"/>
      <c r="BL18" s="463"/>
      <c r="BM18" s="463"/>
      <c r="BN18" s="464"/>
      <c r="BO18" s="465"/>
      <c r="BP18" s="463"/>
      <c r="BQ18" s="463"/>
      <c r="BR18" s="463"/>
      <c r="BS18" s="463"/>
      <c r="BT18" s="464"/>
      <c r="BU18" s="465"/>
      <c r="BV18" s="463"/>
      <c r="BW18" s="463"/>
      <c r="BX18" s="463"/>
      <c r="BY18" s="463"/>
      <c r="BZ18" s="464"/>
      <c r="CA18" s="465"/>
      <c r="CB18" s="463"/>
      <c r="CC18" s="463"/>
      <c r="CD18" s="463"/>
      <c r="CE18" s="463"/>
      <c r="CF18" s="464"/>
      <c r="CG18" s="465"/>
      <c r="CH18" s="463"/>
      <c r="CI18" s="463"/>
      <c r="CJ18" s="463"/>
      <c r="CK18" s="463"/>
      <c r="CL18" s="464"/>
      <c r="CM18" s="465"/>
      <c r="CN18" s="463"/>
      <c r="CO18" s="463"/>
      <c r="CP18" s="463"/>
      <c r="CQ18" s="463"/>
      <c r="CR18" s="464"/>
      <c r="CS18" s="465"/>
      <c r="CT18" s="463"/>
      <c r="CU18" s="463"/>
      <c r="CV18" s="463"/>
      <c r="CW18" s="463"/>
      <c r="CX18" s="464"/>
      <c r="CY18" s="465"/>
      <c r="CZ18" s="463"/>
      <c r="DA18" s="463"/>
      <c r="DB18" s="463"/>
      <c r="DC18" s="463"/>
      <c r="DD18" s="464"/>
      <c r="DE18" s="465"/>
      <c r="DF18" s="463"/>
      <c r="DG18" s="463"/>
      <c r="DH18" s="463"/>
      <c r="DI18" s="463"/>
      <c r="DJ18" s="464"/>
      <c r="DK18" s="465"/>
      <c r="DL18" s="463"/>
      <c r="DM18" s="463"/>
      <c r="DN18" s="463"/>
      <c r="DO18" s="463"/>
      <c r="DP18" s="464"/>
      <c r="DQ18" s="465"/>
      <c r="DR18" s="463"/>
      <c r="DS18" s="463"/>
      <c r="DT18" s="463"/>
      <c r="DU18" s="463"/>
      <c r="DV18" s="464"/>
      <c r="DW18" s="465"/>
      <c r="DX18" s="463"/>
      <c r="DY18" s="463"/>
      <c r="DZ18" s="463"/>
      <c r="EA18" s="463"/>
      <c r="EB18" s="464"/>
      <c r="EC18" s="465"/>
      <c r="ED18" s="463"/>
      <c r="EE18" s="463"/>
      <c r="EF18" s="463"/>
      <c r="EG18" s="463"/>
      <c r="EH18" s="464"/>
      <c r="EI18" s="465"/>
      <c r="EJ18" s="463"/>
      <c r="EK18" s="463"/>
      <c r="EL18" s="463"/>
      <c r="EM18" s="463"/>
      <c r="EN18" s="464"/>
      <c r="EO18" s="465"/>
      <c r="EP18" s="463"/>
      <c r="EQ18" s="463"/>
      <c r="ER18" s="463"/>
      <c r="ES18" s="463"/>
      <c r="ET18" s="464"/>
      <c r="EU18" s="465"/>
      <c r="EV18" s="463"/>
      <c r="EW18" s="463"/>
      <c r="EX18" s="463"/>
      <c r="EY18" s="463"/>
      <c r="EZ18" s="464"/>
      <c r="FA18" s="465"/>
      <c r="FB18" s="463"/>
      <c r="FC18" s="463"/>
      <c r="FD18" s="463"/>
      <c r="FE18" s="463"/>
      <c r="FF18" s="464"/>
      <c r="FG18" s="465"/>
      <c r="FH18" s="463"/>
      <c r="FI18" s="463"/>
      <c r="FJ18" s="463"/>
      <c r="FK18" s="463"/>
      <c r="FL18" s="464"/>
      <c r="FM18" s="465"/>
      <c r="FN18" s="463"/>
      <c r="FO18" s="463"/>
      <c r="FP18" s="463"/>
      <c r="FQ18" s="463"/>
      <c r="FR18" s="464"/>
      <c r="FS18" s="465"/>
      <c r="FT18" s="463"/>
      <c r="FU18" s="463"/>
      <c r="FV18" s="463"/>
      <c r="FW18" s="463"/>
      <c r="FX18" s="464"/>
      <c r="FY18" s="465"/>
      <c r="FZ18" s="463"/>
      <c r="GA18" s="463"/>
      <c r="GB18" s="463"/>
      <c r="GC18" s="463"/>
      <c r="GD18" s="464"/>
      <c r="GE18" s="465"/>
      <c r="GF18" s="463"/>
      <c r="GG18" s="463"/>
      <c r="GH18" s="463"/>
      <c r="GI18" s="463"/>
      <c r="GJ18" s="464"/>
      <c r="GK18" s="465"/>
      <c r="GL18" s="463"/>
      <c r="GM18" s="463"/>
      <c r="GN18" s="463"/>
      <c r="GO18" s="463"/>
      <c r="GP18" s="464"/>
      <c r="GQ18" s="465"/>
      <c r="GR18" s="463"/>
      <c r="GS18" s="463"/>
      <c r="GT18" s="463"/>
      <c r="GU18" s="463"/>
      <c r="GV18" s="464"/>
      <c r="GW18" s="465"/>
      <c r="GX18" s="463"/>
      <c r="GY18" s="463"/>
      <c r="GZ18" s="463"/>
      <c r="HA18" s="463"/>
      <c r="HB18" s="464"/>
      <c r="HC18" s="465"/>
      <c r="HD18" s="463"/>
      <c r="HE18" s="463"/>
      <c r="HF18" s="463"/>
      <c r="HG18" s="463"/>
      <c r="HH18" s="464"/>
      <c r="HI18" s="465"/>
      <c r="HJ18" s="463"/>
      <c r="HK18" s="463"/>
      <c r="HL18" s="463"/>
      <c r="HM18" s="463"/>
      <c r="HN18" s="464"/>
      <c r="HO18" s="465"/>
      <c r="HP18" s="463"/>
      <c r="HQ18" s="463"/>
      <c r="HR18" s="463"/>
      <c r="HS18" s="463"/>
      <c r="HT18" s="464"/>
      <c r="HU18" s="465"/>
      <c r="HV18" s="463"/>
      <c r="HW18" s="463"/>
      <c r="HX18" s="463"/>
      <c r="HY18" s="463"/>
      <c r="HZ18" s="464"/>
      <c r="IA18" s="465"/>
      <c r="IB18" s="463"/>
      <c r="IC18" s="463"/>
      <c r="ID18" s="463"/>
      <c r="IE18" s="463"/>
      <c r="IF18" s="464"/>
      <c r="IG18" s="465"/>
      <c r="IH18" s="463"/>
      <c r="II18" s="463"/>
      <c r="IJ18" s="463"/>
    </row>
    <row r="19" spans="1:244" ht="27.75" customHeight="1" x14ac:dyDescent="0.25">
      <c r="A19" s="457">
        <v>16</v>
      </c>
      <c r="B19" s="677" t="s">
        <v>395</v>
      </c>
      <c r="C19" s="678" t="s">
        <v>396</v>
      </c>
      <c r="D19" s="678" t="s">
        <v>397</v>
      </c>
      <c r="E19" s="679">
        <v>0</v>
      </c>
      <c r="F19" s="680" t="s">
        <v>352</v>
      </c>
      <c r="G19" s="681">
        <v>0</v>
      </c>
      <c r="H19" s="679">
        <v>5</v>
      </c>
      <c r="I19" s="680" t="s">
        <v>352</v>
      </c>
      <c r="J19" s="681">
        <v>5.9119999999999999</v>
      </c>
      <c r="K19" s="682">
        <f t="shared" si="0"/>
        <v>105.91</v>
      </c>
      <c r="L19" s="683">
        <v>8.4</v>
      </c>
      <c r="M19" s="684">
        <f t="shared" si="1"/>
        <v>889.64</v>
      </c>
      <c r="N19" s="685">
        <f>5.41+5.32+5.4+5.33</f>
        <v>21.46</v>
      </c>
      <c r="O19" s="684">
        <f t="shared" si="2"/>
        <v>911.1</v>
      </c>
      <c r="P19" s="686">
        <v>105.91200000000001</v>
      </c>
      <c r="Q19" s="687">
        <f t="shared" si="3"/>
        <v>2.0000000000095497E-3</v>
      </c>
      <c r="R19" s="464"/>
      <c r="S19" s="465"/>
      <c r="T19" s="463"/>
      <c r="U19" s="463"/>
      <c r="V19" s="463"/>
      <c r="W19" s="463"/>
      <c r="X19" s="464"/>
      <c r="Y19" s="465"/>
      <c r="Z19" s="463"/>
      <c r="AA19" s="463"/>
      <c r="AB19" s="463"/>
      <c r="AC19" s="463"/>
      <c r="AD19" s="464"/>
      <c r="AE19" s="465"/>
      <c r="AF19" s="463"/>
      <c r="AG19" s="463"/>
      <c r="AH19" s="463"/>
      <c r="AI19" s="463"/>
      <c r="AJ19" s="464"/>
      <c r="AK19" s="465"/>
      <c r="AL19" s="463"/>
      <c r="AM19" s="463"/>
      <c r="AN19" s="463"/>
      <c r="AO19" s="463"/>
      <c r="AP19" s="464"/>
      <c r="AQ19" s="465"/>
      <c r="AR19" s="463"/>
      <c r="AS19" s="463"/>
      <c r="AT19" s="463"/>
      <c r="AU19" s="463"/>
      <c r="AV19" s="464"/>
      <c r="AW19" s="465"/>
      <c r="AX19" s="463"/>
      <c r="AY19" s="463"/>
      <c r="AZ19" s="463"/>
      <c r="BA19" s="463"/>
      <c r="BB19" s="464"/>
      <c r="BC19" s="465"/>
      <c r="BD19" s="463"/>
      <c r="BE19" s="463"/>
      <c r="BF19" s="463"/>
      <c r="BG19" s="463"/>
      <c r="BH19" s="464"/>
      <c r="BI19" s="465"/>
      <c r="BJ19" s="463"/>
      <c r="BK19" s="463"/>
      <c r="BL19" s="463"/>
      <c r="BM19" s="463"/>
      <c r="BN19" s="464"/>
      <c r="BO19" s="465"/>
      <c r="BP19" s="463"/>
      <c r="BQ19" s="463"/>
      <c r="BR19" s="463"/>
      <c r="BS19" s="463"/>
      <c r="BT19" s="464"/>
      <c r="BU19" s="465"/>
      <c r="BV19" s="463"/>
      <c r="BW19" s="463"/>
      <c r="BX19" s="463"/>
      <c r="BY19" s="463"/>
      <c r="BZ19" s="464"/>
      <c r="CA19" s="465"/>
      <c r="CB19" s="463"/>
      <c r="CC19" s="463"/>
      <c r="CD19" s="463"/>
      <c r="CE19" s="463"/>
      <c r="CF19" s="464"/>
      <c r="CG19" s="465"/>
      <c r="CH19" s="463"/>
      <c r="CI19" s="463"/>
      <c r="CJ19" s="463"/>
      <c r="CK19" s="463"/>
      <c r="CL19" s="464"/>
      <c r="CM19" s="465"/>
      <c r="CN19" s="463"/>
      <c r="CO19" s="463"/>
      <c r="CP19" s="463"/>
      <c r="CQ19" s="463"/>
      <c r="CR19" s="464"/>
      <c r="CS19" s="465"/>
      <c r="CT19" s="463"/>
      <c r="CU19" s="463"/>
      <c r="CV19" s="463"/>
      <c r="CW19" s="463"/>
      <c r="CX19" s="464"/>
      <c r="CY19" s="465"/>
      <c r="CZ19" s="463"/>
      <c r="DA19" s="463"/>
      <c r="DB19" s="463"/>
      <c r="DC19" s="463"/>
      <c r="DD19" s="464"/>
      <c r="DE19" s="465"/>
      <c r="DF19" s="463"/>
      <c r="DG19" s="463"/>
      <c r="DH19" s="463"/>
      <c r="DI19" s="463"/>
      <c r="DJ19" s="464"/>
      <c r="DK19" s="465"/>
      <c r="DL19" s="463"/>
      <c r="DM19" s="463"/>
      <c r="DN19" s="463"/>
      <c r="DO19" s="463"/>
      <c r="DP19" s="464"/>
      <c r="DQ19" s="465"/>
      <c r="DR19" s="463"/>
      <c r="DS19" s="463"/>
      <c r="DT19" s="463"/>
      <c r="DU19" s="463"/>
      <c r="DV19" s="464"/>
      <c r="DW19" s="465"/>
      <c r="DX19" s="463"/>
      <c r="DY19" s="463"/>
      <c r="DZ19" s="463"/>
      <c r="EA19" s="463"/>
      <c r="EB19" s="464"/>
      <c r="EC19" s="465"/>
      <c r="ED19" s="463"/>
      <c r="EE19" s="463"/>
      <c r="EF19" s="463"/>
      <c r="EG19" s="463"/>
      <c r="EH19" s="464"/>
      <c r="EI19" s="465"/>
      <c r="EJ19" s="463"/>
      <c r="EK19" s="463"/>
      <c r="EL19" s="463"/>
      <c r="EM19" s="463"/>
      <c r="EN19" s="464"/>
      <c r="EO19" s="465"/>
      <c r="EP19" s="463"/>
      <c r="EQ19" s="463"/>
      <c r="ER19" s="463"/>
      <c r="ES19" s="463"/>
      <c r="ET19" s="464"/>
      <c r="EU19" s="465"/>
      <c r="EV19" s="463"/>
      <c r="EW19" s="463"/>
      <c r="EX19" s="463"/>
      <c r="EY19" s="463"/>
      <c r="EZ19" s="464"/>
      <c r="FA19" s="465"/>
      <c r="FB19" s="463"/>
      <c r="FC19" s="463"/>
      <c r="FD19" s="463"/>
      <c r="FE19" s="463"/>
      <c r="FF19" s="464"/>
      <c r="FG19" s="465"/>
      <c r="FH19" s="463"/>
      <c r="FI19" s="463"/>
      <c r="FJ19" s="463"/>
      <c r="FK19" s="463"/>
      <c r="FL19" s="464"/>
      <c r="FM19" s="465"/>
      <c r="FN19" s="463"/>
      <c r="FO19" s="463"/>
      <c r="FP19" s="463"/>
      <c r="FQ19" s="463"/>
      <c r="FR19" s="464"/>
      <c r="FS19" s="465"/>
      <c r="FT19" s="463"/>
      <c r="FU19" s="463"/>
      <c r="FV19" s="463"/>
      <c r="FW19" s="463"/>
      <c r="FX19" s="464"/>
      <c r="FY19" s="465"/>
      <c r="FZ19" s="463"/>
      <c r="GA19" s="463"/>
      <c r="GB19" s="463"/>
      <c r="GC19" s="463"/>
      <c r="GD19" s="464"/>
      <c r="GE19" s="465"/>
      <c r="GF19" s="463"/>
      <c r="GG19" s="463"/>
      <c r="GH19" s="463"/>
      <c r="GI19" s="463"/>
      <c r="GJ19" s="464"/>
      <c r="GK19" s="465"/>
      <c r="GL19" s="463"/>
      <c r="GM19" s="463"/>
      <c r="GN19" s="463"/>
      <c r="GO19" s="463"/>
      <c r="GP19" s="464"/>
      <c r="GQ19" s="465"/>
      <c r="GR19" s="463"/>
      <c r="GS19" s="463"/>
      <c r="GT19" s="463"/>
      <c r="GU19" s="463"/>
      <c r="GV19" s="464"/>
      <c r="GW19" s="465"/>
      <c r="GX19" s="463"/>
      <c r="GY19" s="463"/>
      <c r="GZ19" s="463"/>
      <c r="HA19" s="463"/>
      <c r="HB19" s="464"/>
      <c r="HC19" s="465"/>
      <c r="HD19" s="463"/>
      <c r="HE19" s="463"/>
      <c r="HF19" s="463"/>
      <c r="HG19" s="463"/>
      <c r="HH19" s="464"/>
      <c r="HI19" s="465"/>
      <c r="HJ19" s="463"/>
      <c r="HK19" s="463"/>
      <c r="HL19" s="463"/>
      <c r="HM19" s="463"/>
      <c r="HN19" s="464"/>
      <c r="HO19" s="465"/>
      <c r="HP19" s="463"/>
      <c r="HQ19" s="463"/>
      <c r="HR19" s="463"/>
      <c r="HS19" s="463"/>
      <c r="HT19" s="464"/>
      <c r="HU19" s="465"/>
      <c r="HV19" s="463"/>
      <c r="HW19" s="463"/>
      <c r="HX19" s="463"/>
      <c r="HY19" s="463"/>
      <c r="HZ19" s="464"/>
      <c r="IA19" s="465"/>
      <c r="IB19" s="463"/>
      <c r="IC19" s="463"/>
      <c r="ID19" s="463"/>
      <c r="IE19" s="463"/>
      <c r="IF19" s="464"/>
      <c r="IG19" s="465"/>
      <c r="IH19" s="463"/>
      <c r="II19" s="463"/>
      <c r="IJ19" s="463"/>
    </row>
    <row r="20" spans="1:244" ht="27.75" customHeight="1" x14ac:dyDescent="0.25">
      <c r="A20" s="457">
        <v>17</v>
      </c>
      <c r="B20" s="677" t="s">
        <v>398</v>
      </c>
      <c r="C20" s="678" t="s">
        <v>399</v>
      </c>
      <c r="D20" s="678" t="s">
        <v>400</v>
      </c>
      <c r="E20" s="679">
        <v>0</v>
      </c>
      <c r="F20" s="680" t="s">
        <v>352</v>
      </c>
      <c r="G20" s="681">
        <v>0</v>
      </c>
      <c r="H20" s="679">
        <v>4</v>
      </c>
      <c r="I20" s="680" t="s">
        <v>352</v>
      </c>
      <c r="J20" s="681">
        <v>1.883</v>
      </c>
      <c r="K20" s="682">
        <f t="shared" si="0"/>
        <v>81.88</v>
      </c>
      <c r="L20" s="683">
        <v>8.4</v>
      </c>
      <c r="M20" s="684">
        <f t="shared" si="1"/>
        <v>687.79</v>
      </c>
      <c r="N20" s="685">
        <f>5.56+5.18+5.4+5.33</f>
        <v>21.47</v>
      </c>
      <c r="O20" s="684">
        <f t="shared" si="2"/>
        <v>709.26</v>
      </c>
      <c r="P20" s="686">
        <v>81.882999999999996</v>
      </c>
      <c r="Q20" s="687">
        <f t="shared" si="3"/>
        <v>3.0000000000001137E-3</v>
      </c>
      <c r="R20" s="464"/>
      <c r="S20" s="465"/>
      <c r="T20" s="463"/>
      <c r="U20" s="463"/>
      <c r="V20" s="463"/>
      <c r="W20" s="463"/>
      <c r="X20" s="464"/>
      <c r="Y20" s="465"/>
      <c r="Z20" s="463"/>
      <c r="AA20" s="463"/>
      <c r="AB20" s="463"/>
      <c r="AC20" s="463"/>
      <c r="AD20" s="464"/>
      <c r="AE20" s="465"/>
      <c r="AF20" s="463"/>
      <c r="AG20" s="463"/>
      <c r="AH20" s="463"/>
      <c r="AI20" s="463"/>
      <c r="AJ20" s="464"/>
      <c r="AK20" s="465"/>
      <c r="AL20" s="463"/>
      <c r="AM20" s="463"/>
      <c r="AN20" s="463"/>
      <c r="AO20" s="463"/>
      <c r="AP20" s="464"/>
      <c r="AQ20" s="465"/>
      <c r="AR20" s="463"/>
      <c r="AS20" s="463"/>
      <c r="AT20" s="463"/>
      <c r="AU20" s="463"/>
      <c r="AV20" s="464"/>
      <c r="AW20" s="465"/>
      <c r="AX20" s="463"/>
      <c r="AY20" s="463"/>
      <c r="AZ20" s="463"/>
      <c r="BA20" s="463"/>
      <c r="BB20" s="464"/>
      <c r="BC20" s="465"/>
      <c r="BD20" s="463"/>
      <c r="BE20" s="463"/>
      <c r="BF20" s="463"/>
      <c r="BG20" s="463"/>
      <c r="BH20" s="464"/>
      <c r="BI20" s="465"/>
      <c r="BJ20" s="463"/>
      <c r="BK20" s="463"/>
      <c r="BL20" s="463"/>
      <c r="BM20" s="463"/>
      <c r="BN20" s="464"/>
      <c r="BO20" s="465"/>
      <c r="BP20" s="463"/>
      <c r="BQ20" s="463"/>
      <c r="BR20" s="463"/>
      <c r="BS20" s="463"/>
      <c r="BT20" s="464"/>
      <c r="BU20" s="465"/>
      <c r="BV20" s="463"/>
      <c r="BW20" s="463"/>
      <c r="BX20" s="463"/>
      <c r="BY20" s="463"/>
      <c r="BZ20" s="464"/>
      <c r="CA20" s="465"/>
      <c r="CB20" s="463"/>
      <c r="CC20" s="463"/>
      <c r="CD20" s="463"/>
      <c r="CE20" s="463"/>
      <c r="CF20" s="464"/>
      <c r="CG20" s="465"/>
      <c r="CH20" s="463"/>
      <c r="CI20" s="463"/>
      <c r="CJ20" s="463"/>
      <c r="CK20" s="463"/>
      <c r="CL20" s="464"/>
      <c r="CM20" s="465"/>
      <c r="CN20" s="463"/>
      <c r="CO20" s="463"/>
      <c r="CP20" s="463"/>
      <c r="CQ20" s="463"/>
      <c r="CR20" s="464"/>
      <c r="CS20" s="465"/>
      <c r="CT20" s="463"/>
      <c r="CU20" s="463"/>
      <c r="CV20" s="463"/>
      <c r="CW20" s="463"/>
      <c r="CX20" s="464"/>
      <c r="CY20" s="465"/>
      <c r="CZ20" s="463"/>
      <c r="DA20" s="463"/>
      <c r="DB20" s="463"/>
      <c r="DC20" s="463"/>
      <c r="DD20" s="464"/>
      <c r="DE20" s="465"/>
      <c r="DF20" s="463"/>
      <c r="DG20" s="463"/>
      <c r="DH20" s="463"/>
      <c r="DI20" s="463"/>
      <c r="DJ20" s="464"/>
      <c r="DK20" s="465"/>
      <c r="DL20" s="463"/>
      <c r="DM20" s="463"/>
      <c r="DN20" s="463"/>
      <c r="DO20" s="463"/>
      <c r="DP20" s="464"/>
      <c r="DQ20" s="465"/>
      <c r="DR20" s="463"/>
      <c r="DS20" s="463"/>
      <c r="DT20" s="463"/>
      <c r="DU20" s="463"/>
      <c r="DV20" s="464"/>
      <c r="DW20" s="465"/>
      <c r="DX20" s="463"/>
      <c r="DY20" s="463"/>
      <c r="DZ20" s="463"/>
      <c r="EA20" s="463"/>
      <c r="EB20" s="464"/>
      <c r="EC20" s="465"/>
      <c r="ED20" s="463"/>
      <c r="EE20" s="463"/>
      <c r="EF20" s="463"/>
      <c r="EG20" s="463"/>
      <c r="EH20" s="464"/>
      <c r="EI20" s="465"/>
      <c r="EJ20" s="463"/>
      <c r="EK20" s="463"/>
      <c r="EL20" s="463"/>
      <c r="EM20" s="463"/>
      <c r="EN20" s="464"/>
      <c r="EO20" s="465"/>
      <c r="EP20" s="463"/>
      <c r="EQ20" s="463"/>
      <c r="ER20" s="463"/>
      <c r="ES20" s="463"/>
      <c r="ET20" s="464"/>
      <c r="EU20" s="465"/>
      <c r="EV20" s="463"/>
      <c r="EW20" s="463"/>
      <c r="EX20" s="463"/>
      <c r="EY20" s="463"/>
      <c r="EZ20" s="464"/>
      <c r="FA20" s="465"/>
      <c r="FB20" s="463"/>
      <c r="FC20" s="463"/>
      <c r="FD20" s="463"/>
      <c r="FE20" s="463"/>
      <c r="FF20" s="464"/>
      <c r="FG20" s="465"/>
      <c r="FH20" s="463"/>
      <c r="FI20" s="463"/>
      <c r="FJ20" s="463"/>
      <c r="FK20" s="463"/>
      <c r="FL20" s="464"/>
      <c r="FM20" s="465"/>
      <c r="FN20" s="463"/>
      <c r="FO20" s="463"/>
      <c r="FP20" s="463"/>
      <c r="FQ20" s="463"/>
      <c r="FR20" s="464"/>
      <c r="FS20" s="465"/>
      <c r="FT20" s="463"/>
      <c r="FU20" s="463"/>
      <c r="FV20" s="463"/>
      <c r="FW20" s="463"/>
      <c r="FX20" s="464"/>
      <c r="FY20" s="465"/>
      <c r="FZ20" s="463"/>
      <c r="GA20" s="463"/>
      <c r="GB20" s="463"/>
      <c r="GC20" s="463"/>
      <c r="GD20" s="464"/>
      <c r="GE20" s="465"/>
      <c r="GF20" s="463"/>
      <c r="GG20" s="463"/>
      <c r="GH20" s="463"/>
      <c r="GI20" s="463"/>
      <c r="GJ20" s="464"/>
      <c r="GK20" s="465"/>
      <c r="GL20" s="463"/>
      <c r="GM20" s="463"/>
      <c r="GN20" s="463"/>
      <c r="GO20" s="463"/>
      <c r="GP20" s="464"/>
      <c r="GQ20" s="465"/>
      <c r="GR20" s="463"/>
      <c r="GS20" s="463"/>
      <c r="GT20" s="463"/>
      <c r="GU20" s="463"/>
      <c r="GV20" s="464"/>
      <c r="GW20" s="465"/>
      <c r="GX20" s="463"/>
      <c r="GY20" s="463"/>
      <c r="GZ20" s="463"/>
      <c r="HA20" s="463"/>
      <c r="HB20" s="464"/>
      <c r="HC20" s="465"/>
      <c r="HD20" s="463"/>
      <c r="HE20" s="463"/>
      <c r="HF20" s="463"/>
      <c r="HG20" s="463"/>
      <c r="HH20" s="464"/>
      <c r="HI20" s="465"/>
      <c r="HJ20" s="463"/>
      <c r="HK20" s="463"/>
      <c r="HL20" s="463"/>
      <c r="HM20" s="463"/>
      <c r="HN20" s="464"/>
      <c r="HO20" s="465"/>
      <c r="HP20" s="463"/>
      <c r="HQ20" s="463"/>
      <c r="HR20" s="463"/>
      <c r="HS20" s="463"/>
      <c r="HT20" s="464"/>
      <c r="HU20" s="465"/>
      <c r="HV20" s="463"/>
      <c r="HW20" s="463"/>
      <c r="HX20" s="463"/>
      <c r="HY20" s="463"/>
      <c r="HZ20" s="464"/>
      <c r="IA20" s="465"/>
      <c r="IB20" s="463"/>
      <c r="IC20" s="463"/>
      <c r="ID20" s="463"/>
      <c r="IE20" s="463"/>
      <c r="IF20" s="464"/>
      <c r="IG20" s="465"/>
      <c r="IH20" s="463"/>
      <c r="II20" s="463"/>
      <c r="IJ20" s="463"/>
    </row>
    <row r="21" spans="1:244" ht="27.75" customHeight="1" x14ac:dyDescent="0.25">
      <c r="A21" s="457">
        <v>18</v>
      </c>
      <c r="B21" s="677" t="s">
        <v>401</v>
      </c>
      <c r="C21" s="678" t="s">
        <v>402</v>
      </c>
      <c r="D21" s="678" t="s">
        <v>403</v>
      </c>
      <c r="E21" s="679">
        <v>0</v>
      </c>
      <c r="F21" s="680" t="s">
        <v>352</v>
      </c>
      <c r="G21" s="681">
        <v>0</v>
      </c>
      <c r="H21" s="679">
        <v>5</v>
      </c>
      <c r="I21" s="680" t="s">
        <v>352</v>
      </c>
      <c r="J21" s="681">
        <v>7.0679999999999996</v>
      </c>
      <c r="K21" s="682">
        <f t="shared" si="0"/>
        <v>107.06</v>
      </c>
      <c r="L21" s="683">
        <v>8.4</v>
      </c>
      <c r="M21" s="684">
        <f t="shared" si="1"/>
        <v>899.3</v>
      </c>
      <c r="N21" s="685">
        <f>5.12+5.62+5.39+5.34</f>
        <v>21.47</v>
      </c>
      <c r="O21" s="684">
        <f t="shared" si="2"/>
        <v>920.77</v>
      </c>
      <c r="P21" s="686">
        <v>107.068</v>
      </c>
      <c r="Q21" s="687">
        <f t="shared" si="3"/>
        <v>7.9999999999955662E-3</v>
      </c>
      <c r="R21" s="464"/>
      <c r="S21" s="465"/>
      <c r="T21" s="463"/>
      <c r="U21" s="463"/>
      <c r="V21" s="463"/>
      <c r="W21" s="463"/>
      <c r="X21" s="464"/>
      <c r="Y21" s="465"/>
      <c r="Z21" s="463"/>
      <c r="AA21" s="463"/>
      <c r="AB21" s="463"/>
      <c r="AC21" s="463"/>
      <c r="AD21" s="464"/>
      <c r="AE21" s="465"/>
      <c r="AF21" s="463"/>
      <c r="AG21" s="463"/>
      <c r="AH21" s="463"/>
      <c r="AI21" s="463"/>
      <c r="AJ21" s="464"/>
      <c r="AK21" s="465"/>
      <c r="AL21" s="463"/>
      <c r="AM21" s="463"/>
      <c r="AN21" s="463"/>
      <c r="AO21" s="463"/>
      <c r="AP21" s="464"/>
      <c r="AQ21" s="465"/>
      <c r="AR21" s="463"/>
      <c r="AS21" s="463"/>
      <c r="AT21" s="463"/>
      <c r="AU21" s="463"/>
      <c r="AV21" s="464"/>
      <c r="AW21" s="465"/>
      <c r="AX21" s="463"/>
      <c r="AY21" s="463"/>
      <c r="AZ21" s="463"/>
      <c r="BA21" s="463"/>
      <c r="BB21" s="464"/>
      <c r="BC21" s="465"/>
      <c r="BD21" s="463"/>
      <c r="BE21" s="463"/>
      <c r="BF21" s="463"/>
      <c r="BG21" s="463"/>
      <c r="BH21" s="464"/>
      <c r="BI21" s="465"/>
      <c r="BJ21" s="463"/>
      <c r="BK21" s="463"/>
      <c r="BL21" s="463"/>
      <c r="BM21" s="463"/>
      <c r="BN21" s="464"/>
      <c r="BO21" s="465"/>
      <c r="BP21" s="463"/>
      <c r="BQ21" s="463"/>
      <c r="BR21" s="463"/>
      <c r="BS21" s="463"/>
      <c r="BT21" s="464"/>
      <c r="BU21" s="465"/>
      <c r="BV21" s="463"/>
      <c r="BW21" s="463"/>
      <c r="BX21" s="463"/>
      <c r="BY21" s="463"/>
      <c r="BZ21" s="464"/>
      <c r="CA21" s="465"/>
      <c r="CB21" s="463"/>
      <c r="CC21" s="463"/>
      <c r="CD21" s="463"/>
      <c r="CE21" s="463"/>
      <c r="CF21" s="464"/>
      <c r="CG21" s="465"/>
      <c r="CH21" s="463"/>
      <c r="CI21" s="463"/>
      <c r="CJ21" s="463"/>
      <c r="CK21" s="463"/>
      <c r="CL21" s="464"/>
      <c r="CM21" s="465"/>
      <c r="CN21" s="463"/>
      <c r="CO21" s="463"/>
      <c r="CP21" s="463"/>
      <c r="CQ21" s="463"/>
      <c r="CR21" s="464"/>
      <c r="CS21" s="465"/>
      <c r="CT21" s="463"/>
      <c r="CU21" s="463"/>
      <c r="CV21" s="463"/>
      <c r="CW21" s="463"/>
      <c r="CX21" s="464"/>
      <c r="CY21" s="465"/>
      <c r="CZ21" s="463"/>
      <c r="DA21" s="463"/>
      <c r="DB21" s="463"/>
      <c r="DC21" s="463"/>
      <c r="DD21" s="464"/>
      <c r="DE21" s="465"/>
      <c r="DF21" s="463"/>
      <c r="DG21" s="463"/>
      <c r="DH21" s="463"/>
      <c r="DI21" s="463"/>
      <c r="DJ21" s="464"/>
      <c r="DK21" s="465"/>
      <c r="DL21" s="463"/>
      <c r="DM21" s="463"/>
      <c r="DN21" s="463"/>
      <c r="DO21" s="463"/>
      <c r="DP21" s="464"/>
      <c r="DQ21" s="465"/>
      <c r="DR21" s="463"/>
      <c r="DS21" s="463"/>
      <c r="DT21" s="463"/>
      <c r="DU21" s="463"/>
      <c r="DV21" s="464"/>
      <c r="DW21" s="465"/>
      <c r="DX21" s="463"/>
      <c r="DY21" s="463"/>
      <c r="DZ21" s="463"/>
      <c r="EA21" s="463"/>
      <c r="EB21" s="464"/>
      <c r="EC21" s="465"/>
      <c r="ED21" s="463"/>
      <c r="EE21" s="463"/>
      <c r="EF21" s="463"/>
      <c r="EG21" s="463"/>
      <c r="EH21" s="464"/>
      <c r="EI21" s="465"/>
      <c r="EJ21" s="463"/>
      <c r="EK21" s="463"/>
      <c r="EL21" s="463"/>
      <c r="EM21" s="463"/>
      <c r="EN21" s="464"/>
      <c r="EO21" s="465"/>
      <c r="EP21" s="463"/>
      <c r="EQ21" s="463"/>
      <c r="ER21" s="463"/>
      <c r="ES21" s="463"/>
      <c r="ET21" s="464"/>
      <c r="EU21" s="465"/>
      <c r="EV21" s="463"/>
      <c r="EW21" s="463"/>
      <c r="EX21" s="463"/>
      <c r="EY21" s="463"/>
      <c r="EZ21" s="464"/>
      <c r="FA21" s="465"/>
      <c r="FB21" s="463"/>
      <c r="FC21" s="463"/>
      <c r="FD21" s="463"/>
      <c r="FE21" s="463"/>
      <c r="FF21" s="464"/>
      <c r="FG21" s="465"/>
      <c r="FH21" s="463"/>
      <c r="FI21" s="463"/>
      <c r="FJ21" s="463"/>
      <c r="FK21" s="463"/>
      <c r="FL21" s="464"/>
      <c r="FM21" s="465"/>
      <c r="FN21" s="463"/>
      <c r="FO21" s="463"/>
      <c r="FP21" s="463"/>
      <c r="FQ21" s="463"/>
      <c r="FR21" s="464"/>
      <c r="FS21" s="465"/>
      <c r="FT21" s="463"/>
      <c r="FU21" s="463"/>
      <c r="FV21" s="463"/>
      <c r="FW21" s="463"/>
      <c r="FX21" s="464"/>
      <c r="FY21" s="465"/>
      <c r="FZ21" s="463"/>
      <c r="GA21" s="463"/>
      <c r="GB21" s="463"/>
      <c r="GC21" s="463"/>
      <c r="GD21" s="464"/>
      <c r="GE21" s="465"/>
      <c r="GF21" s="463"/>
      <c r="GG21" s="463"/>
      <c r="GH21" s="463"/>
      <c r="GI21" s="463"/>
      <c r="GJ21" s="464"/>
      <c r="GK21" s="465"/>
      <c r="GL21" s="463"/>
      <c r="GM21" s="463"/>
      <c r="GN21" s="463"/>
      <c r="GO21" s="463"/>
      <c r="GP21" s="464"/>
      <c r="GQ21" s="465"/>
      <c r="GR21" s="463"/>
      <c r="GS21" s="463"/>
      <c r="GT21" s="463"/>
      <c r="GU21" s="463"/>
      <c r="GV21" s="464"/>
      <c r="GW21" s="465"/>
      <c r="GX21" s="463"/>
      <c r="GY21" s="463"/>
      <c r="GZ21" s="463"/>
      <c r="HA21" s="463"/>
      <c r="HB21" s="464"/>
      <c r="HC21" s="465"/>
      <c r="HD21" s="463"/>
      <c r="HE21" s="463"/>
      <c r="HF21" s="463"/>
      <c r="HG21" s="463"/>
      <c r="HH21" s="464"/>
      <c r="HI21" s="465"/>
      <c r="HJ21" s="463"/>
      <c r="HK21" s="463"/>
      <c r="HL21" s="463"/>
      <c r="HM21" s="463"/>
      <c r="HN21" s="464"/>
      <c r="HO21" s="465"/>
      <c r="HP21" s="463"/>
      <c r="HQ21" s="463"/>
      <c r="HR21" s="463"/>
      <c r="HS21" s="463"/>
      <c r="HT21" s="464"/>
      <c r="HU21" s="465"/>
      <c r="HV21" s="463"/>
      <c r="HW21" s="463"/>
      <c r="HX21" s="463"/>
      <c r="HY21" s="463"/>
      <c r="HZ21" s="464"/>
      <c r="IA21" s="465"/>
      <c r="IB21" s="463"/>
      <c r="IC21" s="463"/>
      <c r="ID21" s="463"/>
      <c r="IE21" s="463"/>
      <c r="IF21" s="464"/>
      <c r="IG21" s="465"/>
      <c r="IH21" s="463"/>
      <c r="II21" s="463"/>
      <c r="IJ21" s="463"/>
    </row>
    <row r="22" spans="1:244" ht="27.75" customHeight="1" x14ac:dyDescent="0.25">
      <c r="A22" s="457">
        <v>19</v>
      </c>
      <c r="B22" s="677" t="s">
        <v>404</v>
      </c>
      <c r="C22" s="678" t="s">
        <v>405</v>
      </c>
      <c r="D22" s="678" t="s">
        <v>406</v>
      </c>
      <c r="E22" s="679">
        <v>0</v>
      </c>
      <c r="F22" s="680" t="s">
        <v>352</v>
      </c>
      <c r="G22" s="681">
        <v>0</v>
      </c>
      <c r="H22" s="679">
        <v>2</v>
      </c>
      <c r="I22" s="680" t="s">
        <v>352</v>
      </c>
      <c r="J22" s="681">
        <v>1.1060000000000001</v>
      </c>
      <c r="K22" s="682">
        <f t="shared" si="0"/>
        <v>41.1</v>
      </c>
      <c r="L22" s="683">
        <v>8.4</v>
      </c>
      <c r="M22" s="684">
        <f t="shared" si="1"/>
        <v>345.24</v>
      </c>
      <c r="N22" s="685">
        <f>5.85+5.54</f>
        <v>11.39</v>
      </c>
      <c r="O22" s="684">
        <f t="shared" si="2"/>
        <v>356.63</v>
      </c>
      <c r="P22" s="686">
        <v>41.106000000000002</v>
      </c>
      <c r="Q22" s="687">
        <f t="shared" si="3"/>
        <v>6.0000000000002274E-3</v>
      </c>
      <c r="R22" s="464"/>
      <c r="S22" s="465"/>
      <c r="T22" s="463"/>
      <c r="U22" s="463"/>
      <c r="V22" s="463"/>
      <c r="W22" s="463"/>
      <c r="X22" s="464"/>
      <c r="Y22" s="465"/>
      <c r="Z22" s="463"/>
      <c r="AA22" s="463"/>
      <c r="AB22" s="463"/>
      <c r="AC22" s="463"/>
      <c r="AD22" s="464"/>
      <c r="AE22" s="465"/>
      <c r="AF22" s="463"/>
      <c r="AG22" s="463"/>
      <c r="AH22" s="463"/>
      <c r="AI22" s="463"/>
      <c r="AJ22" s="464"/>
      <c r="AK22" s="465"/>
      <c r="AL22" s="463"/>
      <c r="AM22" s="463"/>
      <c r="AN22" s="463"/>
      <c r="AO22" s="463"/>
      <c r="AP22" s="464"/>
      <c r="AQ22" s="465"/>
      <c r="AR22" s="463"/>
      <c r="AS22" s="463"/>
      <c r="AT22" s="463"/>
      <c r="AU22" s="463"/>
      <c r="AV22" s="464"/>
      <c r="AW22" s="465"/>
      <c r="AX22" s="463"/>
      <c r="AY22" s="463"/>
      <c r="AZ22" s="463"/>
      <c r="BA22" s="463"/>
      <c r="BB22" s="464"/>
      <c r="BC22" s="465"/>
      <c r="BD22" s="463"/>
      <c r="BE22" s="463"/>
      <c r="BF22" s="463"/>
      <c r="BG22" s="463"/>
      <c r="BH22" s="464"/>
      <c r="BI22" s="465"/>
      <c r="BJ22" s="463"/>
      <c r="BK22" s="463"/>
      <c r="BL22" s="463"/>
      <c r="BM22" s="463"/>
      <c r="BN22" s="464"/>
      <c r="BO22" s="465"/>
      <c r="BP22" s="463"/>
      <c r="BQ22" s="463"/>
      <c r="BR22" s="463"/>
      <c r="BS22" s="463"/>
      <c r="BT22" s="464"/>
      <c r="BU22" s="465"/>
      <c r="BV22" s="463"/>
      <c r="BW22" s="463"/>
      <c r="BX22" s="463"/>
      <c r="BY22" s="463"/>
      <c r="BZ22" s="464"/>
      <c r="CA22" s="465"/>
      <c r="CB22" s="463"/>
      <c r="CC22" s="463"/>
      <c r="CD22" s="463"/>
      <c r="CE22" s="463"/>
      <c r="CF22" s="464"/>
      <c r="CG22" s="465"/>
      <c r="CH22" s="463"/>
      <c r="CI22" s="463"/>
      <c r="CJ22" s="463"/>
      <c r="CK22" s="463"/>
      <c r="CL22" s="464"/>
      <c r="CM22" s="465"/>
      <c r="CN22" s="463"/>
      <c r="CO22" s="463"/>
      <c r="CP22" s="463"/>
      <c r="CQ22" s="463"/>
      <c r="CR22" s="464"/>
      <c r="CS22" s="465"/>
      <c r="CT22" s="463"/>
      <c r="CU22" s="463"/>
      <c r="CV22" s="463"/>
      <c r="CW22" s="463"/>
      <c r="CX22" s="464"/>
      <c r="CY22" s="465"/>
      <c r="CZ22" s="463"/>
      <c r="DA22" s="463"/>
      <c r="DB22" s="463"/>
      <c r="DC22" s="463"/>
      <c r="DD22" s="464"/>
      <c r="DE22" s="465"/>
      <c r="DF22" s="463"/>
      <c r="DG22" s="463"/>
      <c r="DH22" s="463"/>
      <c r="DI22" s="463"/>
      <c r="DJ22" s="464"/>
      <c r="DK22" s="465"/>
      <c r="DL22" s="463"/>
      <c r="DM22" s="463"/>
      <c r="DN22" s="463"/>
      <c r="DO22" s="463"/>
      <c r="DP22" s="464"/>
      <c r="DQ22" s="465"/>
      <c r="DR22" s="463"/>
      <c r="DS22" s="463"/>
      <c r="DT22" s="463"/>
      <c r="DU22" s="463"/>
      <c r="DV22" s="464"/>
      <c r="DW22" s="465"/>
      <c r="DX22" s="463"/>
      <c r="DY22" s="463"/>
      <c r="DZ22" s="463"/>
      <c r="EA22" s="463"/>
      <c r="EB22" s="464"/>
      <c r="EC22" s="465"/>
      <c r="ED22" s="463"/>
      <c r="EE22" s="463"/>
      <c r="EF22" s="463"/>
      <c r="EG22" s="463"/>
      <c r="EH22" s="464"/>
      <c r="EI22" s="465"/>
      <c r="EJ22" s="463"/>
      <c r="EK22" s="463"/>
      <c r="EL22" s="463"/>
      <c r="EM22" s="463"/>
      <c r="EN22" s="464"/>
      <c r="EO22" s="465"/>
      <c r="EP22" s="463"/>
      <c r="EQ22" s="463"/>
      <c r="ER22" s="463"/>
      <c r="ES22" s="463"/>
      <c r="ET22" s="464"/>
      <c r="EU22" s="465"/>
      <c r="EV22" s="463"/>
      <c r="EW22" s="463"/>
      <c r="EX22" s="463"/>
      <c r="EY22" s="463"/>
      <c r="EZ22" s="464"/>
      <c r="FA22" s="465"/>
      <c r="FB22" s="463"/>
      <c r="FC22" s="463"/>
      <c r="FD22" s="463"/>
      <c r="FE22" s="463"/>
      <c r="FF22" s="464"/>
      <c r="FG22" s="465"/>
      <c r="FH22" s="463"/>
      <c r="FI22" s="463"/>
      <c r="FJ22" s="463"/>
      <c r="FK22" s="463"/>
      <c r="FL22" s="464"/>
      <c r="FM22" s="465"/>
      <c r="FN22" s="463"/>
      <c r="FO22" s="463"/>
      <c r="FP22" s="463"/>
      <c r="FQ22" s="463"/>
      <c r="FR22" s="464"/>
      <c r="FS22" s="465"/>
      <c r="FT22" s="463"/>
      <c r="FU22" s="463"/>
      <c r="FV22" s="463"/>
      <c r="FW22" s="463"/>
      <c r="FX22" s="464"/>
      <c r="FY22" s="465"/>
      <c r="FZ22" s="463"/>
      <c r="GA22" s="463"/>
      <c r="GB22" s="463"/>
      <c r="GC22" s="463"/>
      <c r="GD22" s="464"/>
      <c r="GE22" s="465"/>
      <c r="GF22" s="463"/>
      <c r="GG22" s="463"/>
      <c r="GH22" s="463"/>
      <c r="GI22" s="463"/>
      <c r="GJ22" s="464"/>
      <c r="GK22" s="465"/>
      <c r="GL22" s="463"/>
      <c r="GM22" s="463"/>
      <c r="GN22" s="463"/>
      <c r="GO22" s="463"/>
      <c r="GP22" s="464"/>
      <c r="GQ22" s="465"/>
      <c r="GR22" s="463"/>
      <c r="GS22" s="463"/>
      <c r="GT22" s="463"/>
      <c r="GU22" s="463"/>
      <c r="GV22" s="464"/>
      <c r="GW22" s="465"/>
      <c r="GX22" s="463"/>
      <c r="GY22" s="463"/>
      <c r="GZ22" s="463"/>
      <c r="HA22" s="463"/>
      <c r="HB22" s="464"/>
      <c r="HC22" s="465"/>
      <c r="HD22" s="463"/>
      <c r="HE22" s="463"/>
      <c r="HF22" s="463"/>
      <c r="HG22" s="463"/>
      <c r="HH22" s="464"/>
      <c r="HI22" s="465"/>
      <c r="HJ22" s="463"/>
      <c r="HK22" s="463"/>
      <c r="HL22" s="463"/>
      <c r="HM22" s="463"/>
      <c r="HN22" s="464"/>
      <c r="HO22" s="465"/>
      <c r="HP22" s="463"/>
      <c r="HQ22" s="463"/>
      <c r="HR22" s="463"/>
      <c r="HS22" s="463"/>
      <c r="HT22" s="464"/>
      <c r="HU22" s="465"/>
      <c r="HV22" s="463"/>
      <c r="HW22" s="463"/>
      <c r="HX22" s="463"/>
      <c r="HY22" s="463"/>
      <c r="HZ22" s="464"/>
      <c r="IA22" s="465"/>
      <c r="IB22" s="463"/>
      <c r="IC22" s="463"/>
      <c r="ID22" s="463"/>
      <c r="IE22" s="463"/>
      <c r="IF22" s="464"/>
      <c r="IG22" s="465"/>
      <c r="IH22" s="463"/>
      <c r="II22" s="463"/>
      <c r="IJ22" s="463"/>
    </row>
    <row r="23" spans="1:244" ht="27.75" customHeight="1" x14ac:dyDescent="0.25">
      <c r="A23" s="457">
        <v>20</v>
      </c>
      <c r="B23" s="677" t="s">
        <v>407</v>
      </c>
      <c r="C23" s="678" t="s">
        <v>408</v>
      </c>
      <c r="D23" s="678" t="s">
        <v>409</v>
      </c>
      <c r="E23" s="679">
        <v>0</v>
      </c>
      <c r="F23" s="680" t="s">
        <v>352</v>
      </c>
      <c r="G23" s="681">
        <v>0</v>
      </c>
      <c r="H23" s="679">
        <v>5</v>
      </c>
      <c r="I23" s="680" t="s">
        <v>352</v>
      </c>
      <c r="J23" s="681">
        <v>6.7480000000000002</v>
      </c>
      <c r="K23" s="682">
        <f t="shared" si="0"/>
        <v>106.74</v>
      </c>
      <c r="L23" s="683">
        <v>8.4</v>
      </c>
      <c r="M23" s="684">
        <f t="shared" si="1"/>
        <v>896.61</v>
      </c>
      <c r="N23" s="685">
        <f>5.38+5.46+5.38+5.35</f>
        <v>21.57</v>
      </c>
      <c r="O23" s="684">
        <f t="shared" si="2"/>
        <v>918.18</v>
      </c>
      <c r="P23" s="686">
        <v>106.748</v>
      </c>
      <c r="Q23" s="687">
        <f t="shared" si="3"/>
        <v>8.0000000000097771E-3</v>
      </c>
      <c r="R23" s="464"/>
      <c r="S23" s="465"/>
      <c r="T23" s="463"/>
      <c r="U23" s="463"/>
      <c r="V23" s="463"/>
      <c r="W23" s="463"/>
      <c r="X23" s="464"/>
      <c r="Y23" s="465"/>
      <c r="Z23" s="463"/>
      <c r="AA23" s="463"/>
      <c r="AB23" s="463"/>
      <c r="AC23" s="463"/>
      <c r="AD23" s="464"/>
      <c r="AE23" s="465"/>
      <c r="AF23" s="463"/>
      <c r="AG23" s="463"/>
      <c r="AH23" s="463"/>
      <c r="AI23" s="463"/>
      <c r="AJ23" s="464"/>
      <c r="AK23" s="465"/>
      <c r="AL23" s="463"/>
      <c r="AM23" s="463"/>
      <c r="AN23" s="463"/>
      <c r="AO23" s="463"/>
      <c r="AP23" s="464"/>
      <c r="AQ23" s="465"/>
      <c r="AR23" s="463"/>
      <c r="AS23" s="463"/>
      <c r="AT23" s="463"/>
      <c r="AU23" s="463"/>
      <c r="AV23" s="464"/>
      <c r="AW23" s="465"/>
      <c r="AX23" s="463"/>
      <c r="AY23" s="463"/>
      <c r="AZ23" s="463"/>
      <c r="BA23" s="463"/>
      <c r="BB23" s="464"/>
      <c r="BC23" s="465"/>
      <c r="BD23" s="463"/>
      <c r="BE23" s="463"/>
      <c r="BF23" s="463"/>
      <c r="BG23" s="463"/>
      <c r="BH23" s="464"/>
      <c r="BI23" s="465"/>
      <c r="BJ23" s="463"/>
      <c r="BK23" s="463"/>
      <c r="BL23" s="463"/>
      <c r="BM23" s="463"/>
      <c r="BN23" s="464"/>
      <c r="BO23" s="465"/>
      <c r="BP23" s="463"/>
      <c r="BQ23" s="463"/>
      <c r="BR23" s="463"/>
      <c r="BS23" s="463"/>
      <c r="BT23" s="464"/>
      <c r="BU23" s="465"/>
      <c r="BV23" s="463"/>
      <c r="BW23" s="463"/>
      <c r="BX23" s="463"/>
      <c r="BY23" s="463"/>
      <c r="BZ23" s="464"/>
      <c r="CA23" s="465"/>
      <c r="CB23" s="463"/>
      <c r="CC23" s="463"/>
      <c r="CD23" s="463"/>
      <c r="CE23" s="463"/>
      <c r="CF23" s="464"/>
      <c r="CG23" s="465"/>
      <c r="CH23" s="463"/>
      <c r="CI23" s="463"/>
      <c r="CJ23" s="463"/>
      <c r="CK23" s="463"/>
      <c r="CL23" s="464"/>
      <c r="CM23" s="465"/>
      <c r="CN23" s="463"/>
      <c r="CO23" s="463"/>
      <c r="CP23" s="463"/>
      <c r="CQ23" s="463"/>
      <c r="CR23" s="464"/>
      <c r="CS23" s="465"/>
      <c r="CT23" s="463"/>
      <c r="CU23" s="463"/>
      <c r="CV23" s="463"/>
      <c r="CW23" s="463"/>
      <c r="CX23" s="464"/>
      <c r="CY23" s="465"/>
      <c r="CZ23" s="463"/>
      <c r="DA23" s="463"/>
      <c r="DB23" s="463"/>
      <c r="DC23" s="463"/>
      <c r="DD23" s="464"/>
      <c r="DE23" s="465"/>
      <c r="DF23" s="463"/>
      <c r="DG23" s="463"/>
      <c r="DH23" s="463"/>
      <c r="DI23" s="463"/>
      <c r="DJ23" s="464"/>
      <c r="DK23" s="465"/>
      <c r="DL23" s="463"/>
      <c r="DM23" s="463"/>
      <c r="DN23" s="463"/>
      <c r="DO23" s="463"/>
      <c r="DP23" s="464"/>
      <c r="DQ23" s="465"/>
      <c r="DR23" s="463"/>
      <c r="DS23" s="463"/>
      <c r="DT23" s="463"/>
      <c r="DU23" s="463"/>
      <c r="DV23" s="464"/>
      <c r="DW23" s="465"/>
      <c r="DX23" s="463"/>
      <c r="DY23" s="463"/>
      <c r="DZ23" s="463"/>
      <c r="EA23" s="463"/>
      <c r="EB23" s="464"/>
      <c r="EC23" s="465"/>
      <c r="ED23" s="463"/>
      <c r="EE23" s="463"/>
      <c r="EF23" s="463"/>
      <c r="EG23" s="463"/>
      <c r="EH23" s="464"/>
      <c r="EI23" s="465"/>
      <c r="EJ23" s="463"/>
      <c r="EK23" s="463"/>
      <c r="EL23" s="463"/>
      <c r="EM23" s="463"/>
      <c r="EN23" s="464"/>
      <c r="EO23" s="465"/>
      <c r="EP23" s="463"/>
      <c r="EQ23" s="463"/>
      <c r="ER23" s="463"/>
      <c r="ES23" s="463"/>
      <c r="ET23" s="464"/>
      <c r="EU23" s="465"/>
      <c r="EV23" s="463"/>
      <c r="EW23" s="463"/>
      <c r="EX23" s="463"/>
      <c r="EY23" s="463"/>
      <c r="EZ23" s="464"/>
      <c r="FA23" s="465"/>
      <c r="FB23" s="463"/>
      <c r="FC23" s="463"/>
      <c r="FD23" s="463"/>
      <c r="FE23" s="463"/>
      <c r="FF23" s="464"/>
      <c r="FG23" s="465"/>
      <c r="FH23" s="463"/>
      <c r="FI23" s="463"/>
      <c r="FJ23" s="463"/>
      <c r="FK23" s="463"/>
      <c r="FL23" s="464"/>
      <c r="FM23" s="465"/>
      <c r="FN23" s="463"/>
      <c r="FO23" s="463"/>
      <c r="FP23" s="463"/>
      <c r="FQ23" s="463"/>
      <c r="FR23" s="464"/>
      <c r="FS23" s="465"/>
      <c r="FT23" s="463"/>
      <c r="FU23" s="463"/>
      <c r="FV23" s="463"/>
      <c r="FW23" s="463"/>
      <c r="FX23" s="464"/>
      <c r="FY23" s="465"/>
      <c r="FZ23" s="463"/>
      <c r="GA23" s="463"/>
      <c r="GB23" s="463"/>
      <c r="GC23" s="463"/>
      <c r="GD23" s="464"/>
      <c r="GE23" s="465"/>
      <c r="GF23" s="463"/>
      <c r="GG23" s="463"/>
      <c r="GH23" s="463"/>
      <c r="GI23" s="463"/>
      <c r="GJ23" s="464"/>
      <c r="GK23" s="465"/>
      <c r="GL23" s="463"/>
      <c r="GM23" s="463"/>
      <c r="GN23" s="463"/>
      <c r="GO23" s="463"/>
      <c r="GP23" s="464"/>
      <c r="GQ23" s="465"/>
      <c r="GR23" s="463"/>
      <c r="GS23" s="463"/>
      <c r="GT23" s="463"/>
      <c r="GU23" s="463"/>
      <c r="GV23" s="464"/>
      <c r="GW23" s="465"/>
      <c r="GX23" s="463"/>
      <c r="GY23" s="463"/>
      <c r="GZ23" s="463"/>
      <c r="HA23" s="463"/>
      <c r="HB23" s="464"/>
      <c r="HC23" s="465"/>
      <c r="HD23" s="463"/>
      <c r="HE23" s="463"/>
      <c r="HF23" s="463"/>
      <c r="HG23" s="463"/>
      <c r="HH23" s="464"/>
      <c r="HI23" s="465"/>
      <c r="HJ23" s="463"/>
      <c r="HK23" s="463"/>
      <c r="HL23" s="463"/>
      <c r="HM23" s="463"/>
      <c r="HN23" s="464"/>
      <c r="HO23" s="465"/>
      <c r="HP23" s="463"/>
      <c r="HQ23" s="463"/>
      <c r="HR23" s="463"/>
      <c r="HS23" s="463"/>
      <c r="HT23" s="464"/>
      <c r="HU23" s="465"/>
      <c r="HV23" s="463"/>
      <c r="HW23" s="463"/>
      <c r="HX23" s="463"/>
      <c r="HY23" s="463"/>
      <c r="HZ23" s="464"/>
      <c r="IA23" s="465"/>
      <c r="IB23" s="463"/>
      <c r="IC23" s="463"/>
      <c r="ID23" s="463"/>
      <c r="IE23" s="463"/>
      <c r="IF23" s="464"/>
      <c r="IG23" s="465"/>
      <c r="IH23" s="463"/>
      <c r="II23" s="463"/>
      <c r="IJ23" s="463"/>
    </row>
    <row r="24" spans="1:244" ht="27.75" customHeight="1" x14ac:dyDescent="0.25">
      <c r="A24" s="457">
        <v>21</v>
      </c>
      <c r="B24" s="677" t="s">
        <v>410</v>
      </c>
      <c r="C24" s="678" t="s">
        <v>411</v>
      </c>
      <c r="D24" s="678" t="s">
        <v>412</v>
      </c>
      <c r="E24" s="679">
        <v>0</v>
      </c>
      <c r="F24" s="680" t="s">
        <v>352</v>
      </c>
      <c r="G24" s="681">
        <v>0</v>
      </c>
      <c r="H24" s="679">
        <v>4</v>
      </c>
      <c r="I24" s="680" t="s">
        <v>352</v>
      </c>
      <c r="J24" s="681">
        <v>3.0030000000000001</v>
      </c>
      <c r="K24" s="682">
        <f t="shared" si="0"/>
        <v>83</v>
      </c>
      <c r="L24" s="683">
        <v>8.4</v>
      </c>
      <c r="M24" s="684">
        <f t="shared" si="1"/>
        <v>697.2</v>
      </c>
      <c r="N24" s="685">
        <f>5.37+5.36+5.15+5.59</f>
        <v>21.47</v>
      </c>
      <c r="O24" s="684">
        <f t="shared" si="2"/>
        <v>718.67</v>
      </c>
      <c r="P24" s="686">
        <v>83.003</v>
      </c>
      <c r="Q24" s="687">
        <f t="shared" si="3"/>
        <v>3.0000000000001137E-3</v>
      </c>
      <c r="R24" s="464"/>
      <c r="S24" s="465"/>
      <c r="T24" s="463"/>
      <c r="U24" s="463"/>
      <c r="V24" s="463"/>
      <c r="W24" s="463"/>
      <c r="X24" s="464"/>
      <c r="Y24" s="465"/>
      <c r="Z24" s="463"/>
      <c r="AA24" s="463"/>
      <c r="AB24" s="463"/>
      <c r="AC24" s="463"/>
      <c r="AD24" s="464"/>
      <c r="AE24" s="465"/>
      <c r="AF24" s="463"/>
      <c r="AG24" s="463"/>
      <c r="AH24" s="463"/>
      <c r="AI24" s="463"/>
      <c r="AJ24" s="464"/>
      <c r="AK24" s="465"/>
      <c r="AL24" s="463"/>
      <c r="AM24" s="463"/>
      <c r="AN24" s="463"/>
      <c r="AO24" s="463"/>
      <c r="AP24" s="464"/>
      <c r="AQ24" s="465"/>
      <c r="AR24" s="463"/>
      <c r="AS24" s="463"/>
      <c r="AT24" s="463"/>
      <c r="AU24" s="463"/>
      <c r="AV24" s="464"/>
      <c r="AW24" s="465"/>
      <c r="AX24" s="463"/>
      <c r="AY24" s="463"/>
      <c r="AZ24" s="463"/>
      <c r="BA24" s="463"/>
      <c r="BB24" s="464"/>
      <c r="BC24" s="465"/>
      <c r="BD24" s="463"/>
      <c r="BE24" s="463"/>
      <c r="BF24" s="463"/>
      <c r="BG24" s="463"/>
      <c r="BH24" s="464"/>
      <c r="BI24" s="465"/>
      <c r="BJ24" s="463"/>
      <c r="BK24" s="463"/>
      <c r="BL24" s="463"/>
      <c r="BM24" s="463"/>
      <c r="BN24" s="464"/>
      <c r="BO24" s="465"/>
      <c r="BP24" s="463"/>
      <c r="BQ24" s="463"/>
      <c r="BR24" s="463"/>
      <c r="BS24" s="463"/>
      <c r="BT24" s="464"/>
      <c r="BU24" s="465"/>
      <c r="BV24" s="463"/>
      <c r="BW24" s="463"/>
      <c r="BX24" s="463"/>
      <c r="BY24" s="463"/>
      <c r="BZ24" s="464"/>
      <c r="CA24" s="465"/>
      <c r="CB24" s="463"/>
      <c r="CC24" s="463"/>
      <c r="CD24" s="463"/>
      <c r="CE24" s="463"/>
      <c r="CF24" s="464"/>
      <c r="CG24" s="465"/>
      <c r="CH24" s="463"/>
      <c r="CI24" s="463"/>
      <c r="CJ24" s="463"/>
      <c r="CK24" s="463"/>
      <c r="CL24" s="464"/>
      <c r="CM24" s="465"/>
      <c r="CN24" s="463"/>
      <c r="CO24" s="463"/>
      <c r="CP24" s="463"/>
      <c r="CQ24" s="463"/>
      <c r="CR24" s="464"/>
      <c r="CS24" s="465"/>
      <c r="CT24" s="463"/>
      <c r="CU24" s="463"/>
      <c r="CV24" s="463"/>
      <c r="CW24" s="463"/>
      <c r="CX24" s="464"/>
      <c r="CY24" s="465"/>
      <c r="CZ24" s="463"/>
      <c r="DA24" s="463"/>
      <c r="DB24" s="463"/>
      <c r="DC24" s="463"/>
      <c r="DD24" s="464"/>
      <c r="DE24" s="465"/>
      <c r="DF24" s="463"/>
      <c r="DG24" s="463"/>
      <c r="DH24" s="463"/>
      <c r="DI24" s="463"/>
      <c r="DJ24" s="464"/>
      <c r="DK24" s="465"/>
      <c r="DL24" s="463"/>
      <c r="DM24" s="463"/>
      <c r="DN24" s="463"/>
      <c r="DO24" s="463"/>
      <c r="DP24" s="464"/>
      <c r="DQ24" s="465"/>
      <c r="DR24" s="463"/>
      <c r="DS24" s="463"/>
      <c r="DT24" s="463"/>
      <c r="DU24" s="463"/>
      <c r="DV24" s="464"/>
      <c r="DW24" s="465"/>
      <c r="DX24" s="463"/>
      <c r="DY24" s="463"/>
      <c r="DZ24" s="463"/>
      <c r="EA24" s="463"/>
      <c r="EB24" s="464"/>
      <c r="EC24" s="465"/>
      <c r="ED24" s="463"/>
      <c r="EE24" s="463"/>
      <c r="EF24" s="463"/>
      <c r="EG24" s="463"/>
      <c r="EH24" s="464"/>
      <c r="EI24" s="465"/>
      <c r="EJ24" s="463"/>
      <c r="EK24" s="463"/>
      <c r="EL24" s="463"/>
      <c r="EM24" s="463"/>
      <c r="EN24" s="464"/>
      <c r="EO24" s="465"/>
      <c r="EP24" s="463"/>
      <c r="EQ24" s="463"/>
      <c r="ER24" s="463"/>
      <c r="ES24" s="463"/>
      <c r="ET24" s="464"/>
      <c r="EU24" s="465"/>
      <c r="EV24" s="463"/>
      <c r="EW24" s="463"/>
      <c r="EX24" s="463"/>
      <c r="EY24" s="463"/>
      <c r="EZ24" s="464"/>
      <c r="FA24" s="465"/>
      <c r="FB24" s="463"/>
      <c r="FC24" s="463"/>
      <c r="FD24" s="463"/>
      <c r="FE24" s="463"/>
      <c r="FF24" s="464"/>
      <c r="FG24" s="465"/>
      <c r="FH24" s="463"/>
      <c r="FI24" s="463"/>
      <c r="FJ24" s="463"/>
      <c r="FK24" s="463"/>
      <c r="FL24" s="464"/>
      <c r="FM24" s="465"/>
      <c r="FN24" s="463"/>
      <c r="FO24" s="463"/>
      <c r="FP24" s="463"/>
      <c r="FQ24" s="463"/>
      <c r="FR24" s="464"/>
      <c r="FS24" s="465"/>
      <c r="FT24" s="463"/>
      <c r="FU24" s="463"/>
      <c r="FV24" s="463"/>
      <c r="FW24" s="463"/>
      <c r="FX24" s="464"/>
      <c r="FY24" s="465"/>
      <c r="FZ24" s="463"/>
      <c r="GA24" s="463"/>
      <c r="GB24" s="463"/>
      <c r="GC24" s="463"/>
      <c r="GD24" s="464"/>
      <c r="GE24" s="465"/>
      <c r="GF24" s="463"/>
      <c r="GG24" s="463"/>
      <c r="GH24" s="463"/>
      <c r="GI24" s="463"/>
      <c r="GJ24" s="464"/>
      <c r="GK24" s="465"/>
      <c r="GL24" s="463"/>
      <c r="GM24" s="463"/>
      <c r="GN24" s="463"/>
      <c r="GO24" s="463"/>
      <c r="GP24" s="464"/>
      <c r="GQ24" s="465"/>
      <c r="GR24" s="463"/>
      <c r="GS24" s="463"/>
      <c r="GT24" s="463"/>
      <c r="GU24" s="463"/>
      <c r="GV24" s="464"/>
      <c r="GW24" s="465"/>
      <c r="GX24" s="463"/>
      <c r="GY24" s="463"/>
      <c r="GZ24" s="463"/>
      <c r="HA24" s="463"/>
      <c r="HB24" s="464"/>
      <c r="HC24" s="465"/>
      <c r="HD24" s="463"/>
      <c r="HE24" s="463"/>
      <c r="HF24" s="463"/>
      <c r="HG24" s="463"/>
      <c r="HH24" s="464"/>
      <c r="HI24" s="465"/>
      <c r="HJ24" s="463"/>
      <c r="HK24" s="463"/>
      <c r="HL24" s="463"/>
      <c r="HM24" s="463"/>
      <c r="HN24" s="464"/>
      <c r="HO24" s="465"/>
      <c r="HP24" s="463"/>
      <c r="HQ24" s="463"/>
      <c r="HR24" s="463"/>
      <c r="HS24" s="463"/>
      <c r="HT24" s="464"/>
      <c r="HU24" s="465"/>
      <c r="HV24" s="463"/>
      <c r="HW24" s="463"/>
      <c r="HX24" s="463"/>
      <c r="HY24" s="463"/>
      <c r="HZ24" s="464"/>
      <c r="IA24" s="465"/>
      <c r="IB24" s="463"/>
      <c r="IC24" s="463"/>
      <c r="ID24" s="463"/>
      <c r="IE24" s="463"/>
      <c r="IF24" s="464"/>
      <c r="IG24" s="465"/>
      <c r="IH24" s="463"/>
      <c r="II24" s="463"/>
      <c r="IJ24" s="463"/>
    </row>
    <row r="25" spans="1:244" ht="27.75" customHeight="1" x14ac:dyDescent="0.25">
      <c r="A25" s="457">
        <v>22</v>
      </c>
      <c r="B25" s="677" t="s">
        <v>413</v>
      </c>
      <c r="C25" s="678" t="s">
        <v>414</v>
      </c>
      <c r="D25" s="678" t="s">
        <v>415</v>
      </c>
      <c r="E25" s="679">
        <v>0</v>
      </c>
      <c r="F25" s="680" t="s">
        <v>352</v>
      </c>
      <c r="G25" s="681">
        <v>0</v>
      </c>
      <c r="H25" s="679">
        <v>5</v>
      </c>
      <c r="I25" s="680" t="s">
        <v>352</v>
      </c>
      <c r="J25" s="681">
        <v>5.907</v>
      </c>
      <c r="K25" s="682">
        <f t="shared" si="0"/>
        <v>105.9</v>
      </c>
      <c r="L25" s="683">
        <v>8.4</v>
      </c>
      <c r="M25" s="684">
        <f t="shared" si="1"/>
        <v>889.56</v>
      </c>
      <c r="N25" s="685">
        <f>5.15+5.59+5.35+5.38</f>
        <v>21.47</v>
      </c>
      <c r="O25" s="684">
        <f t="shared" si="2"/>
        <v>911.03</v>
      </c>
      <c r="P25" s="686">
        <v>105.907</v>
      </c>
      <c r="Q25" s="687">
        <f t="shared" si="3"/>
        <v>6.9999999999907914E-3</v>
      </c>
      <c r="R25" s="464"/>
      <c r="S25" s="465"/>
      <c r="T25" s="463"/>
      <c r="U25" s="463"/>
      <c r="V25" s="463"/>
      <c r="W25" s="463"/>
      <c r="X25" s="464"/>
      <c r="Y25" s="465"/>
      <c r="Z25" s="463"/>
      <c r="AA25" s="463"/>
      <c r="AB25" s="463"/>
      <c r="AC25" s="463"/>
      <c r="AD25" s="464"/>
      <c r="AE25" s="465"/>
      <c r="AF25" s="463"/>
      <c r="AG25" s="463"/>
      <c r="AH25" s="463"/>
      <c r="AI25" s="463"/>
      <c r="AJ25" s="464"/>
      <c r="AK25" s="465"/>
      <c r="AL25" s="463"/>
      <c r="AM25" s="463"/>
      <c r="AN25" s="463"/>
      <c r="AO25" s="463"/>
      <c r="AP25" s="464"/>
      <c r="AQ25" s="465"/>
      <c r="AR25" s="463"/>
      <c r="AS25" s="463"/>
      <c r="AT25" s="463"/>
      <c r="AU25" s="463"/>
      <c r="AV25" s="464"/>
      <c r="AW25" s="465"/>
      <c r="AX25" s="463"/>
      <c r="AY25" s="463"/>
      <c r="AZ25" s="463"/>
      <c r="BA25" s="463"/>
      <c r="BB25" s="464"/>
      <c r="BC25" s="465"/>
      <c r="BD25" s="463"/>
      <c r="BE25" s="463"/>
      <c r="BF25" s="463"/>
      <c r="BG25" s="463"/>
      <c r="BH25" s="464"/>
      <c r="BI25" s="465"/>
      <c r="BJ25" s="463"/>
      <c r="BK25" s="463"/>
      <c r="BL25" s="463"/>
      <c r="BM25" s="463"/>
      <c r="BN25" s="464"/>
      <c r="BO25" s="465"/>
      <c r="BP25" s="463"/>
      <c r="BQ25" s="463"/>
      <c r="BR25" s="463"/>
      <c r="BS25" s="463"/>
      <c r="BT25" s="464"/>
      <c r="BU25" s="465"/>
      <c r="BV25" s="463"/>
      <c r="BW25" s="463"/>
      <c r="BX25" s="463"/>
      <c r="BY25" s="463"/>
      <c r="BZ25" s="464"/>
      <c r="CA25" s="465"/>
      <c r="CB25" s="463"/>
      <c r="CC25" s="463"/>
      <c r="CD25" s="463"/>
      <c r="CE25" s="463"/>
      <c r="CF25" s="464"/>
      <c r="CG25" s="465"/>
      <c r="CH25" s="463"/>
      <c r="CI25" s="463"/>
      <c r="CJ25" s="463"/>
      <c r="CK25" s="463"/>
      <c r="CL25" s="464"/>
      <c r="CM25" s="465"/>
      <c r="CN25" s="463"/>
      <c r="CO25" s="463"/>
      <c r="CP25" s="463"/>
      <c r="CQ25" s="463"/>
      <c r="CR25" s="464"/>
      <c r="CS25" s="465"/>
      <c r="CT25" s="463"/>
      <c r="CU25" s="463"/>
      <c r="CV25" s="463"/>
      <c r="CW25" s="463"/>
      <c r="CX25" s="464"/>
      <c r="CY25" s="465"/>
      <c r="CZ25" s="463"/>
      <c r="DA25" s="463"/>
      <c r="DB25" s="463"/>
      <c r="DC25" s="463"/>
      <c r="DD25" s="464"/>
      <c r="DE25" s="465"/>
      <c r="DF25" s="463"/>
      <c r="DG25" s="463"/>
      <c r="DH25" s="463"/>
      <c r="DI25" s="463"/>
      <c r="DJ25" s="464"/>
      <c r="DK25" s="465"/>
      <c r="DL25" s="463"/>
      <c r="DM25" s="463"/>
      <c r="DN25" s="463"/>
      <c r="DO25" s="463"/>
      <c r="DP25" s="464"/>
      <c r="DQ25" s="465"/>
      <c r="DR25" s="463"/>
      <c r="DS25" s="463"/>
      <c r="DT25" s="463"/>
      <c r="DU25" s="463"/>
      <c r="DV25" s="464"/>
      <c r="DW25" s="465"/>
      <c r="DX25" s="463"/>
      <c r="DY25" s="463"/>
      <c r="DZ25" s="463"/>
      <c r="EA25" s="463"/>
      <c r="EB25" s="464"/>
      <c r="EC25" s="465"/>
      <c r="ED25" s="463"/>
      <c r="EE25" s="463"/>
      <c r="EF25" s="463"/>
      <c r="EG25" s="463"/>
      <c r="EH25" s="464"/>
      <c r="EI25" s="465"/>
      <c r="EJ25" s="463"/>
      <c r="EK25" s="463"/>
      <c r="EL25" s="463"/>
      <c r="EM25" s="463"/>
      <c r="EN25" s="464"/>
      <c r="EO25" s="465"/>
      <c r="EP25" s="463"/>
      <c r="EQ25" s="463"/>
      <c r="ER25" s="463"/>
      <c r="ES25" s="463"/>
      <c r="ET25" s="464"/>
      <c r="EU25" s="465"/>
      <c r="EV25" s="463"/>
      <c r="EW25" s="463"/>
      <c r="EX25" s="463"/>
      <c r="EY25" s="463"/>
      <c r="EZ25" s="464"/>
      <c r="FA25" s="465"/>
      <c r="FB25" s="463"/>
      <c r="FC25" s="463"/>
      <c r="FD25" s="463"/>
      <c r="FE25" s="463"/>
      <c r="FF25" s="464"/>
      <c r="FG25" s="465"/>
      <c r="FH25" s="463"/>
      <c r="FI25" s="463"/>
      <c r="FJ25" s="463"/>
      <c r="FK25" s="463"/>
      <c r="FL25" s="464"/>
      <c r="FM25" s="465"/>
      <c r="FN25" s="463"/>
      <c r="FO25" s="463"/>
      <c r="FP25" s="463"/>
      <c r="FQ25" s="463"/>
      <c r="FR25" s="464"/>
      <c r="FS25" s="465"/>
      <c r="FT25" s="463"/>
      <c r="FU25" s="463"/>
      <c r="FV25" s="463"/>
      <c r="FW25" s="463"/>
      <c r="FX25" s="464"/>
      <c r="FY25" s="465"/>
      <c r="FZ25" s="463"/>
      <c r="GA25" s="463"/>
      <c r="GB25" s="463"/>
      <c r="GC25" s="463"/>
      <c r="GD25" s="464"/>
      <c r="GE25" s="465"/>
      <c r="GF25" s="463"/>
      <c r="GG25" s="463"/>
      <c r="GH25" s="463"/>
      <c r="GI25" s="463"/>
      <c r="GJ25" s="464"/>
      <c r="GK25" s="465"/>
      <c r="GL25" s="463"/>
      <c r="GM25" s="463"/>
      <c r="GN25" s="463"/>
      <c r="GO25" s="463"/>
      <c r="GP25" s="464"/>
      <c r="GQ25" s="465"/>
      <c r="GR25" s="463"/>
      <c r="GS25" s="463"/>
      <c r="GT25" s="463"/>
      <c r="GU25" s="463"/>
      <c r="GV25" s="464"/>
      <c r="GW25" s="465"/>
      <c r="GX25" s="463"/>
      <c r="GY25" s="463"/>
      <c r="GZ25" s="463"/>
      <c r="HA25" s="463"/>
      <c r="HB25" s="464"/>
      <c r="HC25" s="465"/>
      <c r="HD25" s="463"/>
      <c r="HE25" s="463"/>
      <c r="HF25" s="463"/>
      <c r="HG25" s="463"/>
      <c r="HH25" s="464"/>
      <c r="HI25" s="465"/>
      <c r="HJ25" s="463"/>
      <c r="HK25" s="463"/>
      <c r="HL25" s="463"/>
      <c r="HM25" s="463"/>
      <c r="HN25" s="464"/>
      <c r="HO25" s="465"/>
      <c r="HP25" s="463"/>
      <c r="HQ25" s="463"/>
      <c r="HR25" s="463"/>
      <c r="HS25" s="463"/>
      <c r="HT25" s="464"/>
      <c r="HU25" s="465"/>
      <c r="HV25" s="463"/>
      <c r="HW25" s="463"/>
      <c r="HX25" s="463"/>
      <c r="HY25" s="463"/>
      <c r="HZ25" s="464"/>
      <c r="IA25" s="465"/>
      <c r="IB25" s="463"/>
      <c r="IC25" s="463"/>
      <c r="ID25" s="463"/>
      <c r="IE25" s="463"/>
      <c r="IF25" s="464"/>
      <c r="IG25" s="465"/>
      <c r="IH25" s="463"/>
      <c r="II25" s="463"/>
      <c r="IJ25" s="463"/>
    </row>
    <row r="26" spans="1:244" ht="27.75" customHeight="1" x14ac:dyDescent="0.25">
      <c r="A26" s="457">
        <v>23</v>
      </c>
      <c r="B26" s="677" t="s">
        <v>416</v>
      </c>
      <c r="C26" s="678" t="s">
        <v>417</v>
      </c>
      <c r="D26" s="678" t="s">
        <v>418</v>
      </c>
      <c r="E26" s="679">
        <v>0</v>
      </c>
      <c r="F26" s="680" t="s">
        <v>352</v>
      </c>
      <c r="G26" s="681">
        <v>0</v>
      </c>
      <c r="H26" s="679">
        <v>5</v>
      </c>
      <c r="I26" s="680" t="s">
        <v>352</v>
      </c>
      <c r="J26" s="681">
        <v>6.3689999999999998</v>
      </c>
      <c r="K26" s="682">
        <f t="shared" si="0"/>
        <v>106.36</v>
      </c>
      <c r="L26" s="683">
        <v>8.4</v>
      </c>
      <c r="M26" s="684">
        <f t="shared" si="1"/>
        <v>893.42</v>
      </c>
      <c r="N26" s="685">
        <f>5.43+5.31+5.21+5.53</f>
        <v>21.48</v>
      </c>
      <c r="O26" s="684">
        <f t="shared" si="2"/>
        <v>914.9</v>
      </c>
      <c r="P26" s="686">
        <v>106.36799999999999</v>
      </c>
      <c r="Q26" s="687">
        <f t="shared" si="3"/>
        <v>7.9999999999955662E-3</v>
      </c>
      <c r="R26" s="464"/>
      <c r="S26" s="465"/>
      <c r="T26" s="463"/>
      <c r="U26" s="463"/>
      <c r="V26" s="463"/>
      <c r="W26" s="463"/>
      <c r="X26" s="464"/>
      <c r="Y26" s="465"/>
      <c r="Z26" s="463"/>
      <c r="AA26" s="463"/>
      <c r="AB26" s="463"/>
      <c r="AC26" s="463"/>
      <c r="AD26" s="464"/>
      <c r="AE26" s="465"/>
      <c r="AF26" s="463"/>
      <c r="AG26" s="463"/>
      <c r="AH26" s="463"/>
      <c r="AI26" s="463"/>
      <c r="AJ26" s="464"/>
      <c r="AK26" s="465"/>
      <c r="AL26" s="463"/>
      <c r="AM26" s="463"/>
      <c r="AN26" s="463"/>
      <c r="AO26" s="463"/>
      <c r="AP26" s="464"/>
      <c r="AQ26" s="465"/>
      <c r="AR26" s="463"/>
      <c r="AS26" s="463"/>
      <c r="AT26" s="463"/>
      <c r="AU26" s="463"/>
      <c r="AV26" s="464"/>
      <c r="AW26" s="465"/>
      <c r="AX26" s="463"/>
      <c r="AY26" s="463"/>
      <c r="AZ26" s="463"/>
      <c r="BA26" s="463"/>
      <c r="BB26" s="464"/>
      <c r="BC26" s="465"/>
      <c r="BD26" s="463"/>
      <c r="BE26" s="463"/>
      <c r="BF26" s="463"/>
      <c r="BG26" s="463"/>
      <c r="BH26" s="464"/>
      <c r="BI26" s="465"/>
      <c r="BJ26" s="463"/>
      <c r="BK26" s="463"/>
      <c r="BL26" s="463"/>
      <c r="BM26" s="463"/>
      <c r="BN26" s="464"/>
      <c r="BO26" s="465"/>
      <c r="BP26" s="463"/>
      <c r="BQ26" s="463"/>
      <c r="BR26" s="463"/>
      <c r="BS26" s="463"/>
      <c r="BT26" s="464"/>
      <c r="BU26" s="465"/>
      <c r="BV26" s="463"/>
      <c r="BW26" s="463"/>
      <c r="BX26" s="463"/>
      <c r="BY26" s="463"/>
      <c r="BZ26" s="464"/>
      <c r="CA26" s="465"/>
      <c r="CB26" s="463"/>
      <c r="CC26" s="463"/>
      <c r="CD26" s="463"/>
      <c r="CE26" s="463"/>
      <c r="CF26" s="464"/>
      <c r="CG26" s="465"/>
      <c r="CH26" s="463"/>
      <c r="CI26" s="463"/>
      <c r="CJ26" s="463"/>
      <c r="CK26" s="463"/>
      <c r="CL26" s="464"/>
      <c r="CM26" s="465"/>
      <c r="CN26" s="463"/>
      <c r="CO26" s="463"/>
      <c r="CP26" s="463"/>
      <c r="CQ26" s="463"/>
      <c r="CR26" s="464"/>
      <c r="CS26" s="465"/>
      <c r="CT26" s="463"/>
      <c r="CU26" s="463"/>
      <c r="CV26" s="463"/>
      <c r="CW26" s="463"/>
      <c r="CX26" s="464"/>
      <c r="CY26" s="465"/>
      <c r="CZ26" s="463"/>
      <c r="DA26" s="463"/>
      <c r="DB26" s="463"/>
      <c r="DC26" s="463"/>
      <c r="DD26" s="464"/>
      <c r="DE26" s="465"/>
      <c r="DF26" s="463"/>
      <c r="DG26" s="463"/>
      <c r="DH26" s="463"/>
      <c r="DI26" s="463"/>
      <c r="DJ26" s="464"/>
      <c r="DK26" s="465"/>
      <c r="DL26" s="463"/>
      <c r="DM26" s="463"/>
      <c r="DN26" s="463"/>
      <c r="DO26" s="463"/>
      <c r="DP26" s="464"/>
      <c r="DQ26" s="465"/>
      <c r="DR26" s="463"/>
      <c r="DS26" s="463"/>
      <c r="DT26" s="463"/>
      <c r="DU26" s="463"/>
      <c r="DV26" s="464"/>
      <c r="DW26" s="465"/>
      <c r="DX26" s="463"/>
      <c r="DY26" s="463"/>
      <c r="DZ26" s="463"/>
      <c r="EA26" s="463"/>
      <c r="EB26" s="464"/>
      <c r="EC26" s="465"/>
      <c r="ED26" s="463"/>
      <c r="EE26" s="463"/>
      <c r="EF26" s="463"/>
      <c r="EG26" s="463"/>
      <c r="EH26" s="464"/>
      <c r="EI26" s="465"/>
      <c r="EJ26" s="463"/>
      <c r="EK26" s="463"/>
      <c r="EL26" s="463"/>
      <c r="EM26" s="463"/>
      <c r="EN26" s="464"/>
      <c r="EO26" s="465"/>
      <c r="EP26" s="463"/>
      <c r="EQ26" s="463"/>
      <c r="ER26" s="463"/>
      <c r="ES26" s="463"/>
      <c r="ET26" s="464"/>
      <c r="EU26" s="465"/>
      <c r="EV26" s="463"/>
      <c r="EW26" s="463"/>
      <c r="EX26" s="463"/>
      <c r="EY26" s="463"/>
      <c r="EZ26" s="464"/>
      <c r="FA26" s="465"/>
      <c r="FB26" s="463"/>
      <c r="FC26" s="463"/>
      <c r="FD26" s="463"/>
      <c r="FE26" s="463"/>
      <c r="FF26" s="464"/>
      <c r="FG26" s="465"/>
      <c r="FH26" s="463"/>
      <c r="FI26" s="463"/>
      <c r="FJ26" s="463"/>
      <c r="FK26" s="463"/>
      <c r="FL26" s="464"/>
      <c r="FM26" s="465"/>
      <c r="FN26" s="463"/>
      <c r="FO26" s="463"/>
      <c r="FP26" s="463"/>
      <c r="FQ26" s="463"/>
      <c r="FR26" s="464"/>
      <c r="FS26" s="465"/>
      <c r="FT26" s="463"/>
      <c r="FU26" s="463"/>
      <c r="FV26" s="463"/>
      <c r="FW26" s="463"/>
      <c r="FX26" s="464"/>
      <c r="FY26" s="465"/>
      <c r="FZ26" s="463"/>
      <c r="GA26" s="463"/>
      <c r="GB26" s="463"/>
      <c r="GC26" s="463"/>
      <c r="GD26" s="464"/>
      <c r="GE26" s="465"/>
      <c r="GF26" s="463"/>
      <c r="GG26" s="463"/>
      <c r="GH26" s="463"/>
      <c r="GI26" s="463"/>
      <c r="GJ26" s="464"/>
      <c r="GK26" s="465"/>
      <c r="GL26" s="463"/>
      <c r="GM26" s="463"/>
      <c r="GN26" s="463"/>
      <c r="GO26" s="463"/>
      <c r="GP26" s="464"/>
      <c r="GQ26" s="465"/>
      <c r="GR26" s="463"/>
      <c r="GS26" s="463"/>
      <c r="GT26" s="463"/>
      <c r="GU26" s="463"/>
      <c r="GV26" s="464"/>
      <c r="GW26" s="465"/>
      <c r="GX26" s="463"/>
      <c r="GY26" s="463"/>
      <c r="GZ26" s="463"/>
      <c r="HA26" s="463"/>
      <c r="HB26" s="464"/>
      <c r="HC26" s="465"/>
      <c r="HD26" s="463"/>
      <c r="HE26" s="463"/>
      <c r="HF26" s="463"/>
      <c r="HG26" s="463"/>
      <c r="HH26" s="464"/>
      <c r="HI26" s="465"/>
      <c r="HJ26" s="463"/>
      <c r="HK26" s="463"/>
      <c r="HL26" s="463"/>
      <c r="HM26" s="463"/>
      <c r="HN26" s="464"/>
      <c r="HO26" s="465"/>
      <c r="HP26" s="463"/>
      <c r="HQ26" s="463"/>
      <c r="HR26" s="463"/>
      <c r="HS26" s="463"/>
      <c r="HT26" s="464"/>
      <c r="HU26" s="465"/>
      <c r="HV26" s="463"/>
      <c r="HW26" s="463"/>
      <c r="HX26" s="463"/>
      <c r="HY26" s="463"/>
      <c r="HZ26" s="464"/>
      <c r="IA26" s="465"/>
      <c r="IB26" s="463"/>
      <c r="IC26" s="463"/>
      <c r="ID26" s="463"/>
      <c r="IE26" s="463"/>
      <c r="IF26" s="464"/>
      <c r="IG26" s="465"/>
      <c r="IH26" s="463"/>
      <c r="II26" s="463"/>
      <c r="IJ26" s="463"/>
    </row>
    <row r="27" spans="1:244" ht="27.75" customHeight="1" x14ac:dyDescent="0.25">
      <c r="A27" s="457">
        <v>24</v>
      </c>
      <c r="B27" s="677" t="s">
        <v>419</v>
      </c>
      <c r="C27" s="678" t="s">
        <v>420</v>
      </c>
      <c r="D27" s="678" t="s">
        <v>421</v>
      </c>
      <c r="E27" s="679">
        <v>0</v>
      </c>
      <c r="F27" s="680" t="s">
        <v>352</v>
      </c>
      <c r="G27" s="681">
        <v>0</v>
      </c>
      <c r="H27" s="679">
        <v>4</v>
      </c>
      <c r="I27" s="680" t="s">
        <v>352</v>
      </c>
      <c r="J27" s="681">
        <v>2.8250000000000002</v>
      </c>
      <c r="K27" s="682">
        <f t="shared" si="0"/>
        <v>82.82</v>
      </c>
      <c r="L27" s="683">
        <v>8.4</v>
      </c>
      <c r="M27" s="684">
        <f t="shared" si="1"/>
        <v>695.68</v>
      </c>
      <c r="N27" s="685">
        <f>5.53+5.2+4.99+5.77</f>
        <v>21.490000000000002</v>
      </c>
      <c r="O27" s="684">
        <f t="shared" si="2"/>
        <v>717.17</v>
      </c>
      <c r="P27" s="686">
        <v>82.825000000000003</v>
      </c>
      <c r="Q27" s="687">
        <f t="shared" si="3"/>
        <v>5.0000000000096634E-3</v>
      </c>
      <c r="R27" s="464"/>
      <c r="S27" s="465"/>
      <c r="T27" s="463"/>
      <c r="U27" s="463"/>
      <c r="V27" s="463"/>
      <c r="W27" s="463"/>
      <c r="X27" s="464"/>
      <c r="Y27" s="465"/>
      <c r="Z27" s="463"/>
      <c r="AA27" s="463"/>
      <c r="AB27" s="463"/>
      <c r="AC27" s="463"/>
      <c r="AD27" s="464"/>
      <c r="AE27" s="465"/>
      <c r="AF27" s="463"/>
      <c r="AG27" s="463"/>
      <c r="AH27" s="463"/>
      <c r="AI27" s="463"/>
      <c r="AJ27" s="464"/>
      <c r="AK27" s="465"/>
      <c r="AL27" s="463"/>
      <c r="AM27" s="463"/>
      <c r="AN27" s="463"/>
      <c r="AO27" s="463"/>
      <c r="AP27" s="464"/>
      <c r="AQ27" s="465"/>
      <c r="AR27" s="463"/>
      <c r="AS27" s="463"/>
      <c r="AT27" s="463"/>
      <c r="AU27" s="463"/>
      <c r="AV27" s="464"/>
      <c r="AW27" s="465"/>
      <c r="AX27" s="463"/>
      <c r="AY27" s="463"/>
      <c r="AZ27" s="463"/>
      <c r="BA27" s="463"/>
      <c r="BB27" s="464"/>
      <c r="BC27" s="465"/>
      <c r="BD27" s="463"/>
      <c r="BE27" s="463"/>
      <c r="BF27" s="463"/>
      <c r="BG27" s="463"/>
      <c r="BH27" s="464"/>
      <c r="BI27" s="465"/>
      <c r="BJ27" s="463"/>
      <c r="BK27" s="463"/>
      <c r="BL27" s="463"/>
      <c r="BM27" s="463"/>
      <c r="BN27" s="464"/>
      <c r="BO27" s="465"/>
      <c r="BP27" s="463"/>
      <c r="BQ27" s="463"/>
      <c r="BR27" s="463"/>
      <c r="BS27" s="463"/>
      <c r="BT27" s="464"/>
      <c r="BU27" s="465"/>
      <c r="BV27" s="463"/>
      <c r="BW27" s="463"/>
      <c r="BX27" s="463"/>
      <c r="BY27" s="463"/>
      <c r="BZ27" s="464"/>
      <c r="CA27" s="465"/>
      <c r="CB27" s="463"/>
      <c r="CC27" s="463"/>
      <c r="CD27" s="463"/>
      <c r="CE27" s="463"/>
      <c r="CF27" s="464"/>
      <c r="CG27" s="465"/>
      <c r="CH27" s="463"/>
      <c r="CI27" s="463"/>
      <c r="CJ27" s="463"/>
      <c r="CK27" s="463"/>
      <c r="CL27" s="464"/>
      <c r="CM27" s="465"/>
      <c r="CN27" s="463"/>
      <c r="CO27" s="463"/>
      <c r="CP27" s="463"/>
      <c r="CQ27" s="463"/>
      <c r="CR27" s="464"/>
      <c r="CS27" s="465"/>
      <c r="CT27" s="463"/>
      <c r="CU27" s="463"/>
      <c r="CV27" s="463"/>
      <c r="CW27" s="463"/>
      <c r="CX27" s="464"/>
      <c r="CY27" s="465"/>
      <c r="CZ27" s="463"/>
      <c r="DA27" s="463"/>
      <c r="DB27" s="463"/>
      <c r="DC27" s="463"/>
      <c r="DD27" s="464"/>
      <c r="DE27" s="465"/>
      <c r="DF27" s="463"/>
      <c r="DG27" s="463"/>
      <c r="DH27" s="463"/>
      <c r="DI27" s="463"/>
      <c r="DJ27" s="464"/>
      <c r="DK27" s="465"/>
      <c r="DL27" s="463"/>
      <c r="DM27" s="463"/>
      <c r="DN27" s="463"/>
      <c r="DO27" s="463"/>
      <c r="DP27" s="464"/>
      <c r="DQ27" s="465"/>
      <c r="DR27" s="463"/>
      <c r="DS27" s="463"/>
      <c r="DT27" s="463"/>
      <c r="DU27" s="463"/>
      <c r="DV27" s="464"/>
      <c r="DW27" s="465"/>
      <c r="DX27" s="463"/>
      <c r="DY27" s="463"/>
      <c r="DZ27" s="463"/>
      <c r="EA27" s="463"/>
      <c r="EB27" s="464"/>
      <c r="EC27" s="465"/>
      <c r="ED27" s="463"/>
      <c r="EE27" s="463"/>
      <c r="EF27" s="463"/>
      <c r="EG27" s="463"/>
      <c r="EH27" s="464"/>
      <c r="EI27" s="465"/>
      <c r="EJ27" s="463"/>
      <c r="EK27" s="463"/>
      <c r="EL27" s="463"/>
      <c r="EM27" s="463"/>
      <c r="EN27" s="464"/>
      <c r="EO27" s="465"/>
      <c r="EP27" s="463"/>
      <c r="EQ27" s="463"/>
      <c r="ER27" s="463"/>
      <c r="ES27" s="463"/>
      <c r="ET27" s="464"/>
      <c r="EU27" s="465"/>
      <c r="EV27" s="463"/>
      <c r="EW27" s="463"/>
      <c r="EX27" s="463"/>
      <c r="EY27" s="463"/>
      <c r="EZ27" s="464"/>
      <c r="FA27" s="465"/>
      <c r="FB27" s="463"/>
      <c r="FC27" s="463"/>
      <c r="FD27" s="463"/>
      <c r="FE27" s="463"/>
      <c r="FF27" s="464"/>
      <c r="FG27" s="465"/>
      <c r="FH27" s="463"/>
      <c r="FI27" s="463"/>
      <c r="FJ27" s="463"/>
      <c r="FK27" s="463"/>
      <c r="FL27" s="464"/>
      <c r="FM27" s="465"/>
      <c r="FN27" s="463"/>
      <c r="FO27" s="463"/>
      <c r="FP27" s="463"/>
      <c r="FQ27" s="463"/>
      <c r="FR27" s="464"/>
      <c r="FS27" s="465"/>
      <c r="FT27" s="463"/>
      <c r="FU27" s="463"/>
      <c r="FV27" s="463"/>
      <c r="FW27" s="463"/>
      <c r="FX27" s="464"/>
      <c r="FY27" s="465"/>
      <c r="FZ27" s="463"/>
      <c r="GA27" s="463"/>
      <c r="GB27" s="463"/>
      <c r="GC27" s="463"/>
      <c r="GD27" s="464"/>
      <c r="GE27" s="465"/>
      <c r="GF27" s="463"/>
      <c r="GG27" s="463"/>
      <c r="GH27" s="463"/>
      <c r="GI27" s="463"/>
      <c r="GJ27" s="464"/>
      <c r="GK27" s="465"/>
      <c r="GL27" s="463"/>
      <c r="GM27" s="463"/>
      <c r="GN27" s="463"/>
      <c r="GO27" s="463"/>
      <c r="GP27" s="464"/>
      <c r="GQ27" s="465"/>
      <c r="GR27" s="463"/>
      <c r="GS27" s="463"/>
      <c r="GT27" s="463"/>
      <c r="GU27" s="463"/>
      <c r="GV27" s="464"/>
      <c r="GW27" s="465"/>
      <c r="GX27" s="463"/>
      <c r="GY27" s="463"/>
      <c r="GZ27" s="463"/>
      <c r="HA27" s="463"/>
      <c r="HB27" s="464"/>
      <c r="HC27" s="465"/>
      <c r="HD27" s="463"/>
      <c r="HE27" s="463"/>
      <c r="HF27" s="463"/>
      <c r="HG27" s="463"/>
      <c r="HH27" s="464"/>
      <c r="HI27" s="465"/>
      <c r="HJ27" s="463"/>
      <c r="HK27" s="463"/>
      <c r="HL27" s="463"/>
      <c r="HM27" s="463"/>
      <c r="HN27" s="464"/>
      <c r="HO27" s="465"/>
      <c r="HP27" s="463"/>
      <c r="HQ27" s="463"/>
      <c r="HR27" s="463"/>
      <c r="HS27" s="463"/>
      <c r="HT27" s="464"/>
      <c r="HU27" s="465"/>
      <c r="HV27" s="463"/>
      <c r="HW27" s="463"/>
      <c r="HX27" s="463"/>
      <c r="HY27" s="463"/>
      <c r="HZ27" s="464"/>
      <c r="IA27" s="465"/>
      <c r="IB27" s="463"/>
      <c r="IC27" s="463"/>
      <c r="ID27" s="463"/>
      <c r="IE27" s="463"/>
      <c r="IF27" s="464"/>
      <c r="IG27" s="465"/>
      <c r="IH27" s="463"/>
      <c r="II27" s="463"/>
      <c r="IJ27" s="463"/>
    </row>
    <row r="28" spans="1:244" ht="27.75" customHeight="1" x14ac:dyDescent="0.25">
      <c r="A28" s="457">
        <v>25</v>
      </c>
      <c r="B28" s="677" t="s">
        <v>422</v>
      </c>
      <c r="C28" s="678" t="s">
        <v>423</v>
      </c>
      <c r="D28" s="678" t="s">
        <v>424</v>
      </c>
      <c r="E28" s="679">
        <v>0</v>
      </c>
      <c r="F28" s="680" t="s">
        <v>352</v>
      </c>
      <c r="G28" s="681">
        <v>0</v>
      </c>
      <c r="H28" s="679">
        <v>5</v>
      </c>
      <c r="I28" s="680" t="s">
        <v>352</v>
      </c>
      <c r="J28" s="681">
        <v>6.0659999999999998</v>
      </c>
      <c r="K28" s="682">
        <f t="shared" si="0"/>
        <v>106.06</v>
      </c>
      <c r="L28" s="683">
        <v>8.4</v>
      </c>
      <c r="M28" s="684">
        <f t="shared" si="1"/>
        <v>890.9</v>
      </c>
      <c r="N28" s="685">
        <f>5.64+5.11+5.41+5.32</f>
        <v>21.48</v>
      </c>
      <c r="O28" s="684">
        <f t="shared" si="2"/>
        <v>912.38</v>
      </c>
      <c r="P28" s="686">
        <v>106.066</v>
      </c>
      <c r="Q28" s="687">
        <f t="shared" si="3"/>
        <v>6.0000000000002274E-3</v>
      </c>
      <c r="R28" s="464"/>
      <c r="S28" s="465"/>
      <c r="T28" s="463"/>
      <c r="U28" s="463"/>
      <c r="V28" s="463"/>
      <c r="W28" s="463"/>
      <c r="X28" s="464"/>
      <c r="Y28" s="465"/>
      <c r="Z28" s="463"/>
      <c r="AA28" s="463"/>
      <c r="AB28" s="463"/>
      <c r="AC28" s="463"/>
      <c r="AD28" s="464"/>
      <c r="AE28" s="465"/>
      <c r="AF28" s="463"/>
      <c r="AG28" s="463"/>
      <c r="AH28" s="463"/>
      <c r="AI28" s="463"/>
      <c r="AJ28" s="464"/>
      <c r="AK28" s="465"/>
      <c r="AL28" s="463"/>
      <c r="AM28" s="463"/>
      <c r="AN28" s="463"/>
      <c r="AO28" s="463"/>
      <c r="AP28" s="464"/>
      <c r="AQ28" s="465"/>
      <c r="AR28" s="463"/>
      <c r="AS28" s="463"/>
      <c r="AT28" s="463"/>
      <c r="AU28" s="463"/>
      <c r="AV28" s="464"/>
      <c r="AW28" s="465"/>
      <c r="AX28" s="463"/>
      <c r="AY28" s="463"/>
      <c r="AZ28" s="463"/>
      <c r="BA28" s="463"/>
      <c r="BB28" s="464"/>
      <c r="BC28" s="465"/>
      <c r="BD28" s="463"/>
      <c r="BE28" s="463"/>
      <c r="BF28" s="463"/>
      <c r="BG28" s="463"/>
      <c r="BH28" s="464"/>
      <c r="BI28" s="465"/>
      <c r="BJ28" s="463"/>
      <c r="BK28" s="463"/>
      <c r="BL28" s="463"/>
      <c r="BM28" s="463"/>
      <c r="BN28" s="464"/>
      <c r="BO28" s="465"/>
      <c r="BP28" s="463"/>
      <c r="BQ28" s="463"/>
      <c r="BR28" s="463"/>
      <c r="BS28" s="463"/>
      <c r="BT28" s="464"/>
      <c r="BU28" s="465"/>
      <c r="BV28" s="463"/>
      <c r="BW28" s="463"/>
      <c r="BX28" s="463"/>
      <c r="BY28" s="463"/>
      <c r="BZ28" s="464"/>
      <c r="CA28" s="465"/>
      <c r="CB28" s="463"/>
      <c r="CC28" s="463"/>
      <c r="CD28" s="463"/>
      <c r="CE28" s="463"/>
      <c r="CF28" s="464"/>
      <c r="CG28" s="465"/>
      <c r="CH28" s="463"/>
      <c r="CI28" s="463"/>
      <c r="CJ28" s="463"/>
      <c r="CK28" s="463"/>
      <c r="CL28" s="464"/>
      <c r="CM28" s="465"/>
      <c r="CN28" s="463"/>
      <c r="CO28" s="463"/>
      <c r="CP28" s="463"/>
      <c r="CQ28" s="463"/>
      <c r="CR28" s="464"/>
      <c r="CS28" s="465"/>
      <c r="CT28" s="463"/>
      <c r="CU28" s="463"/>
      <c r="CV28" s="463"/>
      <c r="CW28" s="463"/>
      <c r="CX28" s="464"/>
      <c r="CY28" s="465"/>
      <c r="CZ28" s="463"/>
      <c r="DA28" s="463"/>
      <c r="DB28" s="463"/>
      <c r="DC28" s="463"/>
      <c r="DD28" s="464"/>
      <c r="DE28" s="465"/>
      <c r="DF28" s="463"/>
      <c r="DG28" s="463"/>
      <c r="DH28" s="463"/>
      <c r="DI28" s="463"/>
      <c r="DJ28" s="464"/>
      <c r="DK28" s="465"/>
      <c r="DL28" s="463"/>
      <c r="DM28" s="463"/>
      <c r="DN28" s="463"/>
      <c r="DO28" s="463"/>
      <c r="DP28" s="464"/>
      <c r="DQ28" s="465"/>
      <c r="DR28" s="463"/>
      <c r="DS28" s="463"/>
      <c r="DT28" s="463"/>
      <c r="DU28" s="463"/>
      <c r="DV28" s="464"/>
      <c r="DW28" s="465"/>
      <c r="DX28" s="463"/>
      <c r="DY28" s="463"/>
      <c r="DZ28" s="463"/>
      <c r="EA28" s="463"/>
      <c r="EB28" s="464"/>
      <c r="EC28" s="465"/>
      <c r="ED28" s="463"/>
      <c r="EE28" s="463"/>
      <c r="EF28" s="463"/>
      <c r="EG28" s="463"/>
      <c r="EH28" s="464"/>
      <c r="EI28" s="465"/>
      <c r="EJ28" s="463"/>
      <c r="EK28" s="463"/>
      <c r="EL28" s="463"/>
      <c r="EM28" s="463"/>
      <c r="EN28" s="464"/>
      <c r="EO28" s="465"/>
      <c r="EP28" s="463"/>
      <c r="EQ28" s="463"/>
      <c r="ER28" s="463"/>
      <c r="ES28" s="463"/>
      <c r="ET28" s="464"/>
      <c r="EU28" s="465"/>
      <c r="EV28" s="463"/>
      <c r="EW28" s="463"/>
      <c r="EX28" s="463"/>
      <c r="EY28" s="463"/>
      <c r="EZ28" s="464"/>
      <c r="FA28" s="465"/>
      <c r="FB28" s="463"/>
      <c r="FC28" s="463"/>
      <c r="FD28" s="463"/>
      <c r="FE28" s="463"/>
      <c r="FF28" s="464"/>
      <c r="FG28" s="465"/>
      <c r="FH28" s="463"/>
      <c r="FI28" s="463"/>
      <c r="FJ28" s="463"/>
      <c r="FK28" s="463"/>
      <c r="FL28" s="464"/>
      <c r="FM28" s="465"/>
      <c r="FN28" s="463"/>
      <c r="FO28" s="463"/>
      <c r="FP28" s="463"/>
      <c r="FQ28" s="463"/>
      <c r="FR28" s="464"/>
      <c r="FS28" s="465"/>
      <c r="FT28" s="463"/>
      <c r="FU28" s="463"/>
      <c r="FV28" s="463"/>
      <c r="FW28" s="463"/>
      <c r="FX28" s="464"/>
      <c r="FY28" s="465"/>
      <c r="FZ28" s="463"/>
      <c r="GA28" s="463"/>
      <c r="GB28" s="463"/>
      <c r="GC28" s="463"/>
      <c r="GD28" s="464"/>
      <c r="GE28" s="465"/>
      <c r="GF28" s="463"/>
      <c r="GG28" s="463"/>
      <c r="GH28" s="463"/>
      <c r="GI28" s="463"/>
      <c r="GJ28" s="464"/>
      <c r="GK28" s="465"/>
      <c r="GL28" s="463"/>
      <c r="GM28" s="463"/>
      <c r="GN28" s="463"/>
      <c r="GO28" s="463"/>
      <c r="GP28" s="464"/>
      <c r="GQ28" s="465"/>
      <c r="GR28" s="463"/>
      <c r="GS28" s="463"/>
      <c r="GT28" s="463"/>
      <c r="GU28" s="463"/>
      <c r="GV28" s="464"/>
      <c r="GW28" s="465"/>
      <c r="GX28" s="463"/>
      <c r="GY28" s="463"/>
      <c r="GZ28" s="463"/>
      <c r="HA28" s="463"/>
      <c r="HB28" s="464"/>
      <c r="HC28" s="465"/>
      <c r="HD28" s="463"/>
      <c r="HE28" s="463"/>
      <c r="HF28" s="463"/>
      <c r="HG28" s="463"/>
      <c r="HH28" s="464"/>
      <c r="HI28" s="465"/>
      <c r="HJ28" s="463"/>
      <c r="HK28" s="463"/>
      <c r="HL28" s="463"/>
      <c r="HM28" s="463"/>
      <c r="HN28" s="464"/>
      <c r="HO28" s="465"/>
      <c r="HP28" s="463"/>
      <c r="HQ28" s="463"/>
      <c r="HR28" s="463"/>
      <c r="HS28" s="463"/>
      <c r="HT28" s="464"/>
      <c r="HU28" s="465"/>
      <c r="HV28" s="463"/>
      <c r="HW28" s="463"/>
      <c r="HX28" s="463"/>
      <c r="HY28" s="463"/>
      <c r="HZ28" s="464"/>
      <c r="IA28" s="465"/>
      <c r="IB28" s="463"/>
      <c r="IC28" s="463"/>
      <c r="ID28" s="463"/>
      <c r="IE28" s="463"/>
      <c r="IF28" s="464"/>
      <c r="IG28" s="465"/>
      <c r="IH28" s="463"/>
      <c r="II28" s="463"/>
      <c r="IJ28" s="463"/>
    </row>
    <row r="29" spans="1:244" ht="27.75" customHeight="1" x14ac:dyDescent="0.25">
      <c r="A29" s="457">
        <v>26</v>
      </c>
      <c r="B29" s="677" t="s">
        <v>425</v>
      </c>
      <c r="C29" s="678" t="s">
        <v>426</v>
      </c>
      <c r="D29" s="678" t="s">
        <v>427</v>
      </c>
      <c r="E29" s="679">
        <v>0</v>
      </c>
      <c r="F29" s="680" t="s">
        <v>352</v>
      </c>
      <c r="G29" s="681">
        <v>0</v>
      </c>
      <c r="H29" s="679">
        <v>2</v>
      </c>
      <c r="I29" s="680" t="s">
        <v>352</v>
      </c>
      <c r="J29" s="681">
        <v>1.579</v>
      </c>
      <c r="K29" s="682">
        <f t="shared" si="0"/>
        <v>41.57</v>
      </c>
      <c r="L29" s="683">
        <v>8.4</v>
      </c>
      <c r="M29" s="684">
        <f t="shared" si="1"/>
        <v>349.18</v>
      </c>
      <c r="N29" s="685">
        <f>5.4+5.59</f>
        <v>10.99</v>
      </c>
      <c r="O29" s="684">
        <f t="shared" si="2"/>
        <v>360.17</v>
      </c>
      <c r="P29" s="686">
        <v>41.579000000000001</v>
      </c>
      <c r="Q29" s="687">
        <f t="shared" si="3"/>
        <v>9.0000000000003411E-3</v>
      </c>
      <c r="R29" s="464"/>
      <c r="S29" s="465"/>
      <c r="T29" s="463"/>
      <c r="U29" s="463"/>
      <c r="V29" s="463"/>
      <c r="W29" s="463"/>
      <c r="X29" s="464"/>
      <c r="Y29" s="465"/>
      <c r="Z29" s="463"/>
      <c r="AA29" s="463"/>
      <c r="AB29" s="463"/>
      <c r="AC29" s="463"/>
      <c r="AD29" s="464"/>
      <c r="AE29" s="465"/>
      <c r="AF29" s="463"/>
      <c r="AG29" s="463"/>
      <c r="AH29" s="463"/>
      <c r="AI29" s="463"/>
      <c r="AJ29" s="464"/>
      <c r="AK29" s="465"/>
      <c r="AL29" s="463"/>
      <c r="AM29" s="463"/>
      <c r="AN29" s="463"/>
      <c r="AO29" s="463"/>
      <c r="AP29" s="464"/>
      <c r="AQ29" s="465"/>
      <c r="AR29" s="463"/>
      <c r="AS29" s="463"/>
      <c r="AT29" s="463"/>
      <c r="AU29" s="463"/>
      <c r="AV29" s="464"/>
      <c r="AW29" s="465"/>
      <c r="AX29" s="463"/>
      <c r="AY29" s="463"/>
      <c r="AZ29" s="463"/>
      <c r="BA29" s="463"/>
      <c r="BB29" s="464"/>
      <c r="BC29" s="465"/>
      <c r="BD29" s="463"/>
      <c r="BE29" s="463"/>
      <c r="BF29" s="463"/>
      <c r="BG29" s="463"/>
      <c r="BH29" s="464"/>
      <c r="BI29" s="465"/>
      <c r="BJ29" s="463"/>
      <c r="BK29" s="463"/>
      <c r="BL29" s="463"/>
      <c r="BM29" s="463"/>
      <c r="BN29" s="464"/>
      <c r="BO29" s="465"/>
      <c r="BP29" s="463"/>
      <c r="BQ29" s="463"/>
      <c r="BR29" s="463"/>
      <c r="BS29" s="463"/>
      <c r="BT29" s="464"/>
      <c r="BU29" s="465"/>
      <c r="BV29" s="463"/>
      <c r="BW29" s="463"/>
      <c r="BX29" s="463"/>
      <c r="BY29" s="463"/>
      <c r="BZ29" s="464"/>
      <c r="CA29" s="465"/>
      <c r="CB29" s="463"/>
      <c r="CC29" s="463"/>
      <c r="CD29" s="463"/>
      <c r="CE29" s="463"/>
      <c r="CF29" s="464"/>
      <c r="CG29" s="465"/>
      <c r="CH29" s="463"/>
      <c r="CI29" s="463"/>
      <c r="CJ29" s="463"/>
      <c r="CK29" s="463"/>
      <c r="CL29" s="464"/>
      <c r="CM29" s="465"/>
      <c r="CN29" s="463"/>
      <c r="CO29" s="463"/>
      <c r="CP29" s="463"/>
      <c r="CQ29" s="463"/>
      <c r="CR29" s="464"/>
      <c r="CS29" s="465"/>
      <c r="CT29" s="463"/>
      <c r="CU29" s="463"/>
      <c r="CV29" s="463"/>
      <c r="CW29" s="463"/>
      <c r="CX29" s="464"/>
      <c r="CY29" s="465"/>
      <c r="CZ29" s="463"/>
      <c r="DA29" s="463"/>
      <c r="DB29" s="463"/>
      <c r="DC29" s="463"/>
      <c r="DD29" s="464"/>
      <c r="DE29" s="465"/>
      <c r="DF29" s="463"/>
      <c r="DG29" s="463"/>
      <c r="DH29" s="463"/>
      <c r="DI29" s="463"/>
      <c r="DJ29" s="464"/>
      <c r="DK29" s="465"/>
      <c r="DL29" s="463"/>
      <c r="DM29" s="463"/>
      <c r="DN29" s="463"/>
      <c r="DO29" s="463"/>
      <c r="DP29" s="464"/>
      <c r="DQ29" s="465"/>
      <c r="DR29" s="463"/>
      <c r="DS29" s="463"/>
      <c r="DT29" s="463"/>
      <c r="DU29" s="463"/>
      <c r="DV29" s="464"/>
      <c r="DW29" s="465"/>
      <c r="DX29" s="463"/>
      <c r="DY29" s="463"/>
      <c r="DZ29" s="463"/>
      <c r="EA29" s="463"/>
      <c r="EB29" s="464"/>
      <c r="EC29" s="465"/>
      <c r="ED29" s="463"/>
      <c r="EE29" s="463"/>
      <c r="EF29" s="463"/>
      <c r="EG29" s="463"/>
      <c r="EH29" s="464"/>
      <c r="EI29" s="465"/>
      <c r="EJ29" s="463"/>
      <c r="EK29" s="463"/>
      <c r="EL29" s="463"/>
      <c r="EM29" s="463"/>
      <c r="EN29" s="464"/>
      <c r="EO29" s="465"/>
      <c r="EP29" s="463"/>
      <c r="EQ29" s="463"/>
      <c r="ER29" s="463"/>
      <c r="ES29" s="463"/>
      <c r="ET29" s="464"/>
      <c r="EU29" s="465"/>
      <c r="EV29" s="463"/>
      <c r="EW29" s="463"/>
      <c r="EX29" s="463"/>
      <c r="EY29" s="463"/>
      <c r="EZ29" s="464"/>
      <c r="FA29" s="465"/>
      <c r="FB29" s="463"/>
      <c r="FC29" s="463"/>
      <c r="FD29" s="463"/>
      <c r="FE29" s="463"/>
      <c r="FF29" s="464"/>
      <c r="FG29" s="465"/>
      <c r="FH29" s="463"/>
      <c r="FI29" s="463"/>
      <c r="FJ29" s="463"/>
      <c r="FK29" s="463"/>
      <c r="FL29" s="464"/>
      <c r="FM29" s="465"/>
      <c r="FN29" s="463"/>
      <c r="FO29" s="463"/>
      <c r="FP29" s="463"/>
      <c r="FQ29" s="463"/>
      <c r="FR29" s="464"/>
      <c r="FS29" s="465"/>
      <c r="FT29" s="463"/>
      <c r="FU29" s="463"/>
      <c r="FV29" s="463"/>
      <c r="FW29" s="463"/>
      <c r="FX29" s="464"/>
      <c r="FY29" s="465"/>
      <c r="FZ29" s="463"/>
      <c r="GA29" s="463"/>
      <c r="GB29" s="463"/>
      <c r="GC29" s="463"/>
      <c r="GD29" s="464"/>
      <c r="GE29" s="465"/>
      <c r="GF29" s="463"/>
      <c r="GG29" s="463"/>
      <c r="GH29" s="463"/>
      <c r="GI29" s="463"/>
      <c r="GJ29" s="464"/>
      <c r="GK29" s="465"/>
      <c r="GL29" s="463"/>
      <c r="GM29" s="463"/>
      <c r="GN29" s="463"/>
      <c r="GO29" s="463"/>
      <c r="GP29" s="464"/>
      <c r="GQ29" s="465"/>
      <c r="GR29" s="463"/>
      <c r="GS29" s="463"/>
      <c r="GT29" s="463"/>
      <c r="GU29" s="463"/>
      <c r="GV29" s="464"/>
      <c r="GW29" s="465"/>
      <c r="GX29" s="463"/>
      <c r="GY29" s="463"/>
      <c r="GZ29" s="463"/>
      <c r="HA29" s="463"/>
      <c r="HB29" s="464"/>
      <c r="HC29" s="465"/>
      <c r="HD29" s="463"/>
      <c r="HE29" s="463"/>
      <c r="HF29" s="463"/>
      <c r="HG29" s="463"/>
      <c r="HH29" s="464"/>
      <c r="HI29" s="465"/>
      <c r="HJ29" s="463"/>
      <c r="HK29" s="463"/>
      <c r="HL29" s="463"/>
      <c r="HM29" s="463"/>
      <c r="HN29" s="464"/>
      <c r="HO29" s="465"/>
      <c r="HP29" s="463"/>
      <c r="HQ29" s="463"/>
      <c r="HR29" s="463"/>
      <c r="HS29" s="463"/>
      <c r="HT29" s="464"/>
      <c r="HU29" s="465"/>
      <c r="HV29" s="463"/>
      <c r="HW29" s="463"/>
      <c r="HX29" s="463"/>
      <c r="HY29" s="463"/>
      <c r="HZ29" s="464"/>
      <c r="IA29" s="465"/>
      <c r="IB29" s="463"/>
      <c r="IC29" s="463"/>
      <c r="ID29" s="463"/>
      <c r="IE29" s="463"/>
      <c r="IF29" s="464"/>
      <c r="IG29" s="465"/>
      <c r="IH29" s="463"/>
      <c r="II29" s="463"/>
      <c r="IJ29" s="463"/>
    </row>
    <row r="30" spans="1:244" ht="27.75" customHeight="1" x14ac:dyDescent="0.25">
      <c r="A30" s="457">
        <v>27</v>
      </c>
      <c r="B30" s="677" t="s">
        <v>428</v>
      </c>
      <c r="C30" s="678" t="s">
        <v>429</v>
      </c>
      <c r="D30" s="678" t="s">
        <v>430</v>
      </c>
      <c r="E30" s="679">
        <v>0</v>
      </c>
      <c r="F30" s="680" t="s">
        <v>352</v>
      </c>
      <c r="G30" s="681">
        <v>0</v>
      </c>
      <c r="H30" s="679">
        <v>5</v>
      </c>
      <c r="I30" s="680" t="s">
        <v>352</v>
      </c>
      <c r="J30" s="681">
        <v>5.8040000000000003</v>
      </c>
      <c r="K30" s="682">
        <f t="shared" si="0"/>
        <v>105.8</v>
      </c>
      <c r="L30" s="683">
        <v>8.4</v>
      </c>
      <c r="M30" s="684">
        <f t="shared" si="1"/>
        <v>888.72</v>
      </c>
      <c r="N30" s="685">
        <f>5.27+5.2+5.33+5.4</f>
        <v>21.2</v>
      </c>
      <c r="O30" s="684">
        <f t="shared" si="2"/>
        <v>909.92</v>
      </c>
      <c r="P30" s="686">
        <v>105.804</v>
      </c>
      <c r="Q30" s="687">
        <f t="shared" si="3"/>
        <v>4.0000000000048885E-3</v>
      </c>
      <c r="R30" s="464"/>
      <c r="S30" s="465"/>
      <c r="T30" s="463"/>
      <c r="U30" s="463"/>
      <c r="V30" s="463"/>
      <c r="W30" s="463"/>
      <c r="X30" s="464"/>
      <c r="Y30" s="465"/>
      <c r="Z30" s="463"/>
      <c r="AA30" s="463"/>
      <c r="AB30" s="463"/>
      <c r="AC30" s="463"/>
      <c r="AD30" s="464"/>
      <c r="AE30" s="465"/>
      <c r="AF30" s="463"/>
      <c r="AG30" s="463"/>
      <c r="AH30" s="463"/>
      <c r="AI30" s="463"/>
      <c r="AJ30" s="464"/>
      <c r="AK30" s="465"/>
      <c r="AL30" s="463"/>
      <c r="AM30" s="463"/>
      <c r="AN30" s="463"/>
      <c r="AO30" s="463"/>
      <c r="AP30" s="464"/>
      <c r="AQ30" s="465"/>
      <c r="AR30" s="463"/>
      <c r="AS30" s="463"/>
      <c r="AT30" s="463"/>
      <c r="AU30" s="463"/>
      <c r="AV30" s="464"/>
      <c r="AW30" s="465"/>
      <c r="AX30" s="463"/>
      <c r="AY30" s="463"/>
      <c r="AZ30" s="463"/>
      <c r="BA30" s="463"/>
      <c r="BB30" s="464"/>
      <c r="BC30" s="465"/>
      <c r="BD30" s="463"/>
      <c r="BE30" s="463"/>
      <c r="BF30" s="463"/>
      <c r="BG30" s="463"/>
      <c r="BH30" s="464"/>
      <c r="BI30" s="465"/>
      <c r="BJ30" s="463"/>
      <c r="BK30" s="463"/>
      <c r="BL30" s="463"/>
      <c r="BM30" s="463"/>
      <c r="BN30" s="464"/>
      <c r="BO30" s="465"/>
      <c r="BP30" s="463"/>
      <c r="BQ30" s="463"/>
      <c r="BR30" s="463"/>
      <c r="BS30" s="463"/>
      <c r="BT30" s="464"/>
      <c r="BU30" s="465"/>
      <c r="BV30" s="463"/>
      <c r="BW30" s="463"/>
      <c r="BX30" s="463"/>
      <c r="BY30" s="463"/>
      <c r="BZ30" s="464"/>
      <c r="CA30" s="465"/>
      <c r="CB30" s="463"/>
      <c r="CC30" s="463"/>
      <c r="CD30" s="463"/>
      <c r="CE30" s="463"/>
      <c r="CF30" s="464"/>
      <c r="CG30" s="465"/>
      <c r="CH30" s="463"/>
      <c r="CI30" s="463"/>
      <c r="CJ30" s="463"/>
      <c r="CK30" s="463"/>
      <c r="CL30" s="464"/>
      <c r="CM30" s="465"/>
      <c r="CN30" s="463"/>
      <c r="CO30" s="463"/>
      <c r="CP30" s="463"/>
      <c r="CQ30" s="463"/>
      <c r="CR30" s="464"/>
      <c r="CS30" s="465"/>
      <c r="CT30" s="463"/>
      <c r="CU30" s="463"/>
      <c r="CV30" s="463"/>
      <c r="CW30" s="463"/>
      <c r="CX30" s="464"/>
      <c r="CY30" s="465"/>
      <c r="CZ30" s="463"/>
      <c r="DA30" s="463"/>
      <c r="DB30" s="463"/>
      <c r="DC30" s="463"/>
      <c r="DD30" s="464"/>
      <c r="DE30" s="465"/>
      <c r="DF30" s="463"/>
      <c r="DG30" s="463"/>
      <c r="DH30" s="463"/>
      <c r="DI30" s="463"/>
      <c r="DJ30" s="464"/>
      <c r="DK30" s="465"/>
      <c r="DL30" s="463"/>
      <c r="DM30" s="463"/>
      <c r="DN30" s="463"/>
      <c r="DO30" s="463"/>
      <c r="DP30" s="464"/>
      <c r="DQ30" s="465"/>
      <c r="DR30" s="463"/>
      <c r="DS30" s="463"/>
      <c r="DT30" s="463"/>
      <c r="DU30" s="463"/>
      <c r="DV30" s="464"/>
      <c r="DW30" s="465"/>
      <c r="DX30" s="463"/>
      <c r="DY30" s="463"/>
      <c r="DZ30" s="463"/>
      <c r="EA30" s="463"/>
      <c r="EB30" s="464"/>
      <c r="EC30" s="465"/>
      <c r="ED30" s="463"/>
      <c r="EE30" s="463"/>
      <c r="EF30" s="463"/>
      <c r="EG30" s="463"/>
      <c r="EH30" s="464"/>
      <c r="EI30" s="465"/>
      <c r="EJ30" s="463"/>
      <c r="EK30" s="463"/>
      <c r="EL30" s="463"/>
      <c r="EM30" s="463"/>
      <c r="EN30" s="464"/>
      <c r="EO30" s="465"/>
      <c r="EP30" s="463"/>
      <c r="EQ30" s="463"/>
      <c r="ER30" s="463"/>
      <c r="ES30" s="463"/>
      <c r="ET30" s="464"/>
      <c r="EU30" s="465"/>
      <c r="EV30" s="463"/>
      <c r="EW30" s="463"/>
      <c r="EX30" s="463"/>
      <c r="EY30" s="463"/>
      <c r="EZ30" s="464"/>
      <c r="FA30" s="465"/>
      <c r="FB30" s="463"/>
      <c r="FC30" s="463"/>
      <c r="FD30" s="463"/>
      <c r="FE30" s="463"/>
      <c r="FF30" s="464"/>
      <c r="FG30" s="465"/>
      <c r="FH30" s="463"/>
      <c r="FI30" s="463"/>
      <c r="FJ30" s="463"/>
      <c r="FK30" s="463"/>
      <c r="FL30" s="464"/>
      <c r="FM30" s="465"/>
      <c r="FN30" s="463"/>
      <c r="FO30" s="463"/>
      <c r="FP30" s="463"/>
      <c r="FQ30" s="463"/>
      <c r="FR30" s="464"/>
      <c r="FS30" s="465"/>
      <c r="FT30" s="463"/>
      <c r="FU30" s="463"/>
      <c r="FV30" s="463"/>
      <c r="FW30" s="463"/>
      <c r="FX30" s="464"/>
      <c r="FY30" s="465"/>
      <c r="FZ30" s="463"/>
      <c r="GA30" s="463"/>
      <c r="GB30" s="463"/>
      <c r="GC30" s="463"/>
      <c r="GD30" s="464"/>
      <c r="GE30" s="465"/>
      <c r="GF30" s="463"/>
      <c r="GG30" s="463"/>
      <c r="GH30" s="463"/>
      <c r="GI30" s="463"/>
      <c r="GJ30" s="464"/>
      <c r="GK30" s="465"/>
      <c r="GL30" s="463"/>
      <c r="GM30" s="463"/>
      <c r="GN30" s="463"/>
      <c r="GO30" s="463"/>
      <c r="GP30" s="464"/>
      <c r="GQ30" s="465"/>
      <c r="GR30" s="463"/>
      <c r="GS30" s="463"/>
      <c r="GT30" s="463"/>
      <c r="GU30" s="463"/>
      <c r="GV30" s="464"/>
      <c r="GW30" s="465"/>
      <c r="GX30" s="463"/>
      <c r="GY30" s="463"/>
      <c r="GZ30" s="463"/>
      <c r="HA30" s="463"/>
      <c r="HB30" s="464"/>
      <c r="HC30" s="465"/>
      <c r="HD30" s="463"/>
      <c r="HE30" s="463"/>
      <c r="HF30" s="463"/>
      <c r="HG30" s="463"/>
      <c r="HH30" s="464"/>
      <c r="HI30" s="465"/>
      <c r="HJ30" s="463"/>
      <c r="HK30" s="463"/>
      <c r="HL30" s="463"/>
      <c r="HM30" s="463"/>
      <c r="HN30" s="464"/>
      <c r="HO30" s="465"/>
      <c r="HP30" s="463"/>
      <c r="HQ30" s="463"/>
      <c r="HR30" s="463"/>
      <c r="HS30" s="463"/>
      <c r="HT30" s="464"/>
      <c r="HU30" s="465"/>
      <c r="HV30" s="463"/>
      <c r="HW30" s="463"/>
      <c r="HX30" s="463"/>
      <c r="HY30" s="463"/>
      <c r="HZ30" s="464"/>
      <c r="IA30" s="465"/>
      <c r="IB30" s="463"/>
      <c r="IC30" s="463"/>
      <c r="ID30" s="463"/>
      <c r="IE30" s="463"/>
      <c r="IF30" s="464"/>
      <c r="IG30" s="465"/>
      <c r="IH30" s="463"/>
      <c r="II30" s="463"/>
      <c r="IJ30" s="463"/>
    </row>
    <row r="31" spans="1:244" ht="27.75" customHeight="1" x14ac:dyDescent="0.25">
      <c r="A31" s="457">
        <v>28</v>
      </c>
      <c r="B31" s="677" t="s">
        <v>431</v>
      </c>
      <c r="C31" s="678" t="s">
        <v>432</v>
      </c>
      <c r="D31" s="678" t="s">
        <v>433</v>
      </c>
      <c r="E31" s="679">
        <v>0</v>
      </c>
      <c r="F31" s="680" t="s">
        <v>352</v>
      </c>
      <c r="G31" s="681">
        <v>0</v>
      </c>
      <c r="H31" s="679">
        <v>4</v>
      </c>
      <c r="I31" s="680" t="s">
        <v>352</v>
      </c>
      <c r="J31" s="681">
        <v>1.8320000000000001</v>
      </c>
      <c r="K31" s="682">
        <f t="shared" si="0"/>
        <v>81.83</v>
      </c>
      <c r="L31" s="683">
        <v>8.4</v>
      </c>
      <c r="M31" s="684">
        <f t="shared" si="1"/>
        <v>687.37</v>
      </c>
      <c r="N31" s="685">
        <f>5.4+5.33+5.18+5.56</f>
        <v>21.47</v>
      </c>
      <c r="O31" s="684">
        <f t="shared" si="2"/>
        <v>708.84</v>
      </c>
      <c r="P31" s="686">
        <v>81.831999999999994</v>
      </c>
      <c r="Q31" s="687">
        <f t="shared" si="3"/>
        <v>1.9999999999953388E-3</v>
      </c>
      <c r="R31" s="464"/>
      <c r="S31" s="465"/>
      <c r="T31" s="463"/>
      <c r="U31" s="463"/>
      <c r="V31" s="463"/>
      <c r="W31" s="463"/>
      <c r="X31" s="464"/>
      <c r="Y31" s="465"/>
      <c r="Z31" s="463"/>
      <c r="AA31" s="463"/>
      <c r="AB31" s="463"/>
      <c r="AC31" s="463"/>
      <c r="AD31" s="464"/>
      <c r="AE31" s="465"/>
      <c r="AF31" s="463"/>
      <c r="AG31" s="463"/>
      <c r="AH31" s="463"/>
      <c r="AI31" s="463"/>
      <c r="AJ31" s="464"/>
      <c r="AK31" s="465"/>
      <c r="AL31" s="463"/>
      <c r="AM31" s="463"/>
      <c r="AN31" s="463"/>
      <c r="AO31" s="463"/>
      <c r="AP31" s="464"/>
      <c r="AQ31" s="465"/>
      <c r="AR31" s="463"/>
      <c r="AS31" s="463"/>
      <c r="AT31" s="463"/>
      <c r="AU31" s="463"/>
      <c r="AV31" s="464"/>
      <c r="AW31" s="465"/>
      <c r="AX31" s="463"/>
      <c r="AY31" s="463"/>
      <c r="AZ31" s="463"/>
      <c r="BA31" s="463"/>
      <c r="BB31" s="464"/>
      <c r="BC31" s="465"/>
      <c r="BD31" s="463"/>
      <c r="BE31" s="463"/>
      <c r="BF31" s="463"/>
      <c r="BG31" s="463"/>
      <c r="BH31" s="464"/>
      <c r="BI31" s="465"/>
      <c r="BJ31" s="463"/>
      <c r="BK31" s="463"/>
      <c r="BL31" s="463"/>
      <c r="BM31" s="463"/>
      <c r="BN31" s="464"/>
      <c r="BO31" s="465"/>
      <c r="BP31" s="463"/>
      <c r="BQ31" s="463"/>
      <c r="BR31" s="463"/>
      <c r="BS31" s="463"/>
      <c r="BT31" s="464"/>
      <c r="BU31" s="465"/>
      <c r="BV31" s="463"/>
      <c r="BW31" s="463"/>
      <c r="BX31" s="463"/>
      <c r="BY31" s="463"/>
      <c r="BZ31" s="464"/>
      <c r="CA31" s="465"/>
      <c r="CB31" s="463"/>
      <c r="CC31" s="463"/>
      <c r="CD31" s="463"/>
      <c r="CE31" s="463"/>
      <c r="CF31" s="464"/>
      <c r="CG31" s="465"/>
      <c r="CH31" s="463"/>
      <c r="CI31" s="463"/>
      <c r="CJ31" s="463"/>
      <c r="CK31" s="463"/>
      <c r="CL31" s="464"/>
      <c r="CM31" s="465"/>
      <c r="CN31" s="463"/>
      <c r="CO31" s="463"/>
      <c r="CP31" s="463"/>
      <c r="CQ31" s="463"/>
      <c r="CR31" s="464"/>
      <c r="CS31" s="465"/>
      <c r="CT31" s="463"/>
      <c r="CU31" s="463"/>
      <c r="CV31" s="463"/>
      <c r="CW31" s="463"/>
      <c r="CX31" s="464"/>
      <c r="CY31" s="465"/>
      <c r="CZ31" s="463"/>
      <c r="DA31" s="463"/>
      <c r="DB31" s="463"/>
      <c r="DC31" s="463"/>
      <c r="DD31" s="464"/>
      <c r="DE31" s="465"/>
      <c r="DF31" s="463"/>
      <c r="DG31" s="463"/>
      <c r="DH31" s="463"/>
      <c r="DI31" s="463"/>
      <c r="DJ31" s="464"/>
      <c r="DK31" s="465"/>
      <c r="DL31" s="463"/>
      <c r="DM31" s="463"/>
      <c r="DN31" s="463"/>
      <c r="DO31" s="463"/>
      <c r="DP31" s="464"/>
      <c r="DQ31" s="465"/>
      <c r="DR31" s="463"/>
      <c r="DS31" s="463"/>
      <c r="DT31" s="463"/>
      <c r="DU31" s="463"/>
      <c r="DV31" s="464"/>
      <c r="DW31" s="465"/>
      <c r="DX31" s="463"/>
      <c r="DY31" s="463"/>
      <c r="DZ31" s="463"/>
      <c r="EA31" s="463"/>
      <c r="EB31" s="464"/>
      <c r="EC31" s="465"/>
      <c r="ED31" s="463"/>
      <c r="EE31" s="463"/>
      <c r="EF31" s="463"/>
      <c r="EG31" s="463"/>
      <c r="EH31" s="464"/>
      <c r="EI31" s="465"/>
      <c r="EJ31" s="463"/>
      <c r="EK31" s="463"/>
      <c r="EL31" s="463"/>
      <c r="EM31" s="463"/>
      <c r="EN31" s="464"/>
      <c r="EO31" s="465"/>
      <c r="EP31" s="463"/>
      <c r="EQ31" s="463"/>
      <c r="ER31" s="463"/>
      <c r="ES31" s="463"/>
      <c r="ET31" s="464"/>
      <c r="EU31" s="465"/>
      <c r="EV31" s="463"/>
      <c r="EW31" s="463"/>
      <c r="EX31" s="463"/>
      <c r="EY31" s="463"/>
      <c r="EZ31" s="464"/>
      <c r="FA31" s="465"/>
      <c r="FB31" s="463"/>
      <c r="FC31" s="463"/>
      <c r="FD31" s="463"/>
      <c r="FE31" s="463"/>
      <c r="FF31" s="464"/>
      <c r="FG31" s="465"/>
      <c r="FH31" s="463"/>
      <c r="FI31" s="463"/>
      <c r="FJ31" s="463"/>
      <c r="FK31" s="463"/>
      <c r="FL31" s="464"/>
      <c r="FM31" s="465"/>
      <c r="FN31" s="463"/>
      <c r="FO31" s="463"/>
      <c r="FP31" s="463"/>
      <c r="FQ31" s="463"/>
      <c r="FR31" s="464"/>
      <c r="FS31" s="465"/>
      <c r="FT31" s="463"/>
      <c r="FU31" s="463"/>
      <c r="FV31" s="463"/>
      <c r="FW31" s="463"/>
      <c r="FX31" s="464"/>
      <c r="FY31" s="465"/>
      <c r="FZ31" s="463"/>
      <c r="GA31" s="463"/>
      <c r="GB31" s="463"/>
      <c r="GC31" s="463"/>
      <c r="GD31" s="464"/>
      <c r="GE31" s="465"/>
      <c r="GF31" s="463"/>
      <c r="GG31" s="463"/>
      <c r="GH31" s="463"/>
      <c r="GI31" s="463"/>
      <c r="GJ31" s="464"/>
      <c r="GK31" s="465"/>
      <c r="GL31" s="463"/>
      <c r="GM31" s="463"/>
      <c r="GN31" s="463"/>
      <c r="GO31" s="463"/>
      <c r="GP31" s="464"/>
      <c r="GQ31" s="465"/>
      <c r="GR31" s="463"/>
      <c r="GS31" s="463"/>
      <c r="GT31" s="463"/>
      <c r="GU31" s="463"/>
      <c r="GV31" s="464"/>
      <c r="GW31" s="465"/>
      <c r="GX31" s="463"/>
      <c r="GY31" s="463"/>
      <c r="GZ31" s="463"/>
      <c r="HA31" s="463"/>
      <c r="HB31" s="464"/>
      <c r="HC31" s="465"/>
      <c r="HD31" s="463"/>
      <c r="HE31" s="463"/>
      <c r="HF31" s="463"/>
      <c r="HG31" s="463"/>
      <c r="HH31" s="464"/>
      <c r="HI31" s="465"/>
      <c r="HJ31" s="463"/>
      <c r="HK31" s="463"/>
      <c r="HL31" s="463"/>
      <c r="HM31" s="463"/>
      <c r="HN31" s="464"/>
      <c r="HO31" s="465"/>
      <c r="HP31" s="463"/>
      <c r="HQ31" s="463"/>
      <c r="HR31" s="463"/>
      <c r="HS31" s="463"/>
      <c r="HT31" s="464"/>
      <c r="HU31" s="465"/>
      <c r="HV31" s="463"/>
      <c r="HW31" s="463"/>
      <c r="HX31" s="463"/>
      <c r="HY31" s="463"/>
      <c r="HZ31" s="464"/>
      <c r="IA31" s="465"/>
      <c r="IB31" s="463"/>
      <c r="IC31" s="463"/>
      <c r="ID31" s="463"/>
      <c r="IE31" s="463"/>
      <c r="IF31" s="464"/>
      <c r="IG31" s="465"/>
      <c r="IH31" s="463"/>
      <c r="II31" s="463"/>
      <c r="IJ31" s="463"/>
    </row>
    <row r="32" spans="1:244" ht="27.75" customHeight="1" x14ac:dyDescent="0.25">
      <c r="A32" s="457">
        <v>29</v>
      </c>
      <c r="B32" s="677" t="s">
        <v>434</v>
      </c>
      <c r="C32" s="678" t="s">
        <v>435</v>
      </c>
      <c r="D32" s="678" t="s">
        <v>436</v>
      </c>
      <c r="E32" s="679">
        <v>0</v>
      </c>
      <c r="F32" s="680" t="s">
        <v>352</v>
      </c>
      <c r="G32" s="681">
        <v>0</v>
      </c>
      <c r="H32" s="679">
        <v>5</v>
      </c>
      <c r="I32" s="680" t="s">
        <v>352</v>
      </c>
      <c r="J32" s="681">
        <v>7.1539999999999999</v>
      </c>
      <c r="K32" s="682">
        <f t="shared" si="0"/>
        <v>107.15</v>
      </c>
      <c r="L32" s="683">
        <v>8.4</v>
      </c>
      <c r="M32" s="684">
        <f t="shared" si="1"/>
        <v>900.06</v>
      </c>
      <c r="N32" s="685">
        <f>5.64+5.1+5.42+5.31</f>
        <v>21.469999999999995</v>
      </c>
      <c r="O32" s="684">
        <f t="shared" si="2"/>
        <v>921.53</v>
      </c>
      <c r="P32" s="686">
        <v>107.154</v>
      </c>
      <c r="Q32" s="687">
        <f t="shared" si="3"/>
        <v>3.9999999999906777E-3</v>
      </c>
      <c r="R32" s="464"/>
      <c r="S32" s="465"/>
      <c r="T32" s="660">
        <f>44991.027-M45</f>
        <v>5.7370000000009895</v>
      </c>
      <c r="U32" s="463"/>
      <c r="V32" s="463"/>
      <c r="W32" s="463"/>
      <c r="X32" s="464"/>
      <c r="Y32" s="465"/>
      <c r="Z32" s="463"/>
      <c r="AA32" s="463"/>
      <c r="AB32" s="463"/>
      <c r="AC32" s="463"/>
      <c r="AD32" s="464"/>
      <c r="AE32" s="465"/>
      <c r="AF32" s="463"/>
      <c r="AG32" s="463"/>
      <c r="AH32" s="463"/>
      <c r="AI32" s="463"/>
      <c r="AJ32" s="464"/>
      <c r="AK32" s="465"/>
      <c r="AL32" s="463"/>
      <c r="AM32" s="463"/>
      <c r="AN32" s="463"/>
      <c r="AO32" s="463"/>
      <c r="AP32" s="464"/>
      <c r="AQ32" s="465"/>
      <c r="AR32" s="463"/>
      <c r="AS32" s="463"/>
      <c r="AT32" s="463"/>
      <c r="AU32" s="463"/>
      <c r="AV32" s="464"/>
      <c r="AW32" s="465"/>
      <c r="AX32" s="463"/>
      <c r="AY32" s="463"/>
      <c r="AZ32" s="463"/>
      <c r="BA32" s="463"/>
      <c r="BB32" s="464"/>
      <c r="BC32" s="465"/>
      <c r="BD32" s="463"/>
      <c r="BE32" s="463"/>
      <c r="BF32" s="463"/>
      <c r="BG32" s="463"/>
      <c r="BH32" s="464"/>
      <c r="BI32" s="465"/>
      <c r="BJ32" s="463"/>
      <c r="BK32" s="463"/>
      <c r="BL32" s="463"/>
      <c r="BM32" s="463"/>
      <c r="BN32" s="464"/>
      <c r="BO32" s="465"/>
      <c r="BP32" s="463"/>
      <c r="BQ32" s="463"/>
      <c r="BR32" s="463"/>
      <c r="BS32" s="463"/>
      <c r="BT32" s="464"/>
      <c r="BU32" s="465"/>
      <c r="BV32" s="463"/>
      <c r="BW32" s="463"/>
      <c r="BX32" s="463"/>
      <c r="BY32" s="463"/>
      <c r="BZ32" s="464"/>
      <c r="CA32" s="465"/>
      <c r="CB32" s="463"/>
      <c r="CC32" s="463"/>
      <c r="CD32" s="463"/>
      <c r="CE32" s="463"/>
      <c r="CF32" s="464"/>
      <c r="CG32" s="465"/>
      <c r="CH32" s="463"/>
      <c r="CI32" s="463"/>
      <c r="CJ32" s="463"/>
      <c r="CK32" s="463"/>
      <c r="CL32" s="464"/>
      <c r="CM32" s="465"/>
      <c r="CN32" s="463"/>
      <c r="CO32" s="463"/>
      <c r="CP32" s="463"/>
      <c r="CQ32" s="463"/>
      <c r="CR32" s="464"/>
      <c r="CS32" s="465"/>
      <c r="CT32" s="463"/>
      <c r="CU32" s="463"/>
      <c r="CV32" s="463"/>
      <c r="CW32" s="463"/>
      <c r="CX32" s="464"/>
      <c r="CY32" s="465"/>
      <c r="CZ32" s="463"/>
      <c r="DA32" s="463"/>
      <c r="DB32" s="463"/>
      <c r="DC32" s="463"/>
      <c r="DD32" s="464"/>
      <c r="DE32" s="465"/>
      <c r="DF32" s="463"/>
      <c r="DG32" s="463"/>
      <c r="DH32" s="463"/>
      <c r="DI32" s="463"/>
      <c r="DJ32" s="464"/>
      <c r="DK32" s="465"/>
      <c r="DL32" s="463"/>
      <c r="DM32" s="463"/>
      <c r="DN32" s="463"/>
      <c r="DO32" s="463"/>
      <c r="DP32" s="464"/>
      <c r="DQ32" s="465"/>
      <c r="DR32" s="463"/>
      <c r="DS32" s="463"/>
      <c r="DT32" s="463"/>
      <c r="DU32" s="463"/>
      <c r="DV32" s="464"/>
      <c r="DW32" s="465"/>
      <c r="DX32" s="463"/>
      <c r="DY32" s="463"/>
      <c r="DZ32" s="463"/>
      <c r="EA32" s="463"/>
      <c r="EB32" s="464"/>
      <c r="EC32" s="465"/>
      <c r="ED32" s="463"/>
      <c r="EE32" s="463"/>
      <c r="EF32" s="463"/>
      <c r="EG32" s="463"/>
      <c r="EH32" s="464"/>
      <c r="EI32" s="465"/>
      <c r="EJ32" s="463"/>
      <c r="EK32" s="463"/>
      <c r="EL32" s="463"/>
      <c r="EM32" s="463"/>
      <c r="EN32" s="464"/>
      <c r="EO32" s="465"/>
      <c r="EP32" s="463"/>
      <c r="EQ32" s="463"/>
      <c r="ER32" s="463"/>
      <c r="ES32" s="463"/>
      <c r="ET32" s="464"/>
      <c r="EU32" s="465"/>
      <c r="EV32" s="463"/>
      <c r="EW32" s="463"/>
      <c r="EX32" s="463"/>
      <c r="EY32" s="463"/>
      <c r="EZ32" s="464"/>
      <c r="FA32" s="465"/>
      <c r="FB32" s="463"/>
      <c r="FC32" s="463"/>
      <c r="FD32" s="463"/>
      <c r="FE32" s="463"/>
      <c r="FF32" s="464"/>
      <c r="FG32" s="465"/>
      <c r="FH32" s="463"/>
      <c r="FI32" s="463"/>
      <c r="FJ32" s="463"/>
      <c r="FK32" s="463"/>
      <c r="FL32" s="464"/>
      <c r="FM32" s="465"/>
      <c r="FN32" s="463"/>
      <c r="FO32" s="463"/>
      <c r="FP32" s="463"/>
      <c r="FQ32" s="463"/>
      <c r="FR32" s="464"/>
      <c r="FS32" s="465"/>
      <c r="FT32" s="463"/>
      <c r="FU32" s="463"/>
      <c r="FV32" s="463"/>
      <c r="FW32" s="463"/>
      <c r="FX32" s="464"/>
      <c r="FY32" s="465"/>
      <c r="FZ32" s="463"/>
      <c r="GA32" s="463"/>
      <c r="GB32" s="463"/>
      <c r="GC32" s="463"/>
      <c r="GD32" s="464"/>
      <c r="GE32" s="465"/>
      <c r="GF32" s="463"/>
      <c r="GG32" s="463"/>
      <c r="GH32" s="463"/>
      <c r="GI32" s="463"/>
      <c r="GJ32" s="464"/>
      <c r="GK32" s="465"/>
      <c r="GL32" s="463"/>
      <c r="GM32" s="463"/>
      <c r="GN32" s="463"/>
      <c r="GO32" s="463"/>
      <c r="GP32" s="464"/>
      <c r="GQ32" s="465"/>
      <c r="GR32" s="463"/>
      <c r="GS32" s="463"/>
      <c r="GT32" s="463"/>
      <c r="GU32" s="463"/>
      <c r="GV32" s="464"/>
      <c r="GW32" s="465"/>
      <c r="GX32" s="463"/>
      <c r="GY32" s="463"/>
      <c r="GZ32" s="463"/>
      <c r="HA32" s="463"/>
      <c r="HB32" s="464"/>
      <c r="HC32" s="465"/>
      <c r="HD32" s="463"/>
      <c r="HE32" s="463"/>
      <c r="HF32" s="463"/>
      <c r="HG32" s="463"/>
      <c r="HH32" s="464"/>
      <c r="HI32" s="465"/>
      <c r="HJ32" s="463"/>
      <c r="HK32" s="463"/>
      <c r="HL32" s="463"/>
      <c r="HM32" s="463"/>
      <c r="HN32" s="464"/>
      <c r="HO32" s="465"/>
      <c r="HP32" s="463"/>
      <c r="HQ32" s="463"/>
      <c r="HR32" s="463"/>
      <c r="HS32" s="463"/>
      <c r="HT32" s="464"/>
      <c r="HU32" s="465"/>
      <c r="HV32" s="463"/>
      <c r="HW32" s="463"/>
      <c r="HX32" s="463"/>
      <c r="HY32" s="463"/>
      <c r="HZ32" s="464"/>
      <c r="IA32" s="465"/>
      <c r="IB32" s="463"/>
      <c r="IC32" s="463"/>
      <c r="ID32" s="463"/>
      <c r="IE32" s="463"/>
      <c r="IF32" s="464"/>
      <c r="IG32" s="465"/>
      <c r="IH32" s="463"/>
      <c r="II32" s="463"/>
      <c r="IJ32" s="463"/>
    </row>
    <row r="33" spans="1:244" ht="27.75" customHeight="1" x14ac:dyDescent="0.25">
      <c r="A33" s="457">
        <v>30</v>
      </c>
      <c r="B33" s="677" t="s">
        <v>437</v>
      </c>
      <c r="C33" s="678" t="s">
        <v>438</v>
      </c>
      <c r="D33" s="678" t="s">
        <v>439</v>
      </c>
      <c r="E33" s="679">
        <v>0</v>
      </c>
      <c r="F33" s="680" t="s">
        <v>352</v>
      </c>
      <c r="G33" s="681">
        <v>0</v>
      </c>
      <c r="H33" s="679">
        <v>9</v>
      </c>
      <c r="I33" s="680" t="s">
        <v>352</v>
      </c>
      <c r="J33" s="681">
        <v>15.555999999999999</v>
      </c>
      <c r="K33" s="682">
        <f t="shared" si="0"/>
        <v>195.55</v>
      </c>
      <c r="L33" s="683">
        <v>8.4</v>
      </c>
      <c r="M33" s="684">
        <f t="shared" si="1"/>
        <v>1642.62</v>
      </c>
      <c r="N33" s="685">
        <f>57+5.43+5.3</f>
        <v>67.73</v>
      </c>
      <c r="O33" s="684">
        <f t="shared" si="2"/>
        <v>1710.35</v>
      </c>
      <c r="P33" s="686">
        <v>195.55600000000001</v>
      </c>
      <c r="Q33" s="687">
        <f t="shared" si="3"/>
        <v>6.0000000000002274E-3</v>
      </c>
      <c r="R33" s="464"/>
      <c r="S33" s="465"/>
      <c r="T33" s="660">
        <f>45840.865-O45</f>
        <v>6.1449999999967986</v>
      </c>
      <c r="V33" s="463"/>
      <c r="W33" s="463"/>
      <c r="X33" s="464"/>
      <c r="Y33" s="465"/>
      <c r="Z33" s="463"/>
      <c r="AA33" s="463"/>
      <c r="AB33" s="463"/>
      <c r="AC33" s="463"/>
      <c r="AD33" s="464"/>
      <c r="AE33" s="465"/>
      <c r="AF33" s="463"/>
      <c r="AG33" s="463"/>
      <c r="AH33" s="463"/>
      <c r="AI33" s="463"/>
      <c r="AJ33" s="464"/>
      <c r="AK33" s="465"/>
      <c r="AL33" s="463"/>
      <c r="AM33" s="463"/>
      <c r="AN33" s="463"/>
      <c r="AO33" s="463"/>
      <c r="AP33" s="464"/>
      <c r="AQ33" s="465"/>
      <c r="AR33" s="463"/>
      <c r="AS33" s="463"/>
      <c r="AT33" s="463"/>
      <c r="AU33" s="463"/>
      <c r="AV33" s="464"/>
      <c r="AW33" s="465"/>
      <c r="AX33" s="463"/>
      <c r="AY33" s="463"/>
      <c r="AZ33" s="463"/>
      <c r="BA33" s="463"/>
      <c r="BB33" s="464"/>
      <c r="BC33" s="465"/>
      <c r="BD33" s="463"/>
      <c r="BE33" s="463"/>
      <c r="BF33" s="463"/>
      <c r="BG33" s="463"/>
      <c r="BH33" s="464"/>
      <c r="BI33" s="465"/>
      <c r="BJ33" s="463"/>
      <c r="BK33" s="463"/>
      <c r="BL33" s="463"/>
      <c r="BM33" s="463"/>
      <c r="BN33" s="464"/>
      <c r="BO33" s="465"/>
      <c r="BP33" s="463"/>
      <c r="BQ33" s="463"/>
      <c r="BR33" s="463"/>
      <c r="BS33" s="463"/>
      <c r="BT33" s="464"/>
      <c r="BU33" s="465"/>
      <c r="BV33" s="463"/>
      <c r="BW33" s="463"/>
      <c r="BX33" s="463"/>
      <c r="BY33" s="463"/>
      <c r="BZ33" s="464"/>
      <c r="CA33" s="465"/>
      <c r="CB33" s="463"/>
      <c r="CC33" s="463"/>
      <c r="CD33" s="463"/>
      <c r="CE33" s="463"/>
      <c r="CF33" s="464"/>
      <c r="CG33" s="465"/>
      <c r="CH33" s="463"/>
      <c r="CI33" s="463"/>
      <c r="CJ33" s="463"/>
      <c r="CK33" s="463"/>
      <c r="CL33" s="464"/>
      <c r="CM33" s="465"/>
      <c r="CN33" s="463"/>
      <c r="CO33" s="463"/>
      <c r="CP33" s="463"/>
      <c r="CQ33" s="463"/>
      <c r="CR33" s="464"/>
      <c r="CS33" s="465"/>
      <c r="CT33" s="463"/>
      <c r="CU33" s="463"/>
      <c r="CV33" s="463"/>
      <c r="CW33" s="463"/>
      <c r="CX33" s="464"/>
      <c r="CY33" s="465"/>
      <c r="CZ33" s="463"/>
      <c r="DA33" s="463"/>
      <c r="DB33" s="463"/>
      <c r="DC33" s="463"/>
      <c r="DD33" s="464"/>
      <c r="DE33" s="465"/>
      <c r="DF33" s="463"/>
      <c r="DG33" s="463"/>
      <c r="DH33" s="463"/>
      <c r="DI33" s="463"/>
      <c r="DJ33" s="464"/>
      <c r="DK33" s="465"/>
      <c r="DL33" s="463"/>
      <c r="DM33" s="463"/>
      <c r="DN33" s="463"/>
      <c r="DO33" s="463"/>
      <c r="DP33" s="464"/>
      <c r="DQ33" s="465"/>
      <c r="DR33" s="463"/>
      <c r="DS33" s="463"/>
      <c r="DT33" s="463"/>
      <c r="DU33" s="463"/>
      <c r="DV33" s="464"/>
      <c r="DW33" s="465"/>
      <c r="DX33" s="463"/>
      <c r="DY33" s="463"/>
      <c r="DZ33" s="463"/>
      <c r="EA33" s="463"/>
      <c r="EB33" s="464"/>
      <c r="EC33" s="465"/>
      <c r="ED33" s="463"/>
      <c r="EE33" s="463"/>
      <c r="EF33" s="463"/>
      <c r="EG33" s="463"/>
      <c r="EH33" s="464"/>
      <c r="EI33" s="465"/>
      <c r="EJ33" s="463"/>
      <c r="EK33" s="463"/>
      <c r="EL33" s="463"/>
      <c r="EM33" s="463"/>
      <c r="EN33" s="464"/>
      <c r="EO33" s="465"/>
      <c r="EP33" s="463"/>
      <c r="EQ33" s="463"/>
      <c r="ER33" s="463"/>
      <c r="ES33" s="463"/>
      <c r="ET33" s="464"/>
      <c r="EU33" s="465"/>
      <c r="EV33" s="463"/>
      <c r="EW33" s="463"/>
      <c r="EX33" s="463"/>
      <c r="EY33" s="463"/>
      <c r="EZ33" s="464"/>
      <c r="FA33" s="465"/>
      <c r="FB33" s="463"/>
      <c r="FC33" s="463"/>
      <c r="FD33" s="463"/>
      <c r="FE33" s="463"/>
      <c r="FF33" s="464"/>
      <c r="FG33" s="465"/>
      <c r="FH33" s="463"/>
      <c r="FI33" s="463"/>
      <c r="FJ33" s="463"/>
      <c r="FK33" s="463"/>
      <c r="FL33" s="464"/>
      <c r="FM33" s="465"/>
      <c r="FN33" s="463"/>
      <c r="FO33" s="463"/>
      <c r="FP33" s="463"/>
      <c r="FQ33" s="463"/>
      <c r="FR33" s="464"/>
      <c r="FS33" s="465"/>
      <c r="FT33" s="463"/>
      <c r="FU33" s="463"/>
      <c r="FV33" s="463"/>
      <c r="FW33" s="463"/>
      <c r="FX33" s="464"/>
      <c r="FY33" s="465"/>
      <c r="FZ33" s="463"/>
      <c r="GA33" s="463"/>
      <c r="GB33" s="463"/>
      <c r="GC33" s="463"/>
      <c r="GD33" s="464"/>
      <c r="GE33" s="465"/>
      <c r="GF33" s="463"/>
      <c r="GG33" s="463"/>
      <c r="GH33" s="463"/>
      <c r="GI33" s="463"/>
      <c r="GJ33" s="464"/>
      <c r="GK33" s="465"/>
      <c r="GL33" s="463"/>
      <c r="GM33" s="463"/>
      <c r="GN33" s="463"/>
      <c r="GO33" s="463"/>
      <c r="GP33" s="464"/>
      <c r="GQ33" s="465"/>
      <c r="GR33" s="463"/>
      <c r="GS33" s="463"/>
      <c r="GT33" s="463"/>
      <c r="GU33" s="463"/>
      <c r="GV33" s="464"/>
      <c r="GW33" s="465"/>
      <c r="GX33" s="463"/>
      <c r="GY33" s="463"/>
      <c r="GZ33" s="463"/>
      <c r="HA33" s="463"/>
      <c r="HB33" s="464"/>
      <c r="HC33" s="465"/>
      <c r="HD33" s="463"/>
      <c r="HE33" s="463"/>
      <c r="HF33" s="463"/>
      <c r="HG33" s="463"/>
      <c r="HH33" s="464"/>
      <c r="HI33" s="465"/>
      <c r="HJ33" s="463"/>
      <c r="HK33" s="463"/>
      <c r="HL33" s="463"/>
      <c r="HM33" s="463"/>
      <c r="HN33" s="464"/>
      <c r="HO33" s="465"/>
      <c r="HP33" s="463"/>
      <c r="HQ33" s="463"/>
      <c r="HR33" s="463"/>
      <c r="HS33" s="463"/>
      <c r="HT33" s="464"/>
      <c r="HU33" s="465"/>
      <c r="HV33" s="463"/>
      <c r="HW33" s="463"/>
      <c r="HX33" s="463"/>
      <c r="HY33" s="463"/>
      <c r="HZ33" s="464"/>
      <c r="IA33" s="465"/>
      <c r="IB33" s="463"/>
      <c r="IC33" s="463"/>
      <c r="ID33" s="463"/>
      <c r="IE33" s="463"/>
      <c r="IF33" s="464"/>
      <c r="IG33" s="465"/>
      <c r="IH33" s="463"/>
      <c r="II33" s="463"/>
      <c r="IJ33" s="463"/>
    </row>
    <row r="34" spans="1:244" ht="27.75" customHeight="1" x14ac:dyDescent="0.25">
      <c r="A34" s="457">
        <v>31</v>
      </c>
      <c r="B34" s="677" t="s">
        <v>440</v>
      </c>
      <c r="C34" s="678" t="s">
        <v>441</v>
      </c>
      <c r="D34" s="678" t="s">
        <v>442</v>
      </c>
      <c r="E34" s="679">
        <v>0</v>
      </c>
      <c r="F34" s="680" t="s">
        <v>352</v>
      </c>
      <c r="G34" s="681">
        <v>0</v>
      </c>
      <c r="H34" s="679">
        <v>8</v>
      </c>
      <c r="I34" s="680" t="s">
        <v>352</v>
      </c>
      <c r="J34" s="681">
        <v>9.9169999999999998</v>
      </c>
      <c r="K34" s="682">
        <f t="shared" si="0"/>
        <v>169.91</v>
      </c>
      <c r="L34" s="683">
        <v>6.4</v>
      </c>
      <c r="M34" s="684">
        <f t="shared" si="1"/>
        <v>1087.42</v>
      </c>
      <c r="N34" s="685">
        <f>5.08+5.33</f>
        <v>10.41</v>
      </c>
      <c r="O34" s="684">
        <f t="shared" si="2"/>
        <v>1097.83</v>
      </c>
      <c r="P34" s="686">
        <v>169.917</v>
      </c>
      <c r="Q34" s="687">
        <f t="shared" si="3"/>
        <v>7.0000000000050022E-3</v>
      </c>
      <c r="R34" s="464"/>
      <c r="S34" s="465"/>
      <c r="T34" s="463"/>
      <c r="U34" s="463"/>
      <c r="V34" s="689"/>
      <c r="Y34" s="465"/>
      <c r="Z34" s="463"/>
      <c r="AA34" s="463"/>
      <c r="AB34" s="463"/>
      <c r="AC34" s="463"/>
      <c r="AD34" s="464"/>
      <c r="AE34" s="465"/>
      <c r="AF34" s="463"/>
      <c r="AG34" s="463"/>
      <c r="AH34" s="463"/>
      <c r="AI34" s="463"/>
      <c r="AJ34" s="464"/>
      <c r="AK34" s="465"/>
      <c r="AL34" s="463"/>
      <c r="AM34" s="463"/>
      <c r="AN34" s="463"/>
      <c r="AO34" s="463"/>
      <c r="AP34" s="464"/>
      <c r="AQ34" s="465"/>
      <c r="AR34" s="463"/>
      <c r="AS34" s="463"/>
      <c r="AT34" s="463"/>
      <c r="AU34" s="463"/>
      <c r="AV34" s="464"/>
      <c r="AW34" s="465"/>
      <c r="AX34" s="463"/>
      <c r="AY34" s="463"/>
      <c r="AZ34" s="463"/>
      <c r="BA34" s="463"/>
      <c r="BB34" s="464"/>
      <c r="BC34" s="465"/>
      <c r="BD34" s="463"/>
      <c r="BE34" s="463"/>
      <c r="BF34" s="463"/>
      <c r="BG34" s="463"/>
      <c r="BH34" s="464"/>
      <c r="BI34" s="465"/>
      <c r="BJ34" s="463"/>
      <c r="BK34" s="463"/>
      <c r="BL34" s="463"/>
      <c r="BM34" s="463"/>
      <c r="BN34" s="464"/>
      <c r="BO34" s="465"/>
      <c r="BP34" s="463"/>
      <c r="BQ34" s="463"/>
      <c r="BR34" s="463"/>
      <c r="BS34" s="463"/>
      <c r="BT34" s="464"/>
      <c r="BU34" s="465"/>
      <c r="BV34" s="463"/>
      <c r="BW34" s="463"/>
      <c r="BX34" s="463"/>
      <c r="BY34" s="463"/>
      <c r="BZ34" s="464"/>
      <c r="CA34" s="465"/>
      <c r="CB34" s="463"/>
      <c r="CC34" s="463"/>
      <c r="CD34" s="463"/>
      <c r="CE34" s="463"/>
      <c r="CF34" s="464"/>
      <c r="CG34" s="465"/>
      <c r="CH34" s="463"/>
      <c r="CI34" s="463"/>
      <c r="CJ34" s="463"/>
      <c r="CK34" s="463"/>
      <c r="CL34" s="464"/>
      <c r="CM34" s="465"/>
      <c r="CN34" s="463"/>
      <c r="CO34" s="463"/>
      <c r="CP34" s="463"/>
      <c r="CQ34" s="463"/>
      <c r="CR34" s="464"/>
      <c r="CS34" s="465"/>
      <c r="CT34" s="463"/>
      <c r="CU34" s="463"/>
      <c r="CV34" s="463"/>
      <c r="CW34" s="463"/>
      <c r="CX34" s="464"/>
      <c r="CY34" s="465"/>
      <c r="CZ34" s="463"/>
      <c r="DA34" s="463"/>
      <c r="DB34" s="463"/>
      <c r="DC34" s="463"/>
      <c r="DD34" s="464"/>
      <c r="DE34" s="465"/>
      <c r="DF34" s="463"/>
      <c r="DG34" s="463"/>
      <c r="DH34" s="463"/>
      <c r="DI34" s="463"/>
      <c r="DJ34" s="464"/>
      <c r="DK34" s="465"/>
      <c r="DL34" s="463"/>
      <c r="DM34" s="463"/>
      <c r="DN34" s="463"/>
      <c r="DO34" s="463"/>
      <c r="DP34" s="464"/>
      <c r="DQ34" s="465"/>
      <c r="DR34" s="463"/>
      <c r="DS34" s="463"/>
      <c r="DT34" s="463"/>
      <c r="DU34" s="463"/>
      <c r="DV34" s="464"/>
      <c r="DW34" s="465"/>
      <c r="DX34" s="463"/>
      <c r="DY34" s="463"/>
      <c r="DZ34" s="463"/>
      <c r="EA34" s="463"/>
      <c r="EB34" s="464"/>
      <c r="EC34" s="465"/>
      <c r="ED34" s="463"/>
      <c r="EE34" s="463"/>
      <c r="EF34" s="463"/>
      <c r="EG34" s="463"/>
      <c r="EH34" s="464"/>
      <c r="EI34" s="465"/>
      <c r="EJ34" s="463"/>
      <c r="EK34" s="463"/>
      <c r="EL34" s="463"/>
      <c r="EM34" s="463"/>
      <c r="EN34" s="464"/>
      <c r="EO34" s="465"/>
      <c r="EP34" s="463"/>
      <c r="EQ34" s="463"/>
      <c r="ER34" s="463"/>
      <c r="ES34" s="463"/>
      <c r="ET34" s="464"/>
      <c r="EU34" s="465"/>
      <c r="EV34" s="463"/>
      <c r="EW34" s="463"/>
      <c r="EX34" s="463"/>
      <c r="EY34" s="463"/>
      <c r="EZ34" s="464"/>
      <c r="FA34" s="465"/>
      <c r="FB34" s="463"/>
      <c r="FC34" s="463"/>
      <c r="FD34" s="463"/>
      <c r="FE34" s="463"/>
      <c r="FF34" s="464"/>
      <c r="FG34" s="465"/>
      <c r="FH34" s="463"/>
      <c r="FI34" s="463"/>
      <c r="FJ34" s="463"/>
      <c r="FK34" s="463"/>
      <c r="FL34" s="464"/>
      <c r="FM34" s="465"/>
      <c r="FN34" s="463"/>
      <c r="FO34" s="463"/>
      <c r="FP34" s="463"/>
      <c r="FQ34" s="463"/>
      <c r="FR34" s="464"/>
      <c r="FS34" s="465"/>
      <c r="FT34" s="463"/>
      <c r="FU34" s="463"/>
      <c r="FV34" s="463"/>
      <c r="FW34" s="463"/>
      <c r="FX34" s="464"/>
      <c r="FY34" s="465"/>
      <c r="FZ34" s="463"/>
      <c r="GA34" s="463"/>
      <c r="GB34" s="463"/>
      <c r="GC34" s="463"/>
      <c r="GD34" s="464"/>
      <c r="GE34" s="465"/>
      <c r="GF34" s="463"/>
      <c r="GG34" s="463"/>
      <c r="GH34" s="463"/>
      <c r="GI34" s="463"/>
      <c r="GJ34" s="464"/>
      <c r="GK34" s="465"/>
      <c r="GL34" s="463"/>
      <c r="GM34" s="463"/>
      <c r="GN34" s="463"/>
      <c r="GO34" s="463"/>
      <c r="GP34" s="464"/>
      <c r="GQ34" s="465"/>
      <c r="GR34" s="463"/>
      <c r="GS34" s="463"/>
      <c r="GT34" s="463"/>
      <c r="GU34" s="463"/>
      <c r="GV34" s="464"/>
      <c r="GW34" s="465"/>
      <c r="GX34" s="463"/>
      <c r="GY34" s="463"/>
      <c r="GZ34" s="463"/>
      <c r="HA34" s="463"/>
      <c r="HB34" s="464"/>
      <c r="HC34" s="465"/>
      <c r="HD34" s="463"/>
      <c r="HE34" s="463"/>
      <c r="HF34" s="463"/>
      <c r="HG34" s="463"/>
      <c r="HH34" s="464"/>
      <c r="HI34" s="465"/>
      <c r="HJ34" s="463"/>
      <c r="HK34" s="463"/>
      <c r="HL34" s="463"/>
      <c r="HM34" s="463"/>
      <c r="HN34" s="464"/>
      <c r="HO34" s="465"/>
      <c r="HP34" s="463"/>
      <c r="HQ34" s="463"/>
      <c r="HR34" s="463"/>
      <c r="HS34" s="463"/>
      <c r="HT34" s="464"/>
      <c r="HU34" s="465"/>
      <c r="HV34" s="463"/>
      <c r="HW34" s="463"/>
      <c r="HX34" s="463"/>
      <c r="HY34" s="463"/>
      <c r="HZ34" s="464"/>
      <c r="IA34" s="465"/>
      <c r="IB34" s="463"/>
      <c r="IC34" s="463"/>
      <c r="ID34" s="463"/>
      <c r="IE34" s="463"/>
      <c r="IF34" s="464"/>
      <c r="IG34" s="465"/>
      <c r="IH34" s="463"/>
      <c r="II34" s="463"/>
      <c r="IJ34" s="463"/>
    </row>
    <row r="35" spans="1:244" ht="27.75" customHeight="1" x14ac:dyDescent="0.25">
      <c r="A35" s="457">
        <v>32</v>
      </c>
      <c r="B35" s="677" t="s">
        <v>443</v>
      </c>
      <c r="C35" s="678" t="s">
        <v>444</v>
      </c>
      <c r="D35" s="678" t="s">
        <v>445</v>
      </c>
      <c r="E35" s="679">
        <v>0</v>
      </c>
      <c r="F35" s="680" t="s">
        <v>352</v>
      </c>
      <c r="G35" s="681">
        <v>0</v>
      </c>
      <c r="H35" s="679">
        <v>15</v>
      </c>
      <c r="I35" s="680" t="s">
        <v>352</v>
      </c>
      <c r="J35" s="681">
        <v>2.9849999999999999</v>
      </c>
      <c r="K35" s="682">
        <f t="shared" si="0"/>
        <v>302.98</v>
      </c>
      <c r="L35" s="683">
        <v>6.4</v>
      </c>
      <c r="M35" s="684">
        <f t="shared" si="1"/>
        <v>1939.07</v>
      </c>
      <c r="N35" s="685">
        <f>5.32+5.4+5.12+6.36</f>
        <v>22.2</v>
      </c>
      <c r="O35" s="684">
        <f t="shared" si="2"/>
        <v>1961.27</v>
      </c>
      <c r="P35" s="686">
        <v>302.98500000000001</v>
      </c>
      <c r="Q35" s="687">
        <f t="shared" si="3"/>
        <v>4.9999999999954525E-3</v>
      </c>
      <c r="R35" s="464"/>
      <c r="S35" s="465"/>
      <c r="T35" s="463"/>
      <c r="U35" s="463"/>
      <c r="V35" s="689"/>
      <c r="X35" s="645"/>
      <c r="Y35" s="465"/>
      <c r="Z35" s="463"/>
      <c r="AA35" s="463"/>
      <c r="AB35" s="463"/>
      <c r="AC35" s="463"/>
      <c r="AD35" s="464"/>
      <c r="AE35" s="465"/>
      <c r="AF35" s="463"/>
      <c r="AG35" s="463"/>
      <c r="AH35" s="463"/>
      <c r="AI35" s="463"/>
      <c r="AJ35" s="464"/>
      <c r="AK35" s="465"/>
      <c r="AL35" s="463"/>
      <c r="AM35" s="463"/>
      <c r="AN35" s="463"/>
      <c r="AO35" s="463"/>
      <c r="AP35" s="464"/>
      <c r="AQ35" s="465"/>
      <c r="AR35" s="463"/>
      <c r="AS35" s="463"/>
      <c r="AT35" s="463"/>
      <c r="AU35" s="463"/>
      <c r="AV35" s="464"/>
      <c r="AW35" s="465"/>
      <c r="AX35" s="463"/>
      <c r="AY35" s="463"/>
      <c r="AZ35" s="463"/>
      <c r="BA35" s="463"/>
      <c r="BB35" s="464"/>
      <c r="BC35" s="465"/>
      <c r="BD35" s="463"/>
      <c r="BE35" s="463"/>
      <c r="BF35" s="463"/>
      <c r="BG35" s="463"/>
      <c r="BH35" s="464"/>
      <c r="BI35" s="465"/>
      <c r="BJ35" s="463"/>
      <c r="BK35" s="463"/>
      <c r="BL35" s="463"/>
      <c r="BM35" s="463"/>
      <c r="BN35" s="464"/>
      <c r="BO35" s="465"/>
      <c r="BP35" s="463"/>
      <c r="BQ35" s="463"/>
      <c r="BR35" s="463"/>
      <c r="BS35" s="463"/>
      <c r="BT35" s="464"/>
      <c r="BU35" s="465"/>
      <c r="BV35" s="463"/>
      <c r="BW35" s="463"/>
      <c r="BX35" s="463"/>
      <c r="BY35" s="463"/>
      <c r="BZ35" s="464"/>
      <c r="CA35" s="465"/>
      <c r="CB35" s="463"/>
      <c r="CC35" s="463"/>
      <c r="CD35" s="463"/>
      <c r="CE35" s="463"/>
      <c r="CF35" s="464"/>
      <c r="CG35" s="465"/>
      <c r="CH35" s="463"/>
      <c r="CI35" s="463"/>
      <c r="CJ35" s="463"/>
      <c r="CK35" s="463"/>
      <c r="CL35" s="464"/>
      <c r="CM35" s="465"/>
      <c r="CN35" s="463"/>
      <c r="CO35" s="463"/>
      <c r="CP35" s="463"/>
      <c r="CQ35" s="463"/>
      <c r="CR35" s="464"/>
      <c r="CS35" s="465"/>
      <c r="CT35" s="463"/>
      <c r="CU35" s="463"/>
      <c r="CV35" s="463"/>
      <c r="CW35" s="463"/>
      <c r="CX35" s="464"/>
      <c r="CY35" s="465"/>
      <c r="CZ35" s="463"/>
      <c r="DA35" s="463"/>
      <c r="DB35" s="463"/>
      <c r="DC35" s="463"/>
      <c r="DD35" s="464"/>
      <c r="DE35" s="465"/>
      <c r="DF35" s="463"/>
      <c r="DG35" s="463"/>
      <c r="DH35" s="463"/>
      <c r="DI35" s="463"/>
      <c r="DJ35" s="464"/>
      <c r="DK35" s="465"/>
      <c r="DL35" s="463"/>
      <c r="DM35" s="463"/>
      <c r="DN35" s="463"/>
      <c r="DO35" s="463"/>
      <c r="DP35" s="464"/>
      <c r="DQ35" s="465"/>
      <c r="DR35" s="463"/>
      <c r="DS35" s="463"/>
      <c r="DT35" s="463"/>
      <c r="DU35" s="463"/>
      <c r="DV35" s="464"/>
      <c r="DW35" s="465"/>
      <c r="DX35" s="463"/>
      <c r="DY35" s="463"/>
      <c r="DZ35" s="463"/>
      <c r="EA35" s="463"/>
      <c r="EB35" s="464"/>
      <c r="EC35" s="465"/>
      <c r="ED35" s="463"/>
      <c r="EE35" s="463"/>
      <c r="EF35" s="463"/>
      <c r="EG35" s="463"/>
      <c r="EH35" s="464"/>
      <c r="EI35" s="465"/>
      <c r="EJ35" s="463"/>
      <c r="EK35" s="463"/>
      <c r="EL35" s="463"/>
      <c r="EM35" s="463"/>
      <c r="EN35" s="464"/>
      <c r="EO35" s="465"/>
      <c r="EP35" s="463"/>
      <c r="EQ35" s="463"/>
      <c r="ER35" s="463"/>
      <c r="ES35" s="463"/>
      <c r="ET35" s="464"/>
      <c r="EU35" s="465"/>
      <c r="EV35" s="463"/>
      <c r="EW35" s="463"/>
      <c r="EX35" s="463"/>
      <c r="EY35" s="463"/>
      <c r="EZ35" s="464"/>
      <c r="FA35" s="465"/>
      <c r="FB35" s="463"/>
      <c r="FC35" s="463"/>
      <c r="FD35" s="463"/>
      <c r="FE35" s="463"/>
      <c r="FF35" s="464"/>
      <c r="FG35" s="465"/>
      <c r="FH35" s="463"/>
      <c r="FI35" s="463"/>
      <c r="FJ35" s="463"/>
      <c r="FK35" s="463"/>
      <c r="FL35" s="464"/>
      <c r="FM35" s="465"/>
      <c r="FN35" s="463"/>
      <c r="FO35" s="463"/>
      <c r="FP35" s="463"/>
      <c r="FQ35" s="463"/>
      <c r="FR35" s="464"/>
      <c r="FS35" s="465"/>
      <c r="FT35" s="463"/>
      <c r="FU35" s="463"/>
      <c r="FV35" s="463"/>
      <c r="FW35" s="463"/>
      <c r="FX35" s="464"/>
      <c r="FY35" s="465"/>
      <c r="FZ35" s="463"/>
      <c r="GA35" s="463"/>
      <c r="GB35" s="463"/>
      <c r="GC35" s="463"/>
      <c r="GD35" s="464"/>
      <c r="GE35" s="465"/>
      <c r="GF35" s="463"/>
      <c r="GG35" s="463"/>
      <c r="GH35" s="463"/>
      <c r="GI35" s="463"/>
      <c r="GJ35" s="464"/>
      <c r="GK35" s="465"/>
      <c r="GL35" s="463"/>
      <c r="GM35" s="463"/>
      <c r="GN35" s="463"/>
      <c r="GO35" s="463"/>
      <c r="GP35" s="464"/>
      <c r="GQ35" s="465"/>
      <c r="GR35" s="463"/>
      <c r="GS35" s="463"/>
      <c r="GT35" s="463"/>
      <c r="GU35" s="463"/>
      <c r="GV35" s="464"/>
      <c r="GW35" s="465"/>
      <c r="GX35" s="463"/>
      <c r="GY35" s="463"/>
      <c r="GZ35" s="463"/>
      <c r="HA35" s="463"/>
      <c r="HB35" s="464"/>
      <c r="HC35" s="465"/>
      <c r="HD35" s="463"/>
      <c r="HE35" s="463"/>
      <c r="HF35" s="463"/>
      <c r="HG35" s="463"/>
      <c r="HH35" s="464"/>
      <c r="HI35" s="465"/>
      <c r="HJ35" s="463"/>
      <c r="HK35" s="463"/>
      <c r="HL35" s="463"/>
      <c r="HM35" s="463"/>
      <c r="HN35" s="464"/>
      <c r="HO35" s="465"/>
      <c r="HP35" s="463"/>
      <c r="HQ35" s="463"/>
      <c r="HR35" s="463"/>
      <c r="HS35" s="463"/>
      <c r="HT35" s="464"/>
      <c r="HU35" s="465"/>
      <c r="HV35" s="463"/>
      <c r="HW35" s="463"/>
      <c r="HX35" s="463"/>
      <c r="HY35" s="463"/>
      <c r="HZ35" s="464"/>
      <c r="IA35" s="465"/>
      <c r="IB35" s="463"/>
      <c r="IC35" s="463"/>
      <c r="ID35" s="463"/>
      <c r="IE35" s="463"/>
      <c r="IF35" s="464"/>
      <c r="IG35" s="465"/>
      <c r="IH35" s="463"/>
      <c r="II35" s="463"/>
      <c r="IJ35" s="463"/>
    </row>
    <row r="36" spans="1:244" ht="27.75" customHeight="1" x14ac:dyDescent="0.25">
      <c r="A36" s="457">
        <v>33</v>
      </c>
      <c r="B36" s="677" t="s">
        <v>446</v>
      </c>
      <c r="C36" s="678" t="s">
        <v>447</v>
      </c>
      <c r="D36" s="678" t="s">
        <v>448</v>
      </c>
      <c r="E36" s="679">
        <v>0</v>
      </c>
      <c r="F36" s="680" t="s">
        <v>352</v>
      </c>
      <c r="G36" s="681">
        <v>0</v>
      </c>
      <c r="H36" s="679">
        <v>17</v>
      </c>
      <c r="I36" s="680" t="s">
        <v>352</v>
      </c>
      <c r="J36" s="681">
        <v>7.62</v>
      </c>
      <c r="K36" s="682">
        <f t="shared" si="0"/>
        <v>347.62</v>
      </c>
      <c r="L36" s="683">
        <v>8.4</v>
      </c>
      <c r="M36" s="684">
        <f t="shared" si="1"/>
        <v>2920</v>
      </c>
      <c r="N36" s="685">
        <f>5.5+5.23</f>
        <v>10.73</v>
      </c>
      <c r="O36" s="684">
        <f t="shared" si="2"/>
        <v>2930.73</v>
      </c>
      <c r="P36" s="686">
        <v>347.62</v>
      </c>
      <c r="Q36" s="687">
        <f t="shared" si="3"/>
        <v>0</v>
      </c>
      <c r="R36" s="464"/>
      <c r="S36" s="465"/>
      <c r="T36" s="463"/>
      <c r="U36" s="463"/>
      <c r="V36" s="689"/>
      <c r="X36" s="645"/>
      <c r="Y36" s="465"/>
      <c r="Z36" s="463"/>
      <c r="AA36" s="463"/>
      <c r="AB36" s="463"/>
      <c r="AC36" s="463"/>
      <c r="AD36" s="464"/>
      <c r="AE36" s="465"/>
      <c r="AF36" s="463"/>
      <c r="AG36" s="463"/>
      <c r="AH36" s="463"/>
      <c r="AI36" s="463"/>
      <c r="AJ36" s="464"/>
      <c r="AK36" s="465"/>
      <c r="AL36" s="463"/>
      <c r="AM36" s="463"/>
      <c r="AN36" s="463"/>
      <c r="AO36" s="463"/>
      <c r="AP36" s="464"/>
      <c r="AQ36" s="465"/>
      <c r="AR36" s="463"/>
      <c r="AS36" s="463"/>
      <c r="AT36" s="463"/>
      <c r="AU36" s="463"/>
      <c r="AV36" s="464"/>
      <c r="AW36" s="465"/>
      <c r="AX36" s="463"/>
      <c r="AY36" s="463"/>
      <c r="AZ36" s="463"/>
      <c r="BA36" s="463"/>
      <c r="BB36" s="464"/>
      <c r="BC36" s="465"/>
      <c r="BD36" s="463"/>
      <c r="BE36" s="463"/>
      <c r="BF36" s="463"/>
      <c r="BG36" s="463"/>
      <c r="BH36" s="464"/>
      <c r="BI36" s="465"/>
      <c r="BJ36" s="463"/>
      <c r="BK36" s="463"/>
      <c r="BL36" s="463"/>
      <c r="BM36" s="463"/>
      <c r="BN36" s="464"/>
      <c r="BO36" s="465"/>
      <c r="BP36" s="463"/>
      <c r="BQ36" s="463"/>
      <c r="BR36" s="463"/>
      <c r="BS36" s="463"/>
      <c r="BT36" s="464"/>
      <c r="BU36" s="465"/>
      <c r="BV36" s="463"/>
      <c r="BW36" s="463"/>
      <c r="BX36" s="463"/>
      <c r="BY36" s="463"/>
      <c r="BZ36" s="464"/>
      <c r="CA36" s="465"/>
      <c r="CB36" s="463"/>
      <c r="CC36" s="463"/>
      <c r="CD36" s="463"/>
      <c r="CE36" s="463"/>
      <c r="CF36" s="464"/>
      <c r="CG36" s="465"/>
      <c r="CH36" s="463"/>
      <c r="CI36" s="463"/>
      <c r="CJ36" s="463"/>
      <c r="CK36" s="463"/>
      <c r="CL36" s="464"/>
      <c r="CM36" s="465"/>
      <c r="CN36" s="463"/>
      <c r="CO36" s="463"/>
      <c r="CP36" s="463"/>
      <c r="CQ36" s="463"/>
      <c r="CR36" s="464"/>
      <c r="CS36" s="465"/>
      <c r="CT36" s="463"/>
      <c r="CU36" s="463"/>
      <c r="CV36" s="463"/>
      <c r="CW36" s="463"/>
      <c r="CX36" s="464"/>
      <c r="CY36" s="465"/>
      <c r="CZ36" s="463"/>
      <c r="DA36" s="463"/>
      <c r="DB36" s="463"/>
      <c r="DC36" s="463"/>
      <c r="DD36" s="464"/>
      <c r="DE36" s="465"/>
      <c r="DF36" s="463"/>
      <c r="DG36" s="463"/>
      <c r="DH36" s="463"/>
      <c r="DI36" s="463"/>
      <c r="DJ36" s="464"/>
      <c r="DK36" s="465"/>
      <c r="DL36" s="463"/>
      <c r="DM36" s="463"/>
      <c r="DN36" s="463"/>
      <c r="DO36" s="463"/>
      <c r="DP36" s="464"/>
      <c r="DQ36" s="465"/>
      <c r="DR36" s="463"/>
      <c r="DS36" s="463"/>
      <c r="DT36" s="463"/>
      <c r="DU36" s="463"/>
      <c r="DV36" s="464"/>
      <c r="DW36" s="465"/>
      <c r="DX36" s="463"/>
      <c r="DY36" s="463"/>
      <c r="DZ36" s="463"/>
      <c r="EA36" s="463"/>
      <c r="EB36" s="464"/>
      <c r="EC36" s="465"/>
      <c r="ED36" s="463"/>
      <c r="EE36" s="463"/>
      <c r="EF36" s="463"/>
      <c r="EG36" s="463"/>
      <c r="EH36" s="464"/>
      <c r="EI36" s="465"/>
      <c r="EJ36" s="463"/>
      <c r="EK36" s="463"/>
      <c r="EL36" s="463"/>
      <c r="EM36" s="463"/>
      <c r="EN36" s="464"/>
      <c r="EO36" s="465"/>
      <c r="EP36" s="463"/>
      <c r="EQ36" s="463"/>
      <c r="ER36" s="463"/>
      <c r="ES36" s="463"/>
      <c r="ET36" s="464"/>
      <c r="EU36" s="465"/>
      <c r="EV36" s="463"/>
      <c r="EW36" s="463"/>
      <c r="EX36" s="463"/>
      <c r="EY36" s="463"/>
      <c r="EZ36" s="464"/>
      <c r="FA36" s="465"/>
      <c r="FB36" s="463"/>
      <c r="FC36" s="463"/>
      <c r="FD36" s="463"/>
      <c r="FE36" s="463"/>
      <c r="FF36" s="464"/>
      <c r="FG36" s="465"/>
      <c r="FH36" s="463"/>
      <c r="FI36" s="463"/>
      <c r="FJ36" s="463"/>
      <c r="FK36" s="463"/>
      <c r="FL36" s="464"/>
      <c r="FM36" s="465"/>
      <c r="FN36" s="463"/>
      <c r="FO36" s="463"/>
      <c r="FP36" s="463"/>
      <c r="FQ36" s="463"/>
      <c r="FR36" s="464"/>
      <c r="FS36" s="465"/>
      <c r="FT36" s="463"/>
      <c r="FU36" s="463"/>
      <c r="FV36" s="463"/>
      <c r="FW36" s="463"/>
      <c r="FX36" s="464"/>
      <c r="FY36" s="465"/>
      <c r="FZ36" s="463"/>
      <c r="GA36" s="463"/>
      <c r="GB36" s="463"/>
      <c r="GC36" s="463"/>
      <c r="GD36" s="464"/>
      <c r="GE36" s="465"/>
      <c r="GF36" s="463"/>
      <c r="GG36" s="463"/>
      <c r="GH36" s="463"/>
      <c r="GI36" s="463"/>
      <c r="GJ36" s="464"/>
      <c r="GK36" s="465"/>
      <c r="GL36" s="463"/>
      <c r="GM36" s="463"/>
      <c r="GN36" s="463"/>
      <c r="GO36" s="463"/>
      <c r="GP36" s="464"/>
      <c r="GQ36" s="465"/>
      <c r="GR36" s="463"/>
      <c r="GS36" s="463"/>
      <c r="GT36" s="463"/>
      <c r="GU36" s="463"/>
      <c r="GV36" s="464"/>
      <c r="GW36" s="465"/>
      <c r="GX36" s="463"/>
      <c r="GY36" s="463"/>
      <c r="GZ36" s="463"/>
      <c r="HA36" s="463"/>
      <c r="HB36" s="464"/>
      <c r="HC36" s="465"/>
      <c r="HD36" s="463"/>
      <c r="HE36" s="463"/>
      <c r="HF36" s="463"/>
      <c r="HG36" s="463"/>
      <c r="HH36" s="464"/>
      <c r="HI36" s="465"/>
      <c r="HJ36" s="463"/>
      <c r="HK36" s="463"/>
      <c r="HL36" s="463"/>
      <c r="HM36" s="463"/>
      <c r="HN36" s="464"/>
      <c r="HO36" s="465"/>
      <c r="HP36" s="463"/>
      <c r="HQ36" s="463"/>
      <c r="HR36" s="463"/>
      <c r="HS36" s="463"/>
      <c r="HT36" s="464"/>
      <c r="HU36" s="465"/>
      <c r="HV36" s="463"/>
      <c r="HW36" s="463"/>
      <c r="HX36" s="463"/>
      <c r="HY36" s="463"/>
      <c r="HZ36" s="464"/>
      <c r="IA36" s="465"/>
      <c r="IB36" s="463"/>
      <c r="IC36" s="463"/>
      <c r="ID36" s="463"/>
      <c r="IE36" s="463"/>
      <c r="IF36" s="464"/>
      <c r="IG36" s="465"/>
      <c r="IH36" s="463"/>
      <c r="II36" s="463"/>
      <c r="IJ36" s="463"/>
    </row>
    <row r="37" spans="1:244" ht="27.75" customHeight="1" x14ac:dyDescent="0.25">
      <c r="A37" s="457">
        <v>34</v>
      </c>
      <c r="B37" s="677" t="s">
        <v>449</v>
      </c>
      <c r="C37" s="678" t="s">
        <v>450</v>
      </c>
      <c r="D37" s="678" t="s">
        <v>451</v>
      </c>
      <c r="E37" s="679">
        <v>0</v>
      </c>
      <c r="F37" s="680" t="s">
        <v>352</v>
      </c>
      <c r="G37" s="681">
        <v>0</v>
      </c>
      <c r="H37" s="679">
        <v>25</v>
      </c>
      <c r="I37" s="680" t="s">
        <v>352</v>
      </c>
      <c r="J37" s="681">
        <v>1.609</v>
      </c>
      <c r="K37" s="682">
        <f t="shared" si="0"/>
        <v>501.6</v>
      </c>
      <c r="L37" s="683">
        <v>6.4</v>
      </c>
      <c r="M37" s="684">
        <f t="shared" si="1"/>
        <v>3210.24</v>
      </c>
      <c r="N37" s="685">
        <f>5.66+5.09+5.29+5.44</f>
        <v>21.48</v>
      </c>
      <c r="O37" s="684">
        <f t="shared" si="2"/>
        <v>3231.72</v>
      </c>
      <c r="P37" s="686">
        <v>501.60899999999998</v>
      </c>
      <c r="Q37" s="687">
        <f t="shared" si="3"/>
        <v>8.9999999999577085E-3</v>
      </c>
      <c r="R37" s="464"/>
      <c r="S37" s="465"/>
      <c r="T37" s="463"/>
      <c r="U37" s="463"/>
      <c r="V37" s="689"/>
      <c r="X37" s="645"/>
      <c r="Y37" s="465"/>
      <c r="Z37" s="463"/>
      <c r="AA37" s="463"/>
      <c r="AB37" s="463"/>
      <c r="AC37" s="463"/>
      <c r="AD37" s="464"/>
      <c r="AE37" s="465"/>
      <c r="AF37" s="463"/>
      <c r="AG37" s="463"/>
      <c r="AH37" s="463"/>
      <c r="AI37" s="463"/>
      <c r="AJ37" s="464"/>
      <c r="AK37" s="465"/>
      <c r="AL37" s="463"/>
      <c r="AM37" s="463"/>
      <c r="AN37" s="463"/>
      <c r="AO37" s="463"/>
      <c r="AP37" s="464"/>
      <c r="AQ37" s="465"/>
      <c r="AR37" s="463"/>
      <c r="AS37" s="463"/>
      <c r="AT37" s="463"/>
      <c r="AU37" s="463"/>
      <c r="AV37" s="464"/>
      <c r="AW37" s="465"/>
      <c r="AX37" s="463"/>
      <c r="AY37" s="463"/>
      <c r="AZ37" s="463"/>
      <c r="BA37" s="463"/>
      <c r="BB37" s="464"/>
      <c r="BC37" s="465"/>
      <c r="BD37" s="463"/>
      <c r="BE37" s="463"/>
      <c r="BF37" s="463"/>
      <c r="BG37" s="463"/>
      <c r="BH37" s="464"/>
      <c r="BI37" s="465"/>
      <c r="BJ37" s="463"/>
      <c r="BK37" s="463"/>
      <c r="BL37" s="463"/>
      <c r="BM37" s="463"/>
      <c r="BN37" s="464"/>
      <c r="BO37" s="465"/>
      <c r="BP37" s="463"/>
      <c r="BQ37" s="463"/>
      <c r="BR37" s="463"/>
      <c r="BS37" s="463"/>
      <c r="BT37" s="464"/>
      <c r="BU37" s="465"/>
      <c r="BV37" s="463"/>
      <c r="BW37" s="463"/>
      <c r="BX37" s="463"/>
      <c r="BY37" s="463"/>
      <c r="BZ37" s="464"/>
      <c r="CA37" s="465"/>
      <c r="CB37" s="463"/>
      <c r="CC37" s="463"/>
      <c r="CD37" s="463"/>
      <c r="CE37" s="463"/>
      <c r="CF37" s="464"/>
      <c r="CG37" s="465"/>
      <c r="CH37" s="463"/>
      <c r="CI37" s="463"/>
      <c r="CJ37" s="463"/>
      <c r="CK37" s="463"/>
      <c r="CL37" s="464"/>
      <c r="CM37" s="465"/>
      <c r="CN37" s="463"/>
      <c r="CO37" s="463"/>
      <c r="CP37" s="463"/>
      <c r="CQ37" s="463"/>
      <c r="CR37" s="464"/>
      <c r="CS37" s="465"/>
      <c r="CT37" s="463"/>
      <c r="CU37" s="463"/>
      <c r="CV37" s="463"/>
      <c r="CW37" s="463"/>
      <c r="CX37" s="464"/>
      <c r="CY37" s="465"/>
      <c r="CZ37" s="463"/>
      <c r="DA37" s="463"/>
      <c r="DB37" s="463"/>
      <c r="DC37" s="463"/>
      <c r="DD37" s="464"/>
      <c r="DE37" s="465"/>
      <c r="DF37" s="463"/>
      <c r="DG37" s="463"/>
      <c r="DH37" s="463"/>
      <c r="DI37" s="463"/>
      <c r="DJ37" s="464"/>
      <c r="DK37" s="465"/>
      <c r="DL37" s="463"/>
      <c r="DM37" s="463"/>
      <c r="DN37" s="463"/>
      <c r="DO37" s="463"/>
      <c r="DP37" s="464"/>
      <c r="DQ37" s="465"/>
      <c r="DR37" s="463"/>
      <c r="DS37" s="463"/>
      <c r="DT37" s="463"/>
      <c r="DU37" s="463"/>
      <c r="DV37" s="464"/>
      <c r="DW37" s="465"/>
      <c r="DX37" s="463"/>
      <c r="DY37" s="463"/>
      <c r="DZ37" s="463"/>
      <c r="EA37" s="463"/>
      <c r="EB37" s="464"/>
      <c r="EC37" s="465"/>
      <c r="ED37" s="463"/>
      <c r="EE37" s="463"/>
      <c r="EF37" s="463"/>
      <c r="EG37" s="463"/>
      <c r="EH37" s="464"/>
      <c r="EI37" s="465"/>
      <c r="EJ37" s="463"/>
      <c r="EK37" s="463"/>
      <c r="EL37" s="463"/>
      <c r="EM37" s="463"/>
      <c r="EN37" s="464"/>
      <c r="EO37" s="465"/>
      <c r="EP37" s="463"/>
      <c r="EQ37" s="463"/>
      <c r="ER37" s="463"/>
      <c r="ES37" s="463"/>
      <c r="ET37" s="464"/>
      <c r="EU37" s="465"/>
      <c r="EV37" s="463"/>
      <c r="EW37" s="463"/>
      <c r="EX37" s="463"/>
      <c r="EY37" s="463"/>
      <c r="EZ37" s="464"/>
      <c r="FA37" s="465"/>
      <c r="FB37" s="463"/>
      <c r="FC37" s="463"/>
      <c r="FD37" s="463"/>
      <c r="FE37" s="463"/>
      <c r="FF37" s="464"/>
      <c r="FG37" s="465"/>
      <c r="FH37" s="463"/>
      <c r="FI37" s="463"/>
      <c r="FJ37" s="463"/>
      <c r="FK37" s="463"/>
      <c r="FL37" s="464"/>
      <c r="FM37" s="465"/>
      <c r="FN37" s="463"/>
      <c r="FO37" s="463"/>
      <c r="FP37" s="463"/>
      <c r="FQ37" s="463"/>
      <c r="FR37" s="464"/>
      <c r="FS37" s="465"/>
      <c r="FT37" s="463"/>
      <c r="FU37" s="463"/>
      <c r="FV37" s="463"/>
      <c r="FW37" s="463"/>
      <c r="FX37" s="464"/>
      <c r="FY37" s="465"/>
      <c r="FZ37" s="463"/>
      <c r="GA37" s="463"/>
      <c r="GB37" s="463"/>
      <c r="GC37" s="463"/>
      <c r="GD37" s="464"/>
      <c r="GE37" s="465"/>
      <c r="GF37" s="463"/>
      <c r="GG37" s="463"/>
      <c r="GH37" s="463"/>
      <c r="GI37" s="463"/>
      <c r="GJ37" s="464"/>
      <c r="GK37" s="465"/>
      <c r="GL37" s="463"/>
      <c r="GM37" s="463"/>
      <c r="GN37" s="463"/>
      <c r="GO37" s="463"/>
      <c r="GP37" s="464"/>
      <c r="GQ37" s="465"/>
      <c r="GR37" s="463"/>
      <c r="GS37" s="463"/>
      <c r="GT37" s="463"/>
      <c r="GU37" s="463"/>
      <c r="GV37" s="464"/>
      <c r="GW37" s="465"/>
      <c r="GX37" s="463"/>
      <c r="GY37" s="463"/>
      <c r="GZ37" s="463"/>
      <c r="HA37" s="463"/>
      <c r="HB37" s="464"/>
      <c r="HC37" s="465"/>
      <c r="HD37" s="463"/>
      <c r="HE37" s="463"/>
      <c r="HF37" s="463"/>
      <c r="HG37" s="463"/>
      <c r="HH37" s="464"/>
      <c r="HI37" s="465"/>
      <c r="HJ37" s="463"/>
      <c r="HK37" s="463"/>
      <c r="HL37" s="463"/>
      <c r="HM37" s="463"/>
      <c r="HN37" s="464"/>
      <c r="HO37" s="465"/>
      <c r="HP37" s="463"/>
      <c r="HQ37" s="463"/>
      <c r="HR37" s="463"/>
      <c r="HS37" s="463"/>
      <c r="HT37" s="464"/>
      <c r="HU37" s="465"/>
      <c r="HV37" s="463"/>
      <c r="HW37" s="463"/>
      <c r="HX37" s="463"/>
      <c r="HY37" s="463"/>
      <c r="HZ37" s="464"/>
      <c r="IA37" s="465"/>
      <c r="IB37" s="463"/>
      <c r="IC37" s="463"/>
      <c r="ID37" s="463"/>
      <c r="IE37" s="463"/>
      <c r="IF37" s="464"/>
      <c r="IG37" s="465"/>
      <c r="IH37" s="463"/>
      <c r="II37" s="463"/>
      <c r="IJ37" s="463"/>
    </row>
    <row r="38" spans="1:244" ht="27.75" customHeight="1" x14ac:dyDescent="0.25">
      <c r="A38" s="457">
        <v>35</v>
      </c>
      <c r="B38" s="677" t="s">
        <v>452</v>
      </c>
      <c r="C38" s="678" t="s">
        <v>453</v>
      </c>
      <c r="D38" s="678" t="s">
        <v>454</v>
      </c>
      <c r="E38" s="679">
        <v>0</v>
      </c>
      <c r="F38" s="680" t="s">
        <v>352</v>
      </c>
      <c r="G38" s="681">
        <v>0</v>
      </c>
      <c r="H38" s="679">
        <v>1</v>
      </c>
      <c r="I38" s="680" t="s">
        <v>352</v>
      </c>
      <c r="J38" s="681">
        <v>15.363</v>
      </c>
      <c r="K38" s="682">
        <f t="shared" si="0"/>
        <v>35.36</v>
      </c>
      <c r="L38" s="683">
        <v>6.4</v>
      </c>
      <c r="M38" s="684">
        <f t="shared" si="1"/>
        <v>226.3</v>
      </c>
      <c r="N38" s="685">
        <f>5.03+5.48+5.25+5.71</f>
        <v>21.470000000000002</v>
      </c>
      <c r="O38" s="684">
        <f t="shared" si="2"/>
        <v>247.77</v>
      </c>
      <c r="P38" s="686">
        <v>35.363</v>
      </c>
      <c r="Q38" s="687">
        <f t="shared" si="3"/>
        <v>3.0000000000001137E-3</v>
      </c>
      <c r="R38" s="464"/>
      <c r="S38" s="465"/>
      <c r="T38" s="463"/>
      <c r="U38" s="463"/>
      <c r="V38" s="463"/>
      <c r="W38" s="463"/>
      <c r="X38" s="464"/>
      <c r="Y38" s="465"/>
      <c r="Z38" s="463"/>
      <c r="AA38" s="463"/>
      <c r="AB38" s="463"/>
      <c r="AC38" s="463"/>
      <c r="AD38" s="464"/>
      <c r="AE38" s="465"/>
      <c r="AF38" s="463"/>
      <c r="AG38" s="463"/>
      <c r="AH38" s="463"/>
      <c r="AI38" s="463"/>
      <c r="AJ38" s="464"/>
      <c r="AK38" s="465"/>
      <c r="AL38" s="463"/>
      <c r="AM38" s="463"/>
      <c r="AN38" s="463"/>
      <c r="AO38" s="463"/>
      <c r="AP38" s="464"/>
      <c r="AQ38" s="465"/>
      <c r="AR38" s="463"/>
      <c r="AS38" s="463"/>
      <c r="AT38" s="463"/>
      <c r="AU38" s="463"/>
      <c r="AV38" s="464"/>
      <c r="AW38" s="465"/>
      <c r="AX38" s="463"/>
      <c r="AY38" s="463"/>
      <c r="AZ38" s="463"/>
      <c r="BA38" s="463"/>
      <c r="BB38" s="464"/>
      <c r="BC38" s="465"/>
      <c r="BD38" s="463"/>
      <c r="BE38" s="463"/>
      <c r="BF38" s="463"/>
      <c r="BG38" s="463"/>
      <c r="BH38" s="464"/>
      <c r="BI38" s="465"/>
      <c r="BJ38" s="463"/>
      <c r="BK38" s="463"/>
      <c r="BL38" s="463"/>
      <c r="BM38" s="463"/>
      <c r="BN38" s="464"/>
      <c r="BO38" s="465"/>
      <c r="BP38" s="463"/>
      <c r="BQ38" s="463"/>
      <c r="BR38" s="463"/>
      <c r="BS38" s="463"/>
      <c r="BT38" s="464"/>
      <c r="BU38" s="465"/>
      <c r="BV38" s="463"/>
      <c r="BW38" s="463"/>
      <c r="BX38" s="463"/>
      <c r="BY38" s="463"/>
      <c r="BZ38" s="464"/>
      <c r="CA38" s="465"/>
      <c r="CB38" s="463"/>
      <c r="CC38" s="463"/>
      <c r="CD38" s="463"/>
      <c r="CE38" s="463"/>
      <c r="CF38" s="464"/>
      <c r="CG38" s="465"/>
      <c r="CH38" s="463"/>
      <c r="CI38" s="463"/>
      <c r="CJ38" s="463"/>
      <c r="CK38" s="463"/>
      <c r="CL38" s="464"/>
      <c r="CM38" s="465"/>
      <c r="CN38" s="463"/>
      <c r="CO38" s="463"/>
      <c r="CP38" s="463"/>
      <c r="CQ38" s="463"/>
      <c r="CR38" s="464"/>
      <c r="CS38" s="465"/>
      <c r="CT38" s="463"/>
      <c r="CU38" s="463"/>
      <c r="CV38" s="463"/>
      <c r="CW38" s="463"/>
      <c r="CX38" s="464"/>
      <c r="CY38" s="465"/>
      <c r="CZ38" s="463"/>
      <c r="DA38" s="463"/>
      <c r="DB38" s="463"/>
      <c r="DC38" s="463"/>
      <c r="DD38" s="464"/>
      <c r="DE38" s="465"/>
      <c r="DF38" s="463"/>
      <c r="DG38" s="463"/>
      <c r="DH38" s="463"/>
      <c r="DI38" s="463"/>
      <c r="DJ38" s="464"/>
      <c r="DK38" s="465"/>
      <c r="DL38" s="463"/>
      <c r="DM38" s="463"/>
      <c r="DN38" s="463"/>
      <c r="DO38" s="463"/>
      <c r="DP38" s="464"/>
      <c r="DQ38" s="465"/>
      <c r="DR38" s="463"/>
      <c r="DS38" s="463"/>
      <c r="DT38" s="463"/>
      <c r="DU38" s="463"/>
      <c r="DV38" s="464"/>
      <c r="DW38" s="465"/>
      <c r="DX38" s="463"/>
      <c r="DY38" s="463"/>
      <c r="DZ38" s="463"/>
      <c r="EA38" s="463"/>
      <c r="EB38" s="464"/>
      <c r="EC38" s="465"/>
      <c r="ED38" s="463"/>
      <c r="EE38" s="463"/>
      <c r="EF38" s="463"/>
      <c r="EG38" s="463"/>
      <c r="EH38" s="464"/>
      <c r="EI38" s="465"/>
      <c r="EJ38" s="463"/>
      <c r="EK38" s="463"/>
      <c r="EL38" s="463"/>
      <c r="EM38" s="463"/>
      <c r="EN38" s="464"/>
      <c r="EO38" s="465"/>
      <c r="EP38" s="463"/>
      <c r="EQ38" s="463"/>
      <c r="ER38" s="463"/>
      <c r="ES38" s="463"/>
      <c r="ET38" s="464"/>
      <c r="EU38" s="465"/>
      <c r="EV38" s="463"/>
      <c r="EW38" s="463"/>
      <c r="EX38" s="463"/>
      <c r="EY38" s="463"/>
      <c r="EZ38" s="464"/>
      <c r="FA38" s="465"/>
      <c r="FB38" s="463"/>
      <c r="FC38" s="463"/>
      <c r="FD38" s="463"/>
      <c r="FE38" s="463"/>
      <c r="FF38" s="464"/>
      <c r="FG38" s="465"/>
      <c r="FH38" s="463"/>
      <c r="FI38" s="463"/>
      <c r="FJ38" s="463"/>
      <c r="FK38" s="463"/>
      <c r="FL38" s="464"/>
      <c r="FM38" s="465"/>
      <c r="FN38" s="463"/>
      <c r="FO38" s="463"/>
      <c r="FP38" s="463"/>
      <c r="FQ38" s="463"/>
      <c r="FR38" s="464"/>
      <c r="FS38" s="465"/>
      <c r="FT38" s="463"/>
      <c r="FU38" s="463"/>
      <c r="FV38" s="463"/>
      <c r="FW38" s="463"/>
      <c r="FX38" s="464"/>
      <c r="FY38" s="465"/>
      <c r="FZ38" s="463"/>
      <c r="GA38" s="463"/>
      <c r="GB38" s="463"/>
      <c r="GC38" s="463"/>
      <c r="GD38" s="464"/>
      <c r="GE38" s="465"/>
      <c r="GF38" s="463"/>
      <c r="GG38" s="463"/>
      <c r="GH38" s="463"/>
      <c r="GI38" s="463"/>
      <c r="GJ38" s="464"/>
      <c r="GK38" s="465"/>
      <c r="GL38" s="463"/>
      <c r="GM38" s="463"/>
      <c r="GN38" s="463"/>
      <c r="GO38" s="463"/>
      <c r="GP38" s="464"/>
      <c r="GQ38" s="465"/>
      <c r="GR38" s="463"/>
      <c r="GS38" s="463"/>
      <c r="GT38" s="463"/>
      <c r="GU38" s="463"/>
      <c r="GV38" s="464"/>
      <c r="GW38" s="465"/>
      <c r="GX38" s="463"/>
      <c r="GY38" s="463"/>
      <c r="GZ38" s="463"/>
      <c r="HA38" s="463"/>
      <c r="HB38" s="464"/>
      <c r="HC38" s="465"/>
      <c r="HD38" s="463"/>
      <c r="HE38" s="463"/>
      <c r="HF38" s="463"/>
      <c r="HG38" s="463"/>
      <c r="HH38" s="464"/>
      <c r="HI38" s="465"/>
      <c r="HJ38" s="463"/>
      <c r="HK38" s="463"/>
      <c r="HL38" s="463"/>
      <c r="HM38" s="463"/>
      <c r="HN38" s="464"/>
      <c r="HO38" s="465"/>
      <c r="HP38" s="463"/>
      <c r="HQ38" s="463"/>
      <c r="HR38" s="463"/>
      <c r="HS38" s="463"/>
      <c r="HT38" s="464"/>
      <c r="HU38" s="465"/>
      <c r="HV38" s="463"/>
      <c r="HW38" s="463"/>
      <c r="HX38" s="463"/>
      <c r="HY38" s="463"/>
      <c r="HZ38" s="464"/>
      <c r="IA38" s="465"/>
      <c r="IB38" s="463"/>
      <c r="IC38" s="463"/>
      <c r="ID38" s="463"/>
      <c r="IE38" s="463"/>
      <c r="IF38" s="464"/>
      <c r="IG38" s="465"/>
      <c r="IH38" s="463"/>
      <c r="II38" s="463"/>
      <c r="IJ38" s="463"/>
    </row>
    <row r="39" spans="1:244" ht="27.75" customHeight="1" x14ac:dyDescent="0.25">
      <c r="A39" s="457">
        <v>36</v>
      </c>
      <c r="B39" s="677" t="s">
        <v>455</v>
      </c>
      <c r="C39" s="678" t="s">
        <v>456</v>
      </c>
      <c r="D39" s="678" t="s">
        <v>457</v>
      </c>
      <c r="E39" s="679">
        <v>0</v>
      </c>
      <c r="F39" s="680" t="s">
        <v>352</v>
      </c>
      <c r="G39" s="681">
        <v>0</v>
      </c>
      <c r="H39" s="679">
        <v>6</v>
      </c>
      <c r="I39" s="680" t="s">
        <v>352</v>
      </c>
      <c r="J39" s="681">
        <v>18.956</v>
      </c>
      <c r="K39" s="682">
        <f t="shared" si="0"/>
        <v>138.94999999999999</v>
      </c>
      <c r="L39" s="683">
        <v>6.4</v>
      </c>
      <c r="M39" s="684">
        <f t="shared" si="1"/>
        <v>889.28</v>
      </c>
      <c r="N39" s="685">
        <f>4.89+5.86+6.76+4.23</f>
        <v>21.74</v>
      </c>
      <c r="O39" s="684">
        <f t="shared" si="2"/>
        <v>911.02</v>
      </c>
      <c r="P39" s="686">
        <v>138.95599999999999</v>
      </c>
      <c r="Q39" s="687">
        <f t="shared" si="3"/>
        <v>6.0000000000002274E-3</v>
      </c>
      <c r="R39" s="464"/>
      <c r="S39" s="465"/>
      <c r="T39" s="660">
        <f>5903.366-K45</f>
        <v>0.19599999999991269</v>
      </c>
      <c r="U39" s="463"/>
      <c r="V39" s="463"/>
      <c r="W39" s="463"/>
      <c r="X39" s="464"/>
      <c r="Y39" s="465"/>
      <c r="Z39" s="463"/>
      <c r="AA39" s="463"/>
      <c r="AB39" s="463"/>
      <c r="AC39" s="463"/>
      <c r="AD39" s="464"/>
      <c r="AE39" s="465"/>
      <c r="AF39" s="463"/>
      <c r="AG39" s="463"/>
      <c r="AH39" s="463"/>
      <c r="AI39" s="463"/>
      <c r="AJ39" s="464"/>
      <c r="AK39" s="465"/>
      <c r="AL39" s="463"/>
      <c r="AM39" s="463"/>
      <c r="AN39" s="463"/>
      <c r="AO39" s="463"/>
      <c r="AP39" s="464"/>
      <c r="AQ39" s="465"/>
      <c r="AR39" s="463"/>
      <c r="AS39" s="463"/>
      <c r="AT39" s="463"/>
      <c r="AU39" s="463"/>
      <c r="AV39" s="464"/>
      <c r="AW39" s="465"/>
      <c r="AX39" s="463"/>
      <c r="AY39" s="463"/>
      <c r="AZ39" s="463"/>
      <c r="BA39" s="463"/>
      <c r="BB39" s="464"/>
      <c r="BC39" s="465"/>
      <c r="BD39" s="463"/>
      <c r="BE39" s="463"/>
      <c r="BF39" s="463"/>
      <c r="BG39" s="463"/>
      <c r="BH39" s="464"/>
      <c r="BI39" s="465"/>
      <c r="BJ39" s="463"/>
      <c r="BK39" s="463"/>
      <c r="BL39" s="463"/>
      <c r="BM39" s="463"/>
      <c r="BN39" s="464"/>
      <c r="BO39" s="465"/>
      <c r="BP39" s="463"/>
      <c r="BQ39" s="463"/>
      <c r="BR39" s="463"/>
      <c r="BS39" s="463"/>
      <c r="BT39" s="464"/>
      <c r="BU39" s="465"/>
      <c r="BV39" s="463"/>
      <c r="BW39" s="463"/>
      <c r="BX39" s="463"/>
      <c r="BY39" s="463"/>
      <c r="BZ39" s="464"/>
      <c r="CA39" s="465"/>
      <c r="CB39" s="463"/>
      <c r="CC39" s="463"/>
      <c r="CD39" s="463"/>
      <c r="CE39" s="463"/>
      <c r="CF39" s="464"/>
      <c r="CG39" s="465"/>
      <c r="CH39" s="463"/>
      <c r="CI39" s="463"/>
      <c r="CJ39" s="463"/>
      <c r="CK39" s="463"/>
      <c r="CL39" s="464"/>
      <c r="CM39" s="465"/>
      <c r="CN39" s="463"/>
      <c r="CO39" s="463"/>
      <c r="CP39" s="463"/>
      <c r="CQ39" s="463"/>
      <c r="CR39" s="464"/>
      <c r="CS39" s="465"/>
      <c r="CT39" s="463"/>
      <c r="CU39" s="463"/>
      <c r="CV39" s="463"/>
      <c r="CW39" s="463"/>
      <c r="CX39" s="464"/>
      <c r="CY39" s="465"/>
      <c r="CZ39" s="463"/>
      <c r="DA39" s="463"/>
      <c r="DB39" s="463"/>
      <c r="DC39" s="463"/>
      <c r="DD39" s="464"/>
      <c r="DE39" s="465"/>
      <c r="DF39" s="463"/>
      <c r="DG39" s="463"/>
      <c r="DH39" s="463"/>
      <c r="DI39" s="463"/>
      <c r="DJ39" s="464"/>
      <c r="DK39" s="465"/>
      <c r="DL39" s="463"/>
      <c r="DM39" s="463"/>
      <c r="DN39" s="463"/>
      <c r="DO39" s="463"/>
      <c r="DP39" s="464"/>
      <c r="DQ39" s="465"/>
      <c r="DR39" s="463"/>
      <c r="DS39" s="463"/>
      <c r="DT39" s="463"/>
      <c r="DU39" s="463"/>
      <c r="DV39" s="464"/>
      <c r="DW39" s="465"/>
      <c r="DX39" s="463"/>
      <c r="DY39" s="463"/>
      <c r="DZ39" s="463"/>
      <c r="EA39" s="463"/>
      <c r="EB39" s="464"/>
      <c r="EC39" s="465"/>
      <c r="ED39" s="463"/>
      <c r="EE39" s="463"/>
      <c r="EF39" s="463"/>
      <c r="EG39" s="463"/>
      <c r="EH39" s="464"/>
      <c r="EI39" s="465"/>
      <c r="EJ39" s="463"/>
      <c r="EK39" s="463"/>
      <c r="EL39" s="463"/>
      <c r="EM39" s="463"/>
      <c r="EN39" s="464"/>
      <c r="EO39" s="465"/>
      <c r="EP39" s="463"/>
      <c r="EQ39" s="463"/>
      <c r="ER39" s="463"/>
      <c r="ES39" s="463"/>
      <c r="ET39" s="464"/>
      <c r="EU39" s="465"/>
      <c r="EV39" s="463"/>
      <c r="EW39" s="463"/>
      <c r="EX39" s="463"/>
      <c r="EY39" s="463"/>
      <c r="EZ39" s="464"/>
      <c r="FA39" s="465"/>
      <c r="FB39" s="463"/>
      <c r="FC39" s="463"/>
      <c r="FD39" s="463"/>
      <c r="FE39" s="463"/>
      <c r="FF39" s="464"/>
      <c r="FG39" s="465"/>
      <c r="FH39" s="463"/>
      <c r="FI39" s="463"/>
      <c r="FJ39" s="463"/>
      <c r="FK39" s="463"/>
      <c r="FL39" s="464"/>
      <c r="FM39" s="465"/>
      <c r="FN39" s="463"/>
      <c r="FO39" s="463"/>
      <c r="FP39" s="463"/>
      <c r="FQ39" s="463"/>
      <c r="FR39" s="464"/>
      <c r="FS39" s="465"/>
      <c r="FT39" s="463"/>
      <c r="FU39" s="463"/>
      <c r="FV39" s="463"/>
      <c r="FW39" s="463"/>
      <c r="FX39" s="464"/>
      <c r="FY39" s="465"/>
      <c r="FZ39" s="463"/>
      <c r="GA39" s="463"/>
      <c r="GB39" s="463"/>
      <c r="GC39" s="463"/>
      <c r="GD39" s="464"/>
      <c r="GE39" s="465"/>
      <c r="GF39" s="463"/>
      <c r="GG39" s="463"/>
      <c r="GH39" s="463"/>
      <c r="GI39" s="463"/>
      <c r="GJ39" s="464"/>
      <c r="GK39" s="465"/>
      <c r="GL39" s="463"/>
      <c r="GM39" s="463"/>
      <c r="GN39" s="463"/>
      <c r="GO39" s="463"/>
      <c r="GP39" s="464"/>
      <c r="GQ39" s="465"/>
      <c r="GR39" s="463"/>
      <c r="GS39" s="463"/>
      <c r="GT39" s="463"/>
      <c r="GU39" s="463"/>
      <c r="GV39" s="464"/>
      <c r="GW39" s="465"/>
      <c r="GX39" s="463"/>
      <c r="GY39" s="463"/>
      <c r="GZ39" s="463"/>
      <c r="HA39" s="463"/>
      <c r="HB39" s="464"/>
      <c r="HC39" s="465"/>
      <c r="HD39" s="463"/>
      <c r="HE39" s="463"/>
      <c r="HF39" s="463"/>
      <c r="HG39" s="463"/>
      <c r="HH39" s="464"/>
      <c r="HI39" s="465"/>
      <c r="HJ39" s="463"/>
      <c r="HK39" s="463"/>
      <c r="HL39" s="463"/>
      <c r="HM39" s="463"/>
      <c r="HN39" s="464"/>
      <c r="HO39" s="465"/>
      <c r="HP39" s="463"/>
      <c r="HQ39" s="463"/>
      <c r="HR39" s="463"/>
      <c r="HS39" s="463"/>
      <c r="HT39" s="464"/>
      <c r="HU39" s="465"/>
      <c r="HV39" s="463"/>
      <c r="HW39" s="463"/>
      <c r="HX39" s="463"/>
      <c r="HY39" s="463"/>
      <c r="HZ39" s="464"/>
      <c r="IA39" s="465"/>
      <c r="IB39" s="463"/>
      <c r="IC39" s="463"/>
      <c r="ID39" s="463"/>
      <c r="IE39" s="463"/>
      <c r="IF39" s="464"/>
      <c r="IG39" s="465"/>
      <c r="IH39" s="463"/>
      <c r="II39" s="463"/>
      <c r="IJ39" s="463"/>
    </row>
    <row r="40" spans="1:244" ht="27.75" customHeight="1" x14ac:dyDescent="0.25">
      <c r="A40" s="457">
        <v>37</v>
      </c>
      <c r="B40" s="677" t="s">
        <v>458</v>
      </c>
      <c r="C40" s="678" t="s">
        <v>459</v>
      </c>
      <c r="D40" s="678" t="s">
        <v>460</v>
      </c>
      <c r="E40" s="679">
        <v>0</v>
      </c>
      <c r="F40" s="680" t="s">
        <v>352</v>
      </c>
      <c r="G40" s="681">
        <v>0</v>
      </c>
      <c r="H40" s="679">
        <v>3</v>
      </c>
      <c r="I40" s="680" t="s">
        <v>352</v>
      </c>
      <c r="J40" s="681">
        <v>18.402000000000001</v>
      </c>
      <c r="K40" s="682">
        <f t="shared" si="0"/>
        <v>78.400000000000006</v>
      </c>
      <c r="L40" s="683">
        <v>6.4</v>
      </c>
      <c r="M40" s="684">
        <f t="shared" si="1"/>
        <v>501.76</v>
      </c>
      <c r="N40" s="685">
        <f>5.28+5.45+5.26+5.47</f>
        <v>21.46</v>
      </c>
      <c r="O40" s="684">
        <f t="shared" si="2"/>
        <v>523.22</v>
      </c>
      <c r="P40" s="686">
        <v>78.402000000000001</v>
      </c>
      <c r="Q40" s="687">
        <f t="shared" si="3"/>
        <v>1.9999999999953388E-3</v>
      </c>
      <c r="R40" s="464"/>
      <c r="S40" s="465"/>
      <c r="T40" s="463">
        <f>T32/T39</f>
        <v>29.270408163283395</v>
      </c>
      <c r="U40" s="463"/>
      <c r="V40" s="463"/>
      <c r="W40" s="463"/>
      <c r="X40" s="464"/>
      <c r="Y40" s="465"/>
      <c r="Z40" s="463"/>
      <c r="AA40" s="463"/>
      <c r="AB40" s="463"/>
      <c r="AC40" s="463"/>
      <c r="AD40" s="464"/>
      <c r="AE40" s="465"/>
      <c r="AF40" s="463"/>
      <c r="AG40" s="463"/>
      <c r="AH40" s="463"/>
      <c r="AI40" s="463"/>
      <c r="AJ40" s="464"/>
      <c r="AK40" s="465"/>
      <c r="AL40" s="463"/>
      <c r="AM40" s="463"/>
      <c r="AN40" s="463"/>
      <c r="AO40" s="463"/>
      <c r="AP40" s="464"/>
      <c r="AQ40" s="465"/>
      <c r="AR40" s="463"/>
      <c r="AS40" s="463"/>
      <c r="AT40" s="463"/>
      <c r="AU40" s="463"/>
      <c r="AV40" s="464"/>
      <c r="AW40" s="465"/>
      <c r="AX40" s="463"/>
      <c r="AY40" s="463"/>
      <c r="AZ40" s="463"/>
      <c r="BA40" s="463"/>
      <c r="BB40" s="464"/>
      <c r="BC40" s="465"/>
      <c r="BD40" s="463"/>
      <c r="BE40" s="463"/>
      <c r="BF40" s="463"/>
      <c r="BG40" s="463"/>
      <c r="BH40" s="464"/>
      <c r="BI40" s="465"/>
      <c r="BJ40" s="463"/>
      <c r="BK40" s="463"/>
      <c r="BL40" s="463"/>
      <c r="BM40" s="463"/>
      <c r="BN40" s="464"/>
      <c r="BO40" s="465"/>
      <c r="BP40" s="463"/>
      <c r="BQ40" s="463"/>
      <c r="BR40" s="463"/>
      <c r="BS40" s="463"/>
      <c r="BT40" s="464"/>
      <c r="BU40" s="465"/>
      <c r="BV40" s="463"/>
      <c r="BW40" s="463"/>
      <c r="BX40" s="463"/>
      <c r="BY40" s="463"/>
      <c r="BZ40" s="464"/>
      <c r="CA40" s="465"/>
      <c r="CB40" s="463"/>
      <c r="CC40" s="463"/>
      <c r="CD40" s="463"/>
      <c r="CE40" s="463"/>
      <c r="CF40" s="464"/>
      <c r="CG40" s="465"/>
      <c r="CH40" s="463"/>
      <c r="CI40" s="463"/>
      <c r="CJ40" s="463"/>
      <c r="CK40" s="463"/>
      <c r="CL40" s="464"/>
      <c r="CM40" s="465"/>
      <c r="CN40" s="463"/>
      <c r="CO40" s="463"/>
      <c r="CP40" s="463"/>
      <c r="CQ40" s="463"/>
      <c r="CR40" s="464"/>
      <c r="CS40" s="465"/>
      <c r="CT40" s="463"/>
      <c r="CU40" s="463"/>
      <c r="CV40" s="463"/>
      <c r="CW40" s="463"/>
      <c r="CX40" s="464"/>
      <c r="CY40" s="465"/>
      <c r="CZ40" s="463"/>
      <c r="DA40" s="463"/>
      <c r="DB40" s="463"/>
      <c r="DC40" s="463"/>
      <c r="DD40" s="464"/>
      <c r="DE40" s="465"/>
      <c r="DF40" s="463"/>
      <c r="DG40" s="463"/>
      <c r="DH40" s="463"/>
      <c r="DI40" s="463"/>
      <c r="DJ40" s="464"/>
      <c r="DK40" s="465"/>
      <c r="DL40" s="463"/>
      <c r="DM40" s="463"/>
      <c r="DN40" s="463"/>
      <c r="DO40" s="463"/>
      <c r="DP40" s="464"/>
      <c r="DQ40" s="465"/>
      <c r="DR40" s="463"/>
      <c r="DS40" s="463"/>
      <c r="DT40" s="463"/>
      <c r="DU40" s="463"/>
      <c r="DV40" s="464"/>
      <c r="DW40" s="465"/>
      <c r="DX40" s="463"/>
      <c r="DY40" s="463"/>
      <c r="DZ40" s="463"/>
      <c r="EA40" s="463"/>
      <c r="EB40" s="464"/>
      <c r="EC40" s="465"/>
      <c r="ED40" s="463"/>
      <c r="EE40" s="463"/>
      <c r="EF40" s="463"/>
      <c r="EG40" s="463"/>
      <c r="EH40" s="464"/>
      <c r="EI40" s="465"/>
      <c r="EJ40" s="463"/>
      <c r="EK40" s="463"/>
      <c r="EL40" s="463"/>
      <c r="EM40" s="463"/>
      <c r="EN40" s="464"/>
      <c r="EO40" s="465"/>
      <c r="EP40" s="463"/>
      <c r="EQ40" s="463"/>
      <c r="ER40" s="463"/>
      <c r="ES40" s="463"/>
      <c r="ET40" s="464"/>
      <c r="EU40" s="465"/>
      <c r="EV40" s="463"/>
      <c r="EW40" s="463"/>
      <c r="EX40" s="463"/>
      <c r="EY40" s="463"/>
      <c r="EZ40" s="464"/>
      <c r="FA40" s="465"/>
      <c r="FB40" s="463"/>
      <c r="FC40" s="463"/>
      <c r="FD40" s="463"/>
      <c r="FE40" s="463"/>
      <c r="FF40" s="464"/>
      <c r="FG40" s="465"/>
      <c r="FH40" s="463"/>
      <c r="FI40" s="463"/>
      <c r="FJ40" s="463"/>
      <c r="FK40" s="463"/>
      <c r="FL40" s="464"/>
      <c r="FM40" s="465"/>
      <c r="FN40" s="463"/>
      <c r="FO40" s="463"/>
      <c r="FP40" s="463"/>
      <c r="FQ40" s="463"/>
      <c r="FR40" s="464"/>
      <c r="FS40" s="465"/>
      <c r="FT40" s="463"/>
      <c r="FU40" s="463"/>
      <c r="FV40" s="463"/>
      <c r="FW40" s="463"/>
      <c r="FX40" s="464"/>
      <c r="FY40" s="465"/>
      <c r="FZ40" s="463"/>
      <c r="GA40" s="463"/>
      <c r="GB40" s="463"/>
      <c r="GC40" s="463"/>
      <c r="GD40" s="464"/>
      <c r="GE40" s="465"/>
      <c r="GF40" s="463"/>
      <c r="GG40" s="463"/>
      <c r="GH40" s="463"/>
      <c r="GI40" s="463"/>
      <c r="GJ40" s="464"/>
      <c r="GK40" s="465"/>
      <c r="GL40" s="463"/>
      <c r="GM40" s="463"/>
      <c r="GN40" s="463"/>
      <c r="GO40" s="463"/>
      <c r="GP40" s="464"/>
      <c r="GQ40" s="465"/>
      <c r="GR40" s="463"/>
      <c r="GS40" s="463"/>
      <c r="GT40" s="463"/>
      <c r="GU40" s="463"/>
      <c r="GV40" s="464"/>
      <c r="GW40" s="465"/>
      <c r="GX40" s="463"/>
      <c r="GY40" s="463"/>
      <c r="GZ40" s="463"/>
      <c r="HA40" s="463"/>
      <c r="HB40" s="464"/>
      <c r="HC40" s="465"/>
      <c r="HD40" s="463"/>
      <c r="HE40" s="463"/>
      <c r="HF40" s="463"/>
      <c r="HG40" s="463"/>
      <c r="HH40" s="464"/>
      <c r="HI40" s="465"/>
      <c r="HJ40" s="463"/>
      <c r="HK40" s="463"/>
      <c r="HL40" s="463"/>
      <c r="HM40" s="463"/>
      <c r="HN40" s="464"/>
      <c r="HO40" s="465"/>
      <c r="HP40" s="463"/>
      <c r="HQ40" s="463"/>
      <c r="HR40" s="463"/>
      <c r="HS40" s="463"/>
      <c r="HT40" s="464"/>
      <c r="HU40" s="465"/>
      <c r="HV40" s="463"/>
      <c r="HW40" s="463"/>
      <c r="HX40" s="463"/>
      <c r="HY40" s="463"/>
      <c r="HZ40" s="464"/>
      <c r="IA40" s="465"/>
      <c r="IB40" s="463"/>
      <c r="IC40" s="463"/>
      <c r="ID40" s="463"/>
      <c r="IE40" s="463"/>
      <c r="IF40" s="464"/>
      <c r="IG40" s="465"/>
      <c r="IH40" s="463"/>
      <c r="II40" s="463"/>
      <c r="IJ40" s="463"/>
    </row>
    <row r="41" spans="1:244" ht="27.75" customHeight="1" x14ac:dyDescent="0.25">
      <c r="A41" s="457">
        <v>38</v>
      </c>
      <c r="B41" s="677" t="s">
        <v>461</v>
      </c>
      <c r="C41" s="678" t="s">
        <v>462</v>
      </c>
      <c r="D41" s="678" t="s">
        <v>463</v>
      </c>
      <c r="E41" s="679">
        <v>0</v>
      </c>
      <c r="F41" s="680" t="s">
        <v>352</v>
      </c>
      <c r="G41" s="681">
        <v>0</v>
      </c>
      <c r="H41" s="679">
        <v>39</v>
      </c>
      <c r="I41" s="680" t="s">
        <v>352</v>
      </c>
      <c r="J41" s="681">
        <v>7.2389999999999999</v>
      </c>
      <c r="K41" s="682">
        <f t="shared" si="0"/>
        <v>787.23</v>
      </c>
      <c r="L41" s="683">
        <v>6.4</v>
      </c>
      <c r="M41" s="684">
        <f t="shared" si="1"/>
        <v>5038.2700000000004</v>
      </c>
      <c r="N41" s="685">
        <f>6.23+40.23</f>
        <v>46.459999999999994</v>
      </c>
      <c r="O41" s="684">
        <f t="shared" si="2"/>
        <v>5084.7299999999996</v>
      </c>
      <c r="P41" s="686">
        <v>787.23800000000006</v>
      </c>
      <c r="Q41" s="687">
        <f t="shared" si="3"/>
        <v>8.0000000000381988E-3</v>
      </c>
      <c r="R41" s="464"/>
      <c r="S41" s="465"/>
      <c r="T41" s="463"/>
      <c r="U41" s="463"/>
      <c r="V41" s="463"/>
      <c r="W41" s="463"/>
      <c r="X41" s="464"/>
      <c r="Y41" s="465"/>
      <c r="Z41" s="463"/>
      <c r="AA41" s="463"/>
      <c r="AB41" s="463"/>
      <c r="AC41" s="463"/>
      <c r="AD41" s="464"/>
      <c r="AE41" s="465"/>
      <c r="AF41" s="463"/>
      <c r="AG41" s="463"/>
      <c r="AH41" s="463"/>
      <c r="AI41" s="463"/>
      <c r="AJ41" s="464"/>
      <c r="AK41" s="465"/>
      <c r="AL41" s="463"/>
      <c r="AM41" s="463"/>
      <c r="AN41" s="463"/>
      <c r="AO41" s="463"/>
      <c r="AP41" s="464"/>
      <c r="AQ41" s="465"/>
      <c r="AR41" s="463"/>
      <c r="AS41" s="463"/>
      <c r="AT41" s="463"/>
      <c r="AU41" s="463"/>
      <c r="AV41" s="464"/>
      <c r="AW41" s="465"/>
      <c r="AX41" s="463"/>
      <c r="AY41" s="463"/>
      <c r="AZ41" s="463"/>
      <c r="BA41" s="463"/>
      <c r="BB41" s="464"/>
      <c r="BC41" s="465"/>
      <c r="BD41" s="463"/>
      <c r="BE41" s="463"/>
      <c r="BF41" s="463"/>
      <c r="BG41" s="463"/>
      <c r="BH41" s="464"/>
      <c r="BI41" s="465"/>
      <c r="BJ41" s="463"/>
      <c r="BK41" s="463"/>
      <c r="BL41" s="463"/>
      <c r="BM41" s="463"/>
      <c r="BN41" s="464"/>
      <c r="BO41" s="465"/>
      <c r="BP41" s="463"/>
      <c r="BQ41" s="463"/>
      <c r="BR41" s="463"/>
      <c r="BS41" s="463"/>
      <c r="BT41" s="464"/>
      <c r="BU41" s="465"/>
      <c r="BV41" s="463"/>
      <c r="BW41" s="463"/>
      <c r="BX41" s="463"/>
      <c r="BY41" s="463"/>
      <c r="BZ41" s="464"/>
      <c r="CA41" s="465"/>
      <c r="CB41" s="463"/>
      <c r="CC41" s="463"/>
      <c r="CD41" s="463"/>
      <c r="CE41" s="463"/>
      <c r="CF41" s="464"/>
      <c r="CG41" s="465"/>
      <c r="CH41" s="463"/>
      <c r="CI41" s="463"/>
      <c r="CJ41" s="463"/>
      <c r="CK41" s="463"/>
      <c r="CL41" s="464"/>
      <c r="CM41" s="465"/>
      <c r="CN41" s="463"/>
      <c r="CO41" s="463"/>
      <c r="CP41" s="463"/>
      <c r="CQ41" s="463"/>
      <c r="CR41" s="464"/>
      <c r="CS41" s="465"/>
      <c r="CT41" s="463"/>
      <c r="CU41" s="463"/>
      <c r="CV41" s="463"/>
      <c r="CW41" s="463"/>
      <c r="CX41" s="464"/>
      <c r="CY41" s="465"/>
      <c r="CZ41" s="463"/>
      <c r="DA41" s="463"/>
      <c r="DB41" s="463"/>
      <c r="DC41" s="463"/>
      <c r="DD41" s="464"/>
      <c r="DE41" s="465"/>
      <c r="DF41" s="463"/>
      <c r="DG41" s="463"/>
      <c r="DH41" s="463"/>
      <c r="DI41" s="463"/>
      <c r="DJ41" s="464"/>
      <c r="DK41" s="465"/>
      <c r="DL41" s="463"/>
      <c r="DM41" s="463"/>
      <c r="DN41" s="463"/>
      <c r="DO41" s="463"/>
      <c r="DP41" s="464"/>
      <c r="DQ41" s="465"/>
      <c r="DR41" s="463"/>
      <c r="DS41" s="463"/>
      <c r="DT41" s="463"/>
      <c r="DU41" s="463"/>
      <c r="DV41" s="464"/>
      <c r="DW41" s="465"/>
      <c r="DX41" s="463"/>
      <c r="DY41" s="463"/>
      <c r="DZ41" s="463"/>
      <c r="EA41" s="463"/>
      <c r="EB41" s="464"/>
      <c r="EC41" s="465"/>
      <c r="ED41" s="463"/>
      <c r="EE41" s="463"/>
      <c r="EF41" s="463"/>
      <c r="EG41" s="463"/>
      <c r="EH41" s="464"/>
      <c r="EI41" s="465"/>
      <c r="EJ41" s="463"/>
      <c r="EK41" s="463"/>
      <c r="EL41" s="463"/>
      <c r="EM41" s="463"/>
      <c r="EN41" s="464"/>
      <c r="EO41" s="465"/>
      <c r="EP41" s="463"/>
      <c r="EQ41" s="463"/>
      <c r="ER41" s="463"/>
      <c r="ES41" s="463"/>
      <c r="ET41" s="464"/>
      <c r="EU41" s="465"/>
      <c r="EV41" s="463"/>
      <c r="EW41" s="463"/>
      <c r="EX41" s="463"/>
      <c r="EY41" s="463"/>
      <c r="EZ41" s="464"/>
      <c r="FA41" s="465"/>
      <c r="FB41" s="463"/>
      <c r="FC41" s="463"/>
      <c r="FD41" s="463"/>
      <c r="FE41" s="463"/>
      <c r="FF41" s="464"/>
      <c r="FG41" s="465"/>
      <c r="FH41" s="463"/>
      <c r="FI41" s="463"/>
      <c r="FJ41" s="463"/>
      <c r="FK41" s="463"/>
      <c r="FL41" s="464"/>
      <c r="FM41" s="465"/>
      <c r="FN41" s="463"/>
      <c r="FO41" s="463"/>
      <c r="FP41" s="463"/>
      <c r="FQ41" s="463"/>
      <c r="FR41" s="464"/>
      <c r="FS41" s="465"/>
      <c r="FT41" s="463"/>
      <c r="FU41" s="463"/>
      <c r="FV41" s="463"/>
      <c r="FW41" s="463"/>
      <c r="FX41" s="464"/>
      <c r="FY41" s="465"/>
      <c r="FZ41" s="463"/>
      <c r="GA41" s="463"/>
      <c r="GB41" s="463"/>
      <c r="GC41" s="463"/>
      <c r="GD41" s="464"/>
      <c r="GE41" s="465"/>
      <c r="GF41" s="463"/>
      <c r="GG41" s="463"/>
      <c r="GH41" s="463"/>
      <c r="GI41" s="463"/>
      <c r="GJ41" s="464"/>
      <c r="GK41" s="465"/>
      <c r="GL41" s="463"/>
      <c r="GM41" s="463"/>
      <c r="GN41" s="463"/>
      <c r="GO41" s="463"/>
      <c r="GP41" s="464"/>
      <c r="GQ41" s="465"/>
      <c r="GR41" s="463"/>
      <c r="GS41" s="463"/>
      <c r="GT41" s="463"/>
      <c r="GU41" s="463"/>
      <c r="GV41" s="464"/>
      <c r="GW41" s="465"/>
      <c r="GX41" s="463"/>
      <c r="GY41" s="463"/>
      <c r="GZ41" s="463"/>
      <c r="HA41" s="463"/>
      <c r="HB41" s="464"/>
      <c r="HC41" s="465"/>
      <c r="HD41" s="463"/>
      <c r="HE41" s="463"/>
      <c r="HF41" s="463"/>
      <c r="HG41" s="463"/>
      <c r="HH41" s="464"/>
      <c r="HI41" s="465"/>
      <c r="HJ41" s="463"/>
      <c r="HK41" s="463"/>
      <c r="HL41" s="463"/>
      <c r="HM41" s="463"/>
      <c r="HN41" s="464"/>
      <c r="HO41" s="465"/>
      <c r="HP41" s="463"/>
      <c r="HQ41" s="463"/>
      <c r="HR41" s="463"/>
      <c r="HS41" s="463"/>
      <c r="HT41" s="464"/>
      <c r="HU41" s="465"/>
      <c r="HV41" s="463"/>
      <c r="HW41" s="463"/>
      <c r="HX41" s="463"/>
      <c r="HY41" s="463"/>
      <c r="HZ41" s="464"/>
      <c r="IA41" s="465"/>
      <c r="IB41" s="463"/>
      <c r="IC41" s="463"/>
      <c r="ID41" s="463"/>
      <c r="IE41" s="463"/>
      <c r="IF41" s="464"/>
      <c r="IG41" s="465"/>
      <c r="IH41" s="463"/>
      <c r="II41" s="463"/>
      <c r="IJ41" s="463"/>
    </row>
    <row r="42" spans="1:244" ht="27.75" customHeight="1" x14ac:dyDescent="0.25">
      <c r="A42" s="457">
        <v>39</v>
      </c>
      <c r="B42" s="677" t="s">
        <v>464</v>
      </c>
      <c r="C42" s="678" t="s">
        <v>465</v>
      </c>
      <c r="D42" s="678" t="s">
        <v>466</v>
      </c>
      <c r="E42" s="679">
        <v>0</v>
      </c>
      <c r="F42" s="680" t="s">
        <v>352</v>
      </c>
      <c r="G42" s="681">
        <v>0</v>
      </c>
      <c r="H42" s="679">
        <v>20</v>
      </c>
      <c r="I42" s="680" t="s">
        <v>352</v>
      </c>
      <c r="J42" s="681">
        <v>4.9370000000000003</v>
      </c>
      <c r="K42" s="682">
        <f t="shared" si="0"/>
        <v>404.93</v>
      </c>
      <c r="L42" s="683">
        <v>7</v>
      </c>
      <c r="M42" s="684">
        <f t="shared" si="1"/>
        <v>2834.51</v>
      </c>
      <c r="N42" s="685">
        <v>54.1</v>
      </c>
      <c r="O42" s="684">
        <f t="shared" si="2"/>
        <v>2888.61</v>
      </c>
      <c r="P42" s="686">
        <v>404.93700000000001</v>
      </c>
      <c r="Q42" s="687">
        <f t="shared" si="3"/>
        <v>7.0000000000050022E-3</v>
      </c>
      <c r="R42" s="464"/>
      <c r="S42" s="465"/>
      <c r="T42" s="463"/>
      <c r="U42" s="463"/>
      <c r="V42" s="463"/>
      <c r="W42" s="463"/>
      <c r="X42" s="464"/>
      <c r="Y42" s="465"/>
      <c r="Z42" s="463"/>
      <c r="AA42" s="463"/>
      <c r="AB42" s="463"/>
      <c r="AC42" s="463"/>
      <c r="AD42" s="464"/>
      <c r="AE42" s="465"/>
      <c r="AF42" s="463"/>
      <c r="AG42" s="463"/>
      <c r="AH42" s="463"/>
      <c r="AI42" s="463"/>
      <c r="AJ42" s="464"/>
      <c r="AK42" s="465"/>
      <c r="AL42" s="463"/>
      <c r="AM42" s="463"/>
      <c r="AN42" s="463"/>
      <c r="AO42" s="463"/>
      <c r="AP42" s="464"/>
      <c r="AQ42" s="465"/>
      <c r="AR42" s="463"/>
      <c r="AS42" s="463"/>
      <c r="AT42" s="463"/>
      <c r="AU42" s="463"/>
      <c r="AV42" s="464"/>
      <c r="AW42" s="465"/>
      <c r="AX42" s="463"/>
      <c r="AY42" s="463"/>
      <c r="AZ42" s="463"/>
      <c r="BA42" s="463"/>
      <c r="BB42" s="464"/>
      <c r="BC42" s="465"/>
      <c r="BD42" s="463"/>
      <c r="BE42" s="463"/>
      <c r="BF42" s="463"/>
      <c r="BG42" s="463"/>
      <c r="BH42" s="464"/>
      <c r="BI42" s="465"/>
      <c r="BJ42" s="463"/>
      <c r="BK42" s="463"/>
      <c r="BL42" s="463"/>
      <c r="BM42" s="463"/>
      <c r="BN42" s="464"/>
      <c r="BO42" s="465"/>
      <c r="BP42" s="463"/>
      <c r="BQ42" s="463"/>
      <c r="BR42" s="463"/>
      <c r="BS42" s="463"/>
      <c r="BT42" s="464"/>
      <c r="BU42" s="465"/>
      <c r="BV42" s="463"/>
      <c r="BW42" s="463"/>
      <c r="BX42" s="463"/>
      <c r="BY42" s="463"/>
      <c r="BZ42" s="464"/>
      <c r="CA42" s="465"/>
      <c r="CB42" s="463"/>
      <c r="CC42" s="463"/>
      <c r="CD42" s="463"/>
      <c r="CE42" s="463"/>
      <c r="CF42" s="464"/>
      <c r="CG42" s="465"/>
      <c r="CH42" s="463"/>
      <c r="CI42" s="463"/>
      <c r="CJ42" s="463"/>
      <c r="CK42" s="463"/>
      <c r="CL42" s="464"/>
      <c r="CM42" s="465"/>
      <c r="CN42" s="463"/>
      <c r="CO42" s="463"/>
      <c r="CP42" s="463"/>
      <c r="CQ42" s="463"/>
      <c r="CR42" s="464"/>
      <c r="CS42" s="465"/>
      <c r="CT42" s="463"/>
      <c r="CU42" s="463"/>
      <c r="CV42" s="463"/>
      <c r="CW42" s="463"/>
      <c r="CX42" s="464"/>
      <c r="CY42" s="465"/>
      <c r="CZ42" s="463"/>
      <c r="DA42" s="463"/>
      <c r="DB42" s="463"/>
      <c r="DC42" s="463"/>
      <c r="DD42" s="464"/>
      <c r="DE42" s="465"/>
      <c r="DF42" s="463"/>
      <c r="DG42" s="463"/>
      <c r="DH42" s="463"/>
      <c r="DI42" s="463"/>
      <c r="DJ42" s="464"/>
      <c r="DK42" s="465"/>
      <c r="DL42" s="463"/>
      <c r="DM42" s="463"/>
      <c r="DN42" s="463"/>
      <c r="DO42" s="463"/>
      <c r="DP42" s="464"/>
      <c r="DQ42" s="465"/>
      <c r="DR42" s="463"/>
      <c r="DS42" s="463"/>
      <c r="DT42" s="463"/>
      <c r="DU42" s="463"/>
      <c r="DV42" s="464"/>
      <c r="DW42" s="465"/>
      <c r="DX42" s="463"/>
      <c r="DY42" s="463"/>
      <c r="DZ42" s="463"/>
      <c r="EA42" s="463"/>
      <c r="EB42" s="464"/>
      <c r="EC42" s="465"/>
      <c r="ED42" s="463"/>
      <c r="EE42" s="463"/>
      <c r="EF42" s="463"/>
      <c r="EG42" s="463"/>
      <c r="EH42" s="464"/>
      <c r="EI42" s="465"/>
      <c r="EJ42" s="463"/>
      <c r="EK42" s="463"/>
      <c r="EL42" s="463"/>
      <c r="EM42" s="463"/>
      <c r="EN42" s="464"/>
      <c r="EO42" s="465"/>
      <c r="EP42" s="463"/>
      <c r="EQ42" s="463"/>
      <c r="ER42" s="463"/>
      <c r="ES42" s="463"/>
      <c r="ET42" s="464"/>
      <c r="EU42" s="465"/>
      <c r="EV42" s="463"/>
      <c r="EW42" s="463"/>
      <c r="EX42" s="463"/>
      <c r="EY42" s="463"/>
      <c r="EZ42" s="464"/>
      <c r="FA42" s="465"/>
      <c r="FB42" s="463"/>
      <c r="FC42" s="463"/>
      <c r="FD42" s="463"/>
      <c r="FE42" s="463"/>
      <c r="FF42" s="464"/>
      <c r="FG42" s="465"/>
      <c r="FH42" s="463"/>
      <c r="FI42" s="463"/>
      <c r="FJ42" s="463"/>
      <c r="FK42" s="463"/>
      <c r="FL42" s="464"/>
      <c r="FM42" s="465"/>
      <c r="FN42" s="463"/>
      <c r="FO42" s="463"/>
      <c r="FP42" s="463"/>
      <c r="FQ42" s="463"/>
      <c r="FR42" s="464"/>
      <c r="FS42" s="465"/>
      <c r="FT42" s="463"/>
      <c r="FU42" s="463"/>
      <c r="FV42" s="463"/>
      <c r="FW42" s="463"/>
      <c r="FX42" s="464"/>
      <c r="FY42" s="465"/>
      <c r="FZ42" s="463"/>
      <c r="GA42" s="463"/>
      <c r="GB42" s="463"/>
      <c r="GC42" s="463"/>
      <c r="GD42" s="464"/>
      <c r="GE42" s="465"/>
      <c r="GF42" s="463"/>
      <c r="GG42" s="463"/>
      <c r="GH42" s="463"/>
      <c r="GI42" s="463"/>
      <c r="GJ42" s="464"/>
      <c r="GK42" s="465"/>
      <c r="GL42" s="463"/>
      <c r="GM42" s="463"/>
      <c r="GN42" s="463"/>
      <c r="GO42" s="463"/>
      <c r="GP42" s="464"/>
      <c r="GQ42" s="465"/>
      <c r="GR42" s="463"/>
      <c r="GS42" s="463"/>
      <c r="GT42" s="463"/>
      <c r="GU42" s="463"/>
      <c r="GV42" s="464"/>
      <c r="GW42" s="465"/>
      <c r="GX42" s="463"/>
      <c r="GY42" s="463"/>
      <c r="GZ42" s="463"/>
      <c r="HA42" s="463"/>
      <c r="HB42" s="464"/>
      <c r="HC42" s="465"/>
      <c r="HD42" s="463"/>
      <c r="HE42" s="463"/>
      <c r="HF42" s="463"/>
      <c r="HG42" s="463"/>
      <c r="HH42" s="464"/>
      <c r="HI42" s="465"/>
      <c r="HJ42" s="463"/>
      <c r="HK42" s="463"/>
      <c r="HL42" s="463"/>
      <c r="HM42" s="463"/>
      <c r="HN42" s="464"/>
      <c r="HO42" s="465"/>
      <c r="HP42" s="463"/>
      <c r="HQ42" s="463"/>
      <c r="HR42" s="463"/>
      <c r="HS42" s="463"/>
      <c r="HT42" s="464"/>
      <c r="HU42" s="465"/>
      <c r="HV42" s="463"/>
      <c r="HW42" s="463"/>
      <c r="HX42" s="463"/>
      <c r="HY42" s="463"/>
      <c r="HZ42" s="464"/>
      <c r="IA42" s="465"/>
      <c r="IB42" s="463"/>
      <c r="IC42" s="463"/>
      <c r="ID42" s="463"/>
      <c r="IE42" s="463"/>
      <c r="IF42" s="464"/>
      <c r="IG42" s="465"/>
      <c r="IH42" s="463"/>
      <c r="II42" s="463"/>
      <c r="IJ42" s="463"/>
    </row>
    <row r="43" spans="1:244" ht="27.75" customHeight="1" x14ac:dyDescent="0.25">
      <c r="A43" s="457">
        <v>40</v>
      </c>
      <c r="B43" s="688" t="s">
        <v>467</v>
      </c>
      <c r="C43" s="678" t="s">
        <v>468</v>
      </c>
      <c r="D43" s="678" t="s">
        <v>469</v>
      </c>
      <c r="E43" s="690">
        <v>0</v>
      </c>
      <c r="F43" s="691" t="s">
        <v>352</v>
      </c>
      <c r="G43" s="692">
        <v>3.2069999999999999</v>
      </c>
      <c r="H43" s="690">
        <v>1</v>
      </c>
      <c r="I43" s="691" t="s">
        <v>352</v>
      </c>
      <c r="J43" s="692">
        <v>3.9129999999999998</v>
      </c>
      <c r="K43" s="693">
        <f t="shared" si="0"/>
        <v>20.7</v>
      </c>
      <c r="L43" s="694">
        <v>8</v>
      </c>
      <c r="M43" s="684">
        <f t="shared" si="1"/>
        <v>165.6</v>
      </c>
      <c r="N43" s="685">
        <f>5.52+6.24+5.83+4.66</f>
        <v>22.25</v>
      </c>
      <c r="O43" s="684">
        <f t="shared" si="2"/>
        <v>187.85</v>
      </c>
      <c r="P43" s="686">
        <v>20.706</v>
      </c>
      <c r="Q43" s="687">
        <f t="shared" si="3"/>
        <v>6.0000000000002274E-3</v>
      </c>
      <c r="R43" s="464"/>
      <c r="S43" s="465"/>
      <c r="T43" s="463"/>
      <c r="U43" s="463"/>
      <c r="V43" s="463"/>
      <c r="W43" s="463"/>
      <c r="X43" s="464"/>
      <c r="Y43" s="465"/>
      <c r="Z43" s="463"/>
      <c r="AA43" s="463"/>
      <c r="AB43" s="463"/>
      <c r="AC43" s="463"/>
      <c r="AD43" s="464"/>
      <c r="AE43" s="465"/>
      <c r="AF43" s="463"/>
      <c r="AG43" s="463"/>
      <c r="AH43" s="463"/>
      <c r="AI43" s="463"/>
      <c r="AJ43" s="464"/>
      <c r="AK43" s="465"/>
      <c r="AL43" s="463"/>
      <c r="AM43" s="463"/>
      <c r="AN43" s="463"/>
      <c r="AO43" s="463"/>
      <c r="AP43" s="464"/>
      <c r="AQ43" s="465"/>
      <c r="AR43" s="463"/>
      <c r="AS43" s="463"/>
      <c r="AT43" s="463"/>
      <c r="AU43" s="463"/>
      <c r="AV43" s="464"/>
      <c r="AW43" s="465"/>
      <c r="AX43" s="463"/>
      <c r="AY43" s="463"/>
      <c r="AZ43" s="463"/>
      <c r="BA43" s="463"/>
      <c r="BB43" s="464"/>
      <c r="BC43" s="465"/>
      <c r="BD43" s="463"/>
      <c r="BE43" s="463"/>
      <c r="BF43" s="463"/>
      <c r="BG43" s="463"/>
      <c r="BH43" s="464"/>
      <c r="BI43" s="465"/>
      <c r="BJ43" s="463"/>
      <c r="BK43" s="463"/>
      <c r="BL43" s="463"/>
      <c r="BM43" s="463"/>
      <c r="BN43" s="464"/>
      <c r="BO43" s="465"/>
      <c r="BP43" s="463"/>
      <c r="BQ43" s="463"/>
      <c r="BR43" s="463"/>
      <c r="BS43" s="463"/>
      <c r="BT43" s="464"/>
      <c r="BU43" s="465"/>
      <c r="BV43" s="463"/>
      <c r="BW43" s="463"/>
      <c r="BX43" s="463"/>
      <c r="BY43" s="463"/>
      <c r="BZ43" s="464"/>
      <c r="CA43" s="465"/>
      <c r="CB43" s="463"/>
      <c r="CC43" s="463"/>
      <c r="CD43" s="463"/>
      <c r="CE43" s="463"/>
      <c r="CF43" s="464"/>
      <c r="CG43" s="465"/>
      <c r="CH43" s="463"/>
      <c r="CI43" s="463"/>
      <c r="CJ43" s="463"/>
      <c r="CK43" s="463"/>
      <c r="CL43" s="464"/>
      <c r="CM43" s="465"/>
      <c r="CN43" s="463"/>
      <c r="CO43" s="463"/>
      <c r="CP43" s="463"/>
      <c r="CQ43" s="463"/>
      <c r="CR43" s="464"/>
      <c r="CS43" s="465"/>
      <c r="CT43" s="463"/>
      <c r="CU43" s="463"/>
      <c r="CV43" s="463"/>
      <c r="CW43" s="463"/>
      <c r="CX43" s="464"/>
      <c r="CY43" s="465"/>
      <c r="CZ43" s="463"/>
      <c r="DA43" s="463"/>
      <c r="DB43" s="463"/>
      <c r="DC43" s="463"/>
      <c r="DD43" s="464"/>
      <c r="DE43" s="465"/>
      <c r="DF43" s="463"/>
      <c r="DG43" s="463"/>
      <c r="DH43" s="463"/>
      <c r="DI43" s="463"/>
      <c r="DJ43" s="464"/>
      <c r="DK43" s="465"/>
      <c r="DL43" s="463"/>
      <c r="DM43" s="463"/>
      <c r="DN43" s="463"/>
      <c r="DO43" s="463"/>
      <c r="DP43" s="464"/>
      <c r="DQ43" s="465"/>
      <c r="DR43" s="463"/>
      <c r="DS43" s="463"/>
      <c r="DT43" s="463"/>
      <c r="DU43" s="463"/>
      <c r="DV43" s="464"/>
      <c r="DW43" s="465"/>
      <c r="DX43" s="463"/>
      <c r="DY43" s="463"/>
      <c r="DZ43" s="463"/>
      <c r="EA43" s="463"/>
      <c r="EB43" s="464"/>
      <c r="EC43" s="465"/>
      <c r="ED43" s="463"/>
      <c r="EE43" s="463"/>
      <c r="EF43" s="463"/>
      <c r="EG43" s="463"/>
      <c r="EH43" s="464"/>
      <c r="EI43" s="465"/>
      <c r="EJ43" s="463"/>
      <c r="EK43" s="463"/>
      <c r="EL43" s="463"/>
      <c r="EM43" s="463"/>
      <c r="EN43" s="464"/>
      <c r="EO43" s="465"/>
      <c r="EP43" s="463"/>
      <c r="EQ43" s="463"/>
      <c r="ER43" s="463"/>
      <c r="ES43" s="463"/>
      <c r="ET43" s="464"/>
      <c r="EU43" s="465"/>
      <c r="EV43" s="463"/>
      <c r="EW43" s="463"/>
      <c r="EX43" s="463"/>
      <c r="EY43" s="463"/>
      <c r="EZ43" s="464"/>
      <c r="FA43" s="465"/>
      <c r="FB43" s="463"/>
      <c r="FC43" s="463"/>
      <c r="FD43" s="463"/>
      <c r="FE43" s="463"/>
      <c r="FF43" s="464"/>
      <c r="FG43" s="465"/>
      <c r="FH43" s="463"/>
      <c r="FI43" s="463"/>
      <c r="FJ43" s="463"/>
      <c r="FK43" s="463"/>
      <c r="FL43" s="464"/>
      <c r="FM43" s="465"/>
      <c r="FN43" s="463"/>
      <c r="FO43" s="463"/>
      <c r="FP43" s="463"/>
      <c r="FQ43" s="463"/>
      <c r="FR43" s="464"/>
      <c r="FS43" s="465"/>
      <c r="FT43" s="463"/>
      <c r="FU43" s="463"/>
      <c r="FV43" s="463"/>
      <c r="FW43" s="463"/>
      <c r="FX43" s="464"/>
      <c r="FY43" s="465"/>
      <c r="FZ43" s="463"/>
      <c r="GA43" s="463"/>
      <c r="GB43" s="463"/>
      <c r="GC43" s="463"/>
      <c r="GD43" s="464"/>
      <c r="GE43" s="465"/>
      <c r="GF43" s="463"/>
      <c r="GG43" s="463"/>
      <c r="GH43" s="463"/>
      <c r="GI43" s="463"/>
      <c r="GJ43" s="464"/>
      <c r="GK43" s="465"/>
      <c r="GL43" s="463"/>
      <c r="GM43" s="463"/>
      <c r="GN43" s="463"/>
      <c r="GO43" s="463"/>
      <c r="GP43" s="464"/>
      <c r="GQ43" s="465"/>
      <c r="GR43" s="463"/>
      <c r="GS43" s="463"/>
      <c r="GT43" s="463"/>
      <c r="GU43" s="463"/>
      <c r="GV43" s="464"/>
      <c r="GW43" s="465"/>
      <c r="GX43" s="463"/>
      <c r="GY43" s="463"/>
      <c r="GZ43" s="463"/>
      <c r="HA43" s="463"/>
      <c r="HB43" s="464"/>
      <c r="HC43" s="465"/>
      <c r="HD43" s="463"/>
      <c r="HE43" s="463"/>
      <c r="HF43" s="463"/>
      <c r="HG43" s="463"/>
      <c r="HH43" s="464"/>
      <c r="HI43" s="465"/>
      <c r="HJ43" s="463"/>
      <c r="HK43" s="463"/>
      <c r="HL43" s="463"/>
      <c r="HM43" s="463"/>
      <c r="HN43" s="464"/>
      <c r="HO43" s="465"/>
      <c r="HP43" s="463"/>
      <c r="HQ43" s="463"/>
      <c r="HR43" s="463"/>
      <c r="HS43" s="463"/>
      <c r="HT43" s="464"/>
      <c r="HU43" s="465"/>
      <c r="HV43" s="463"/>
      <c r="HW43" s="463"/>
      <c r="HX43" s="463"/>
      <c r="HY43" s="463"/>
      <c r="HZ43" s="464"/>
      <c r="IA43" s="465"/>
      <c r="IB43" s="463"/>
      <c r="IC43" s="463"/>
      <c r="ID43" s="463"/>
      <c r="IE43" s="463"/>
      <c r="IF43" s="464"/>
      <c r="IG43" s="465"/>
      <c r="IH43" s="463"/>
      <c r="II43" s="463"/>
      <c r="IJ43" s="463"/>
    </row>
    <row r="44" spans="1:244" ht="27.75" customHeight="1" x14ac:dyDescent="0.25">
      <c r="A44" s="457">
        <v>41</v>
      </c>
      <c r="B44" s="688" t="s">
        <v>470</v>
      </c>
      <c r="C44" s="678" t="s">
        <v>471</v>
      </c>
      <c r="D44" s="678" t="s">
        <v>472</v>
      </c>
      <c r="E44" s="690">
        <v>0</v>
      </c>
      <c r="F44" s="691" t="s">
        <v>352</v>
      </c>
      <c r="G44" s="692">
        <v>3.3450000000000002</v>
      </c>
      <c r="H44" s="690">
        <v>1</v>
      </c>
      <c r="I44" s="691" t="s">
        <v>352</v>
      </c>
      <c r="J44" s="692">
        <v>4.5529999999999999</v>
      </c>
      <c r="K44" s="693">
        <f t="shared" si="0"/>
        <v>21.2</v>
      </c>
      <c r="L44" s="694">
        <v>8</v>
      </c>
      <c r="M44" s="684">
        <f t="shared" si="1"/>
        <v>169.6</v>
      </c>
      <c r="N44" s="685">
        <f>10.42+2.64+10.23+2.58</f>
        <v>25.869999999999997</v>
      </c>
      <c r="O44" s="684">
        <f t="shared" si="2"/>
        <v>195.47</v>
      </c>
      <c r="P44" s="686">
        <v>21.207999999999998</v>
      </c>
      <c r="Q44" s="687">
        <f t="shared" si="3"/>
        <v>7.9999999999991189E-3</v>
      </c>
      <c r="R44" s="464"/>
      <c r="S44" s="465"/>
      <c r="T44" s="463"/>
      <c r="U44" s="463"/>
      <c r="V44" s="463"/>
      <c r="W44" s="463"/>
      <c r="X44" s="464"/>
      <c r="Y44" s="465"/>
      <c r="Z44" s="463"/>
      <c r="AA44" s="463"/>
      <c r="AB44" s="463"/>
      <c r="AC44" s="463"/>
      <c r="AD44" s="464"/>
      <c r="AE44" s="465"/>
      <c r="AF44" s="463"/>
      <c r="AG44" s="463"/>
      <c r="AH44" s="463"/>
      <c r="AI44" s="463"/>
      <c r="AJ44" s="464"/>
      <c r="AK44" s="465"/>
      <c r="AL44" s="463"/>
      <c r="AM44" s="463"/>
      <c r="AN44" s="463"/>
      <c r="AO44" s="463"/>
      <c r="AP44" s="464"/>
      <c r="AQ44" s="465"/>
      <c r="AR44" s="463"/>
      <c r="AS44" s="463"/>
      <c r="AT44" s="463"/>
      <c r="AU44" s="463"/>
      <c r="AV44" s="464"/>
      <c r="AW44" s="465"/>
      <c r="AX44" s="463"/>
      <c r="AY44" s="463"/>
      <c r="AZ44" s="463"/>
      <c r="BA44" s="463"/>
      <c r="BB44" s="464"/>
      <c r="BC44" s="465"/>
      <c r="BD44" s="463"/>
      <c r="BE44" s="463"/>
      <c r="BF44" s="463"/>
      <c r="BG44" s="463"/>
      <c r="BH44" s="464"/>
      <c r="BI44" s="465"/>
      <c r="BJ44" s="463"/>
      <c r="BK44" s="463"/>
      <c r="BL44" s="463"/>
      <c r="BM44" s="463"/>
      <c r="BN44" s="464"/>
      <c r="BO44" s="465"/>
      <c r="BP44" s="463"/>
      <c r="BQ44" s="463"/>
      <c r="BR44" s="463"/>
      <c r="BS44" s="463"/>
      <c r="BT44" s="464"/>
      <c r="BU44" s="465"/>
      <c r="BV44" s="463"/>
      <c r="BW44" s="463"/>
      <c r="BX44" s="463"/>
      <c r="BY44" s="463"/>
      <c r="BZ44" s="464"/>
      <c r="CA44" s="465"/>
      <c r="CB44" s="463"/>
      <c r="CC44" s="463"/>
      <c r="CD44" s="463"/>
      <c r="CE44" s="463"/>
      <c r="CF44" s="464"/>
      <c r="CG44" s="465"/>
      <c r="CH44" s="463"/>
      <c r="CI44" s="463"/>
      <c r="CJ44" s="463"/>
      <c r="CK44" s="463"/>
      <c r="CL44" s="464"/>
      <c r="CM44" s="465"/>
      <c r="CN44" s="463"/>
      <c r="CO44" s="463"/>
      <c r="CP44" s="463"/>
      <c r="CQ44" s="463"/>
      <c r="CR44" s="464"/>
      <c r="CS44" s="465"/>
      <c r="CT44" s="463"/>
      <c r="CU44" s="463"/>
      <c r="CV44" s="463"/>
      <c r="CW44" s="463"/>
      <c r="CX44" s="464"/>
      <c r="CY44" s="465"/>
      <c r="CZ44" s="463"/>
      <c r="DA44" s="463"/>
      <c r="DB44" s="463"/>
      <c r="DC44" s="463"/>
      <c r="DD44" s="464"/>
      <c r="DE44" s="465"/>
      <c r="DF44" s="463"/>
      <c r="DG44" s="463"/>
      <c r="DH44" s="463"/>
      <c r="DI44" s="463"/>
      <c r="DJ44" s="464"/>
      <c r="DK44" s="465"/>
      <c r="DL44" s="463"/>
      <c r="DM44" s="463"/>
      <c r="DN44" s="463"/>
      <c r="DO44" s="463"/>
      <c r="DP44" s="464"/>
      <c r="DQ44" s="465"/>
      <c r="DR44" s="463"/>
      <c r="DS44" s="463"/>
      <c r="DT44" s="463"/>
      <c r="DU44" s="463"/>
      <c r="DV44" s="464"/>
      <c r="DW44" s="465"/>
      <c r="DX44" s="463"/>
      <c r="DY44" s="463"/>
      <c r="DZ44" s="463"/>
      <c r="EA44" s="463"/>
      <c r="EB44" s="464"/>
      <c r="EC44" s="465"/>
      <c r="ED44" s="463"/>
      <c r="EE44" s="463"/>
      <c r="EF44" s="463"/>
      <c r="EG44" s="463"/>
      <c r="EH44" s="464"/>
      <c r="EI44" s="465"/>
      <c r="EJ44" s="463"/>
      <c r="EK44" s="463"/>
      <c r="EL44" s="463"/>
      <c r="EM44" s="463"/>
      <c r="EN44" s="464"/>
      <c r="EO44" s="465"/>
      <c r="EP44" s="463"/>
      <c r="EQ44" s="463"/>
      <c r="ER44" s="463"/>
      <c r="ES44" s="463"/>
      <c r="ET44" s="464"/>
      <c r="EU44" s="465"/>
      <c r="EV44" s="463"/>
      <c r="EW44" s="463"/>
      <c r="EX44" s="463"/>
      <c r="EY44" s="463"/>
      <c r="EZ44" s="464"/>
      <c r="FA44" s="465"/>
      <c r="FB44" s="463"/>
      <c r="FC44" s="463"/>
      <c r="FD44" s="463"/>
      <c r="FE44" s="463"/>
      <c r="FF44" s="464"/>
      <c r="FG44" s="465"/>
      <c r="FH44" s="463"/>
      <c r="FI44" s="463"/>
      <c r="FJ44" s="463"/>
      <c r="FK44" s="463"/>
      <c r="FL44" s="464"/>
      <c r="FM44" s="465"/>
      <c r="FN44" s="463"/>
      <c r="FO44" s="463"/>
      <c r="FP44" s="463"/>
      <c r="FQ44" s="463"/>
      <c r="FR44" s="464"/>
      <c r="FS44" s="465"/>
      <c r="FT44" s="463"/>
      <c r="FU44" s="463"/>
      <c r="FV44" s="463"/>
      <c r="FW44" s="463"/>
      <c r="FX44" s="464"/>
      <c r="FY44" s="465"/>
      <c r="FZ44" s="463"/>
      <c r="GA44" s="463"/>
      <c r="GB44" s="463"/>
      <c r="GC44" s="463"/>
      <c r="GD44" s="464"/>
      <c r="GE44" s="465"/>
      <c r="GF44" s="463"/>
      <c r="GG44" s="463"/>
      <c r="GH44" s="463"/>
      <c r="GI44" s="463"/>
      <c r="GJ44" s="464"/>
      <c r="GK44" s="465"/>
      <c r="GL44" s="463"/>
      <c r="GM44" s="463"/>
      <c r="GN44" s="463"/>
      <c r="GO44" s="463"/>
      <c r="GP44" s="464"/>
      <c r="GQ44" s="465"/>
      <c r="GR44" s="463"/>
      <c r="GS44" s="463"/>
      <c r="GT44" s="463"/>
      <c r="GU44" s="463"/>
      <c r="GV44" s="464"/>
      <c r="GW44" s="465"/>
      <c r="GX44" s="463"/>
      <c r="GY44" s="463"/>
      <c r="GZ44" s="463"/>
      <c r="HA44" s="463"/>
      <c r="HB44" s="464"/>
      <c r="HC44" s="465"/>
      <c r="HD44" s="463"/>
      <c r="HE44" s="463"/>
      <c r="HF44" s="463"/>
      <c r="HG44" s="463"/>
      <c r="HH44" s="464"/>
      <c r="HI44" s="465"/>
      <c r="HJ44" s="463"/>
      <c r="HK44" s="463"/>
      <c r="HL44" s="463"/>
      <c r="HM44" s="463"/>
      <c r="HN44" s="464"/>
      <c r="HO44" s="465"/>
      <c r="HP44" s="463"/>
      <c r="HQ44" s="463"/>
      <c r="HR44" s="463"/>
      <c r="HS44" s="463"/>
      <c r="HT44" s="464"/>
      <c r="HU44" s="465"/>
      <c r="HV44" s="463"/>
      <c r="HW44" s="463"/>
      <c r="HX44" s="463"/>
      <c r="HY44" s="463"/>
      <c r="HZ44" s="464"/>
      <c r="IA44" s="465"/>
      <c r="IB44" s="463"/>
      <c r="IC44" s="463"/>
      <c r="ID44" s="463"/>
      <c r="IE44" s="463"/>
      <c r="IF44" s="464"/>
      <c r="IG44" s="465"/>
      <c r="IH44" s="463"/>
      <c r="II44" s="463"/>
      <c r="IJ44" s="463"/>
    </row>
    <row r="45" spans="1:244" ht="24.75" customHeight="1" x14ac:dyDescent="0.25">
      <c r="A45" s="1227" t="s">
        <v>473</v>
      </c>
      <c r="B45" s="1228"/>
      <c r="C45" s="1228"/>
      <c r="D45" s="1228"/>
      <c r="E45" s="1228"/>
      <c r="F45" s="1228"/>
      <c r="G45" s="1228"/>
      <c r="H45" s="1228"/>
      <c r="I45" s="1228"/>
      <c r="J45" s="1259"/>
      <c r="K45" s="695">
        <f>TRUNC(SUM(K4:K44),2)</f>
        <v>5903.17</v>
      </c>
      <c r="L45" s="695"/>
      <c r="M45" s="695">
        <f>TRUNC(SUM(M4:M44),2)</f>
        <v>44985.29</v>
      </c>
      <c r="N45" s="695">
        <f>TRUNC(SUM(N4:N44),2)</f>
        <v>849.43</v>
      </c>
      <c r="O45" s="695">
        <f>TRUNC(SUM(O4:O44),2)</f>
        <v>45834.720000000001</v>
      </c>
      <c r="Q45" s="687">
        <f>SUM(Q4:Q44)</f>
        <v>0.19499999999999673</v>
      </c>
    </row>
    <row r="46" spans="1:244" ht="24.9" customHeight="1" x14ac:dyDescent="0.25">
      <c r="A46" s="696" t="s">
        <v>474</v>
      </c>
      <c r="B46" s="697"/>
      <c r="C46" s="698"/>
      <c r="D46" s="698"/>
      <c r="E46" s="414"/>
      <c r="F46" s="414"/>
      <c r="G46" s="414"/>
      <c r="H46" s="414"/>
      <c r="I46" s="414"/>
      <c r="J46" s="699"/>
      <c r="K46" s="414"/>
      <c r="L46" s="414"/>
      <c r="M46" s="414"/>
      <c r="N46" s="414"/>
      <c r="O46" s="416"/>
      <c r="Q46" s="660"/>
    </row>
  </sheetData>
  <mergeCells count="8">
    <mergeCell ref="A45:J45"/>
    <mergeCell ref="A1:O1"/>
    <mergeCell ref="A2:A3"/>
    <mergeCell ref="B2:B3"/>
    <mergeCell ref="C2:D2"/>
    <mergeCell ref="E2:J2"/>
    <mergeCell ref="E3:G3"/>
    <mergeCell ref="H3:J3"/>
  </mergeCells>
  <printOptions horizontalCentered="1"/>
  <pageMargins left="0.59055118110236227" right="0.59055118110236227" top="1.7716535433070868" bottom="0.78740157480314965" header="0" footer="0"/>
  <pageSetup paperSize="9" scale="51" orientation="portrait" r:id="rId1"/>
  <headerFooter scaleWithDoc="0">
    <oddHeader>&amp;L&amp;G</oddHead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tabColor rgb="FF00B0F0"/>
  </sheetPr>
  <dimension ref="B2:IJ69"/>
  <sheetViews>
    <sheetView showGridLines="0" view="pageBreakPreview" topLeftCell="A11" zoomScaleNormal="55" zoomScaleSheetLayoutView="100" workbookViewId="0">
      <selection activeCell="K22" sqref="K22:L22"/>
    </sheetView>
  </sheetViews>
  <sheetFormatPr defaultColWidth="9.109375" defaultRowHeight="14.4" x14ac:dyDescent="0.3"/>
  <cols>
    <col min="1" max="1" width="9.109375" style="411"/>
    <col min="2" max="2" width="9.109375" style="411" customWidth="1"/>
    <col min="3" max="3" width="36.44140625" style="700" customWidth="1"/>
    <col min="4" max="4" width="5.6640625" style="411" customWidth="1"/>
    <col min="5" max="5" width="3.33203125" style="411" bestFit="1" customWidth="1"/>
    <col min="6" max="6" width="7.6640625" style="689" customWidth="1"/>
    <col min="7" max="7" width="8.33203125" style="411" customWidth="1"/>
    <col min="8" max="8" width="3.44140625" style="411" customWidth="1"/>
    <col min="9" max="9" width="7.6640625" style="689" customWidth="1"/>
    <col min="10" max="10" width="12.6640625" style="411" customWidth="1"/>
    <col min="11" max="11" width="16.109375" style="411" customWidth="1"/>
    <col min="12" max="12" width="13.6640625" style="411" customWidth="1"/>
    <col min="13" max="13" width="14.88671875" style="411" customWidth="1"/>
    <col min="14" max="14" width="13.6640625" style="411" customWidth="1"/>
    <col min="15" max="15" width="14.33203125" style="411" customWidth="1"/>
    <col min="16" max="16" width="9.109375" style="411"/>
    <col min="17" max="17" width="11.44140625" bestFit="1" customWidth="1"/>
    <col min="18" max="18" width="12.33203125" bestFit="1" customWidth="1"/>
    <col min="20" max="20" width="9.109375" style="411"/>
    <col min="21" max="21" width="13.6640625" style="411" customWidth="1"/>
    <col min="22" max="22" width="13.33203125" style="411" customWidth="1"/>
    <col min="23" max="16384" width="9.109375" style="411"/>
  </cols>
  <sheetData>
    <row r="2" spans="2:244" ht="26.25" customHeight="1" x14ac:dyDescent="0.25">
      <c r="B2" s="1260" t="s">
        <v>475</v>
      </c>
      <c r="C2" s="1261"/>
      <c r="D2" s="1261"/>
      <c r="E2" s="1261"/>
      <c r="F2" s="1261"/>
      <c r="G2" s="1261"/>
      <c r="H2" s="1261"/>
      <c r="I2" s="1261"/>
      <c r="J2" s="1261"/>
      <c r="K2" s="1261"/>
      <c r="L2" s="1261"/>
      <c r="M2" s="1261"/>
      <c r="N2" s="1261"/>
      <c r="O2" s="1262"/>
      <c r="P2" s="672"/>
      <c r="T2" s="672"/>
      <c r="U2" s="672"/>
      <c r="V2" s="672"/>
      <c r="W2" s="672"/>
      <c r="X2" s="672"/>
      <c r="Y2" s="672"/>
      <c r="Z2" s="672"/>
      <c r="AA2" s="672"/>
    </row>
    <row r="3" spans="2:244" ht="30" customHeight="1" x14ac:dyDescent="0.3">
      <c r="B3" s="1274" t="s">
        <v>243</v>
      </c>
      <c r="C3" s="1274" t="s">
        <v>337</v>
      </c>
      <c r="D3" s="1275" t="s">
        <v>339</v>
      </c>
      <c r="E3" s="1275"/>
      <c r="F3" s="1275"/>
      <c r="G3" s="1275"/>
      <c r="H3" s="1275"/>
      <c r="I3" s="1275"/>
      <c r="J3" s="702" t="s">
        <v>340</v>
      </c>
      <c r="K3" s="1276" t="s">
        <v>476</v>
      </c>
      <c r="L3" s="1277"/>
      <c r="M3" s="1276" t="s">
        <v>477</v>
      </c>
      <c r="N3" s="1277"/>
      <c r="O3" s="702" t="s">
        <v>344</v>
      </c>
    </row>
    <row r="4" spans="2:244" x14ac:dyDescent="0.3">
      <c r="B4" s="1274"/>
      <c r="C4" s="1274"/>
      <c r="D4" s="1278" t="s">
        <v>345</v>
      </c>
      <c r="E4" s="1278"/>
      <c r="F4" s="1278"/>
      <c r="G4" s="1278" t="s">
        <v>346</v>
      </c>
      <c r="H4" s="1278"/>
      <c r="I4" s="1278"/>
      <c r="J4" s="703" t="s">
        <v>347</v>
      </c>
      <c r="K4" s="703" t="s">
        <v>478</v>
      </c>
      <c r="L4" s="703" t="s">
        <v>479</v>
      </c>
      <c r="M4" s="703" t="s">
        <v>478</v>
      </c>
      <c r="N4" s="703" t="s">
        <v>479</v>
      </c>
      <c r="O4" s="703" t="s">
        <v>348</v>
      </c>
    </row>
    <row r="5" spans="2:244" ht="16.5" customHeight="1" x14ac:dyDescent="0.3">
      <c r="B5" s="1266">
        <v>1</v>
      </c>
      <c r="C5" s="1268" t="str">
        <f>RUAS!B4</f>
        <v>RUA LAGES</v>
      </c>
      <c r="D5" s="679">
        <v>6</v>
      </c>
      <c r="E5" s="680" t="s">
        <v>352</v>
      </c>
      <c r="F5" s="681">
        <v>11.430999999999999</v>
      </c>
      <c r="G5" s="679">
        <v>8</v>
      </c>
      <c r="H5" s="680" t="s">
        <v>352</v>
      </c>
      <c r="I5" s="681">
        <v>11.445</v>
      </c>
      <c r="J5" s="682">
        <f t="shared" ref="J5:J60" si="0">TRUNC(((G5*20)+I5)-((D5*20)+F5),2)</f>
        <v>40.01</v>
      </c>
      <c r="K5" s="682">
        <v>3</v>
      </c>
      <c r="L5" s="684">
        <f>TRUNC(K5*J5,2)</f>
        <v>120.03</v>
      </c>
      <c r="M5" s="682">
        <v>0</v>
      </c>
      <c r="N5" s="684">
        <f>TRUNC(M5*J5,2)</f>
        <v>0</v>
      </c>
      <c r="O5" s="684">
        <f>TRUNC(L5+N5,2)</f>
        <v>120.03</v>
      </c>
      <c r="P5" s="1272"/>
      <c r="T5" s="463"/>
      <c r="U5" s="463"/>
      <c r="V5" s="463"/>
      <c r="W5" s="463"/>
      <c r="X5" s="464"/>
      <c r="Y5" s="465"/>
      <c r="Z5" s="463"/>
      <c r="AA5" s="463"/>
      <c r="AB5" s="463"/>
      <c r="AC5" s="463"/>
      <c r="AD5" s="464"/>
      <c r="AE5" s="465"/>
      <c r="AF5" s="463"/>
      <c r="AG5" s="463"/>
      <c r="AH5" s="463"/>
      <c r="AI5" s="463"/>
      <c r="AJ5" s="464"/>
      <c r="AK5" s="465"/>
      <c r="AL5" s="463"/>
      <c r="AM5" s="463"/>
      <c r="AN5" s="463"/>
      <c r="AO5" s="463"/>
      <c r="AP5" s="464"/>
      <c r="AQ5" s="465"/>
      <c r="AR5" s="463"/>
      <c r="AS5" s="463"/>
      <c r="AT5" s="463"/>
      <c r="AU5" s="463"/>
      <c r="AV5" s="464"/>
      <c r="AW5" s="465"/>
      <c r="AX5" s="463"/>
      <c r="AY5" s="463"/>
      <c r="AZ5" s="463"/>
      <c r="BA5" s="463"/>
      <c r="BB5" s="464"/>
      <c r="BC5" s="465"/>
      <c r="BD5" s="463"/>
      <c r="BE5" s="463"/>
      <c r="BF5" s="463"/>
      <c r="BG5" s="463"/>
      <c r="BH5" s="464"/>
      <c r="BI5" s="465"/>
      <c r="BJ5" s="463"/>
      <c r="BK5" s="463"/>
      <c r="BL5" s="463"/>
      <c r="BM5" s="463"/>
      <c r="BN5" s="464"/>
      <c r="BO5" s="465"/>
      <c r="BP5" s="463"/>
      <c r="BQ5" s="463"/>
      <c r="BR5" s="463"/>
      <c r="BS5" s="463"/>
      <c r="BT5" s="464"/>
      <c r="BU5" s="465"/>
      <c r="BV5" s="463"/>
      <c r="BW5" s="463"/>
      <c r="BX5" s="463"/>
      <c r="BY5" s="463"/>
      <c r="BZ5" s="464"/>
      <c r="CA5" s="465"/>
      <c r="CB5" s="463"/>
      <c r="CC5" s="463"/>
      <c r="CD5" s="463"/>
      <c r="CE5" s="463"/>
      <c r="CF5" s="464"/>
      <c r="CG5" s="465"/>
      <c r="CH5" s="463"/>
      <c r="CI5" s="463"/>
      <c r="CJ5" s="463"/>
      <c r="CK5" s="463"/>
      <c r="CL5" s="464"/>
      <c r="CM5" s="465"/>
      <c r="CN5" s="463"/>
      <c r="CO5" s="463"/>
      <c r="CP5" s="463"/>
      <c r="CQ5" s="463"/>
      <c r="CR5" s="464"/>
      <c r="CS5" s="465"/>
      <c r="CT5" s="463"/>
      <c r="CU5" s="463"/>
      <c r="CV5" s="463"/>
      <c r="CW5" s="463"/>
      <c r="CX5" s="464"/>
      <c r="CY5" s="465"/>
      <c r="CZ5" s="463"/>
      <c r="DA5" s="463"/>
      <c r="DB5" s="463"/>
      <c r="DC5" s="463"/>
      <c r="DD5" s="464"/>
      <c r="DE5" s="465"/>
      <c r="DF5" s="463"/>
      <c r="DG5" s="463"/>
      <c r="DH5" s="463"/>
      <c r="DI5" s="463"/>
      <c r="DJ5" s="464"/>
      <c r="DK5" s="465"/>
      <c r="DL5" s="463"/>
      <c r="DM5" s="463"/>
      <c r="DN5" s="463"/>
      <c r="DO5" s="463"/>
      <c r="DP5" s="464"/>
      <c r="DQ5" s="465"/>
      <c r="DR5" s="463"/>
      <c r="DS5" s="463"/>
      <c r="DT5" s="463"/>
      <c r="DU5" s="463"/>
      <c r="DV5" s="464"/>
      <c r="DW5" s="465"/>
      <c r="DX5" s="463"/>
      <c r="DY5" s="463"/>
      <c r="DZ5" s="463"/>
      <c r="EA5" s="463"/>
      <c r="EB5" s="464"/>
      <c r="EC5" s="465"/>
      <c r="ED5" s="463"/>
      <c r="EE5" s="463"/>
      <c r="EF5" s="463"/>
      <c r="EG5" s="463"/>
      <c r="EH5" s="464"/>
      <c r="EI5" s="465"/>
      <c r="EJ5" s="463"/>
      <c r="EK5" s="463"/>
      <c r="EL5" s="463"/>
      <c r="EM5" s="463"/>
      <c r="EN5" s="464"/>
      <c r="EO5" s="465"/>
      <c r="EP5" s="463"/>
      <c r="EQ5" s="463"/>
      <c r="ER5" s="463"/>
      <c r="ES5" s="463"/>
      <c r="ET5" s="464"/>
      <c r="EU5" s="465"/>
      <c r="EV5" s="463"/>
      <c r="EW5" s="463"/>
      <c r="EX5" s="463"/>
      <c r="EY5" s="463"/>
      <c r="EZ5" s="464"/>
      <c r="FA5" s="465"/>
      <c r="FB5" s="463"/>
      <c r="FC5" s="463"/>
      <c r="FD5" s="463"/>
      <c r="FE5" s="463"/>
      <c r="FF5" s="464"/>
      <c r="FG5" s="465"/>
      <c r="FH5" s="463"/>
      <c r="FI5" s="463"/>
      <c r="FJ5" s="463"/>
      <c r="FK5" s="463"/>
      <c r="FL5" s="464"/>
      <c r="FM5" s="465"/>
      <c r="FN5" s="463"/>
      <c r="FO5" s="463"/>
      <c r="FP5" s="463"/>
      <c r="FQ5" s="463"/>
      <c r="FR5" s="464"/>
      <c r="FS5" s="465"/>
      <c r="FT5" s="463"/>
      <c r="FU5" s="463"/>
      <c r="FV5" s="463"/>
      <c r="FW5" s="463"/>
      <c r="FX5" s="464"/>
      <c r="FY5" s="465"/>
      <c r="FZ5" s="463"/>
      <c r="GA5" s="463"/>
      <c r="GB5" s="463"/>
      <c r="GC5" s="463"/>
      <c r="GD5" s="464"/>
      <c r="GE5" s="465"/>
      <c r="GF5" s="463"/>
      <c r="GG5" s="463"/>
      <c r="GH5" s="463"/>
      <c r="GI5" s="463"/>
      <c r="GJ5" s="464"/>
      <c r="GK5" s="465"/>
      <c r="GL5" s="463"/>
      <c r="GM5" s="463"/>
      <c r="GN5" s="463"/>
      <c r="GO5" s="463"/>
      <c r="GP5" s="464"/>
      <c r="GQ5" s="465"/>
      <c r="GR5" s="463"/>
      <c r="GS5" s="463"/>
      <c r="GT5" s="463"/>
      <c r="GU5" s="463"/>
      <c r="GV5" s="464"/>
      <c r="GW5" s="465"/>
      <c r="GX5" s="463"/>
      <c r="GY5" s="463"/>
      <c r="GZ5" s="463"/>
      <c r="HA5" s="463"/>
      <c r="HB5" s="464"/>
      <c r="HC5" s="465"/>
      <c r="HD5" s="463"/>
      <c r="HE5" s="463"/>
      <c r="HF5" s="463"/>
      <c r="HG5" s="463"/>
      <c r="HH5" s="464"/>
      <c r="HI5" s="465"/>
      <c r="HJ5" s="463"/>
      <c r="HK5" s="463"/>
      <c r="HL5" s="463"/>
      <c r="HM5" s="463"/>
      <c r="HN5" s="464"/>
      <c r="HO5" s="465"/>
      <c r="HP5" s="463"/>
      <c r="HQ5" s="463"/>
      <c r="HR5" s="463"/>
      <c r="HS5" s="463"/>
      <c r="HT5" s="464"/>
      <c r="HU5" s="465"/>
      <c r="HV5" s="463"/>
      <c r="HW5" s="463"/>
      <c r="HX5" s="463"/>
      <c r="HY5" s="463"/>
      <c r="HZ5" s="464"/>
      <c r="IA5" s="465"/>
      <c r="IB5" s="463"/>
      <c r="IC5" s="463"/>
      <c r="ID5" s="463"/>
      <c r="IE5" s="463"/>
      <c r="IF5" s="464"/>
      <c r="IG5" s="465"/>
      <c r="IH5" s="463"/>
      <c r="II5" s="463"/>
      <c r="IJ5" s="463"/>
    </row>
    <row r="6" spans="2:244" ht="16.5" customHeight="1" x14ac:dyDescent="0.3">
      <c r="B6" s="1267"/>
      <c r="C6" s="1269"/>
      <c r="D6" s="679">
        <v>9</v>
      </c>
      <c r="E6" s="680" t="s">
        <v>352</v>
      </c>
      <c r="F6" s="681">
        <v>7.4269999999999996</v>
      </c>
      <c r="G6" s="679">
        <v>10</v>
      </c>
      <c r="H6" s="680" t="s">
        <v>352</v>
      </c>
      <c r="I6" s="681">
        <v>6.8</v>
      </c>
      <c r="J6" s="682">
        <f t="shared" si="0"/>
        <v>19.37</v>
      </c>
      <c r="K6" s="682">
        <v>3</v>
      </c>
      <c r="L6" s="684">
        <f t="shared" ref="L6:L60" si="1">TRUNC(K6*J6,2)</f>
        <v>58.11</v>
      </c>
      <c r="M6" s="682">
        <v>0</v>
      </c>
      <c r="N6" s="684">
        <f t="shared" ref="N6:N60" si="2">TRUNC(M6*J6,2)</f>
        <v>0</v>
      </c>
      <c r="O6" s="684">
        <f t="shared" ref="O6:O60" si="3">TRUNC(L6+N6,2)</f>
        <v>58.11</v>
      </c>
      <c r="P6" s="1273"/>
      <c r="T6" s="463"/>
      <c r="U6" s="463"/>
      <c r="V6" s="463"/>
      <c r="W6" s="463"/>
      <c r="X6" s="464"/>
      <c r="Y6" s="465"/>
      <c r="Z6" s="463"/>
      <c r="AA6" s="463"/>
      <c r="AB6" s="463"/>
      <c r="AC6" s="463"/>
      <c r="AD6" s="464"/>
      <c r="AE6" s="465"/>
      <c r="AF6" s="463"/>
      <c r="AG6" s="463"/>
      <c r="AH6" s="463"/>
      <c r="AI6" s="463"/>
      <c r="AJ6" s="464"/>
      <c r="AK6" s="465"/>
      <c r="AL6" s="463"/>
      <c r="AM6" s="463"/>
      <c r="AN6" s="463"/>
      <c r="AO6" s="463"/>
      <c r="AP6" s="464"/>
      <c r="AQ6" s="465"/>
      <c r="AR6" s="463"/>
      <c r="AS6" s="463"/>
      <c r="AT6" s="463"/>
      <c r="AU6" s="463"/>
      <c r="AV6" s="464"/>
      <c r="AW6" s="465"/>
      <c r="AX6" s="463"/>
      <c r="AY6" s="463"/>
      <c r="AZ6" s="463"/>
      <c r="BA6" s="463"/>
      <c r="BB6" s="464"/>
      <c r="BC6" s="465"/>
      <c r="BD6" s="463"/>
      <c r="BE6" s="463"/>
      <c r="BF6" s="463"/>
      <c r="BG6" s="463"/>
      <c r="BH6" s="464"/>
      <c r="BI6" s="465"/>
      <c r="BJ6" s="463"/>
      <c r="BK6" s="463"/>
      <c r="BL6" s="463"/>
      <c r="BM6" s="463"/>
      <c r="BN6" s="464"/>
      <c r="BO6" s="465"/>
      <c r="BP6" s="463"/>
      <c r="BQ6" s="463"/>
      <c r="BR6" s="463"/>
      <c r="BS6" s="463"/>
      <c r="BT6" s="464"/>
      <c r="BU6" s="465"/>
      <c r="BV6" s="463"/>
      <c r="BW6" s="463"/>
      <c r="BX6" s="463"/>
      <c r="BY6" s="463"/>
      <c r="BZ6" s="464"/>
      <c r="CA6" s="465"/>
      <c r="CB6" s="463"/>
      <c r="CC6" s="463"/>
      <c r="CD6" s="463"/>
      <c r="CE6" s="463"/>
      <c r="CF6" s="464"/>
      <c r="CG6" s="465"/>
      <c r="CH6" s="463"/>
      <c r="CI6" s="463"/>
      <c r="CJ6" s="463"/>
      <c r="CK6" s="463"/>
      <c r="CL6" s="464"/>
      <c r="CM6" s="465"/>
      <c r="CN6" s="463"/>
      <c r="CO6" s="463"/>
      <c r="CP6" s="463"/>
      <c r="CQ6" s="463"/>
      <c r="CR6" s="464"/>
      <c r="CS6" s="465"/>
      <c r="CT6" s="463"/>
      <c r="CU6" s="463"/>
      <c r="CV6" s="463"/>
      <c r="CW6" s="463"/>
      <c r="CX6" s="464"/>
      <c r="CY6" s="465"/>
      <c r="CZ6" s="463"/>
      <c r="DA6" s="463"/>
      <c r="DB6" s="463"/>
      <c r="DC6" s="463"/>
      <c r="DD6" s="464"/>
      <c r="DE6" s="465"/>
      <c r="DF6" s="463"/>
      <c r="DG6" s="463"/>
      <c r="DH6" s="463"/>
      <c r="DI6" s="463"/>
      <c r="DJ6" s="464"/>
      <c r="DK6" s="465"/>
      <c r="DL6" s="463"/>
      <c r="DM6" s="463"/>
      <c r="DN6" s="463"/>
      <c r="DO6" s="463"/>
      <c r="DP6" s="464"/>
      <c r="DQ6" s="465"/>
      <c r="DR6" s="463"/>
      <c r="DS6" s="463"/>
      <c r="DT6" s="463"/>
      <c r="DU6" s="463"/>
      <c r="DV6" s="464"/>
      <c r="DW6" s="465"/>
      <c r="DX6" s="463"/>
      <c r="DY6" s="463"/>
      <c r="DZ6" s="463"/>
      <c r="EA6" s="463"/>
      <c r="EB6" s="464"/>
      <c r="EC6" s="465"/>
      <c r="ED6" s="463"/>
      <c r="EE6" s="463"/>
      <c r="EF6" s="463"/>
      <c r="EG6" s="463"/>
      <c r="EH6" s="464"/>
      <c r="EI6" s="465"/>
      <c r="EJ6" s="463"/>
      <c r="EK6" s="463"/>
      <c r="EL6" s="463"/>
      <c r="EM6" s="463"/>
      <c r="EN6" s="464"/>
      <c r="EO6" s="465"/>
      <c r="EP6" s="463"/>
      <c r="EQ6" s="463"/>
      <c r="ER6" s="463"/>
      <c r="ES6" s="463"/>
      <c r="ET6" s="464"/>
      <c r="EU6" s="465"/>
      <c r="EV6" s="463"/>
      <c r="EW6" s="463"/>
      <c r="EX6" s="463"/>
      <c r="EY6" s="463"/>
      <c r="EZ6" s="464"/>
      <c r="FA6" s="465"/>
      <c r="FB6" s="463"/>
      <c r="FC6" s="463"/>
      <c r="FD6" s="463"/>
      <c r="FE6" s="463"/>
      <c r="FF6" s="464"/>
      <c r="FG6" s="465"/>
      <c r="FH6" s="463"/>
      <c r="FI6" s="463"/>
      <c r="FJ6" s="463"/>
      <c r="FK6" s="463"/>
      <c r="FL6" s="464"/>
      <c r="FM6" s="465"/>
      <c r="FN6" s="463"/>
      <c r="FO6" s="463"/>
      <c r="FP6" s="463"/>
      <c r="FQ6" s="463"/>
      <c r="FR6" s="464"/>
      <c r="FS6" s="465"/>
      <c r="FT6" s="463"/>
      <c r="FU6" s="463"/>
      <c r="FV6" s="463"/>
      <c r="FW6" s="463"/>
      <c r="FX6" s="464"/>
      <c r="FY6" s="465"/>
      <c r="FZ6" s="463"/>
      <c r="GA6" s="463"/>
      <c r="GB6" s="463"/>
      <c r="GC6" s="463"/>
      <c r="GD6" s="464"/>
      <c r="GE6" s="465"/>
      <c r="GF6" s="463"/>
      <c r="GG6" s="463"/>
      <c r="GH6" s="463"/>
      <c r="GI6" s="463"/>
      <c r="GJ6" s="464"/>
      <c r="GK6" s="465"/>
      <c r="GL6" s="463"/>
      <c r="GM6" s="463"/>
      <c r="GN6" s="463"/>
      <c r="GO6" s="463"/>
      <c r="GP6" s="464"/>
      <c r="GQ6" s="465"/>
      <c r="GR6" s="463"/>
      <c r="GS6" s="463"/>
      <c r="GT6" s="463"/>
      <c r="GU6" s="463"/>
      <c r="GV6" s="464"/>
      <c r="GW6" s="465"/>
      <c r="GX6" s="463"/>
      <c r="GY6" s="463"/>
      <c r="GZ6" s="463"/>
      <c r="HA6" s="463"/>
      <c r="HB6" s="464"/>
      <c r="HC6" s="465"/>
      <c r="HD6" s="463"/>
      <c r="HE6" s="463"/>
      <c r="HF6" s="463"/>
      <c r="HG6" s="463"/>
      <c r="HH6" s="464"/>
      <c r="HI6" s="465"/>
      <c r="HJ6" s="463"/>
      <c r="HK6" s="463"/>
      <c r="HL6" s="463"/>
      <c r="HM6" s="463"/>
      <c r="HN6" s="464"/>
      <c r="HO6" s="465"/>
      <c r="HP6" s="463"/>
      <c r="HQ6" s="463"/>
      <c r="HR6" s="463"/>
      <c r="HS6" s="463"/>
      <c r="HT6" s="464"/>
      <c r="HU6" s="465"/>
      <c r="HV6" s="463"/>
      <c r="HW6" s="463"/>
      <c r="HX6" s="463"/>
      <c r="HY6" s="463"/>
      <c r="HZ6" s="464"/>
      <c r="IA6" s="465"/>
      <c r="IB6" s="463"/>
      <c r="IC6" s="463"/>
      <c r="ID6" s="463"/>
      <c r="IE6" s="463"/>
      <c r="IF6" s="464"/>
      <c r="IG6" s="465"/>
      <c r="IH6" s="463"/>
      <c r="II6" s="463"/>
      <c r="IJ6" s="463"/>
    </row>
    <row r="7" spans="2:244" ht="15" x14ac:dyDescent="0.25">
      <c r="B7" s="457">
        <v>2</v>
      </c>
      <c r="C7" s="704" t="str">
        <f>RUAS!B7</f>
        <v>RUA ANDIRÁ - T1</v>
      </c>
      <c r="D7" s="679">
        <v>0</v>
      </c>
      <c r="E7" s="680" t="s">
        <v>352</v>
      </c>
      <c r="F7" s="681">
        <v>13.27</v>
      </c>
      <c r="G7" s="679">
        <v>2</v>
      </c>
      <c r="H7" s="680" t="s">
        <v>352</v>
      </c>
      <c r="I7" s="681">
        <v>14.643000000000001</v>
      </c>
      <c r="J7" s="682">
        <f t="shared" si="0"/>
        <v>41.37</v>
      </c>
      <c r="K7" s="682">
        <v>3</v>
      </c>
      <c r="L7" s="684">
        <f t="shared" si="1"/>
        <v>124.11</v>
      </c>
      <c r="M7" s="682">
        <v>0</v>
      </c>
      <c r="N7" s="684">
        <f t="shared" si="2"/>
        <v>0</v>
      </c>
      <c r="O7" s="684">
        <f t="shared" si="3"/>
        <v>124.11</v>
      </c>
      <c r="P7" s="463"/>
      <c r="T7" s="463"/>
      <c r="U7" s="463"/>
      <c r="V7" s="463"/>
      <c r="W7" s="463"/>
      <c r="X7" s="464"/>
      <c r="Y7" s="465"/>
      <c r="Z7" s="463"/>
      <c r="AA7" s="463"/>
      <c r="AB7" s="463"/>
      <c r="AC7" s="463"/>
      <c r="AD7" s="464"/>
      <c r="AE7" s="465"/>
      <c r="AF7" s="463"/>
      <c r="AG7" s="463"/>
      <c r="AH7" s="463"/>
      <c r="AI7" s="463"/>
      <c r="AJ7" s="464"/>
      <c r="AK7" s="465"/>
      <c r="AL7" s="463"/>
      <c r="AM7" s="463"/>
      <c r="AN7" s="463"/>
      <c r="AO7" s="463"/>
      <c r="AP7" s="464"/>
      <c r="AQ7" s="465"/>
      <c r="AR7" s="463"/>
      <c r="AS7" s="463"/>
      <c r="AT7" s="463"/>
      <c r="AU7" s="463"/>
      <c r="AV7" s="464"/>
      <c r="AW7" s="465"/>
      <c r="AX7" s="463"/>
      <c r="AY7" s="463"/>
      <c r="AZ7" s="463"/>
      <c r="BA7" s="463"/>
      <c r="BB7" s="464"/>
      <c r="BC7" s="465"/>
      <c r="BD7" s="463"/>
      <c r="BE7" s="463"/>
      <c r="BF7" s="463"/>
      <c r="BG7" s="463"/>
      <c r="BH7" s="464"/>
      <c r="BI7" s="465"/>
      <c r="BJ7" s="463"/>
      <c r="BK7" s="463"/>
      <c r="BL7" s="463"/>
      <c r="BM7" s="463"/>
      <c r="BN7" s="464"/>
      <c r="BO7" s="465"/>
      <c r="BP7" s="463"/>
      <c r="BQ7" s="463"/>
      <c r="BR7" s="463"/>
      <c r="BS7" s="463"/>
      <c r="BT7" s="464"/>
      <c r="BU7" s="465"/>
      <c r="BV7" s="463"/>
      <c r="BW7" s="463"/>
      <c r="BX7" s="463"/>
      <c r="BY7" s="463"/>
      <c r="BZ7" s="464"/>
      <c r="CA7" s="465"/>
      <c r="CB7" s="463"/>
      <c r="CC7" s="463"/>
      <c r="CD7" s="463"/>
      <c r="CE7" s="463"/>
      <c r="CF7" s="464"/>
      <c r="CG7" s="465"/>
      <c r="CH7" s="463"/>
      <c r="CI7" s="463"/>
      <c r="CJ7" s="463"/>
      <c r="CK7" s="463"/>
      <c r="CL7" s="464"/>
      <c r="CM7" s="465"/>
      <c r="CN7" s="463"/>
      <c r="CO7" s="463"/>
      <c r="CP7" s="463"/>
      <c r="CQ7" s="463"/>
      <c r="CR7" s="464"/>
      <c r="CS7" s="465"/>
      <c r="CT7" s="463"/>
      <c r="CU7" s="463"/>
      <c r="CV7" s="463"/>
      <c r="CW7" s="463"/>
      <c r="CX7" s="464"/>
      <c r="CY7" s="465"/>
      <c r="CZ7" s="463"/>
      <c r="DA7" s="463"/>
      <c r="DB7" s="463"/>
      <c r="DC7" s="463"/>
      <c r="DD7" s="464"/>
      <c r="DE7" s="465"/>
      <c r="DF7" s="463"/>
      <c r="DG7" s="463"/>
      <c r="DH7" s="463"/>
      <c r="DI7" s="463"/>
      <c r="DJ7" s="464"/>
      <c r="DK7" s="465"/>
      <c r="DL7" s="463"/>
      <c r="DM7" s="463"/>
      <c r="DN7" s="463"/>
      <c r="DO7" s="463"/>
      <c r="DP7" s="464"/>
      <c r="DQ7" s="465"/>
      <c r="DR7" s="463"/>
      <c r="DS7" s="463"/>
      <c r="DT7" s="463"/>
      <c r="DU7" s="463"/>
      <c r="DV7" s="464"/>
      <c r="DW7" s="465"/>
      <c r="DX7" s="463"/>
      <c r="DY7" s="463"/>
      <c r="DZ7" s="463"/>
      <c r="EA7" s="463"/>
      <c r="EB7" s="464"/>
      <c r="EC7" s="465"/>
      <c r="ED7" s="463"/>
      <c r="EE7" s="463"/>
      <c r="EF7" s="463"/>
      <c r="EG7" s="463"/>
      <c r="EH7" s="464"/>
      <c r="EI7" s="465"/>
      <c r="EJ7" s="463"/>
      <c r="EK7" s="463"/>
      <c r="EL7" s="463"/>
      <c r="EM7" s="463"/>
      <c r="EN7" s="464"/>
      <c r="EO7" s="465"/>
      <c r="EP7" s="463"/>
      <c r="EQ7" s="463"/>
      <c r="ER7" s="463"/>
      <c r="ES7" s="463"/>
      <c r="ET7" s="464"/>
      <c r="EU7" s="465"/>
      <c r="EV7" s="463"/>
      <c r="EW7" s="463"/>
      <c r="EX7" s="463"/>
      <c r="EY7" s="463"/>
      <c r="EZ7" s="464"/>
      <c r="FA7" s="465"/>
      <c r="FB7" s="463"/>
      <c r="FC7" s="463"/>
      <c r="FD7" s="463"/>
      <c r="FE7" s="463"/>
      <c r="FF7" s="464"/>
      <c r="FG7" s="465"/>
      <c r="FH7" s="463"/>
      <c r="FI7" s="463"/>
      <c r="FJ7" s="463"/>
      <c r="FK7" s="463"/>
      <c r="FL7" s="464"/>
      <c r="FM7" s="465"/>
      <c r="FN7" s="463"/>
      <c r="FO7" s="463"/>
      <c r="FP7" s="463"/>
      <c r="FQ7" s="463"/>
      <c r="FR7" s="464"/>
      <c r="FS7" s="465"/>
      <c r="FT7" s="463"/>
      <c r="FU7" s="463"/>
      <c r="FV7" s="463"/>
      <c r="FW7" s="463"/>
      <c r="FX7" s="464"/>
      <c r="FY7" s="465"/>
      <c r="FZ7" s="463"/>
      <c r="GA7" s="463"/>
      <c r="GB7" s="463"/>
      <c r="GC7" s="463"/>
      <c r="GD7" s="464"/>
      <c r="GE7" s="465"/>
      <c r="GF7" s="463"/>
      <c r="GG7" s="463"/>
      <c r="GH7" s="463"/>
      <c r="GI7" s="463"/>
      <c r="GJ7" s="464"/>
      <c r="GK7" s="465"/>
      <c r="GL7" s="463"/>
      <c r="GM7" s="463"/>
      <c r="GN7" s="463"/>
      <c r="GO7" s="463"/>
      <c r="GP7" s="464"/>
      <c r="GQ7" s="465"/>
      <c r="GR7" s="463"/>
      <c r="GS7" s="463"/>
      <c r="GT7" s="463"/>
      <c r="GU7" s="463"/>
      <c r="GV7" s="464"/>
      <c r="GW7" s="465"/>
      <c r="GX7" s="463"/>
      <c r="GY7" s="463"/>
      <c r="GZ7" s="463"/>
      <c r="HA7" s="463"/>
      <c r="HB7" s="464"/>
      <c r="HC7" s="465"/>
      <c r="HD7" s="463"/>
      <c r="HE7" s="463"/>
      <c r="HF7" s="463"/>
      <c r="HG7" s="463"/>
      <c r="HH7" s="464"/>
      <c r="HI7" s="465"/>
      <c r="HJ7" s="463"/>
      <c r="HK7" s="463"/>
      <c r="HL7" s="463"/>
      <c r="HM7" s="463"/>
      <c r="HN7" s="464"/>
      <c r="HO7" s="465"/>
      <c r="HP7" s="463"/>
      <c r="HQ7" s="463"/>
      <c r="HR7" s="463"/>
      <c r="HS7" s="463"/>
      <c r="HT7" s="464"/>
      <c r="HU7" s="465"/>
      <c r="HV7" s="463"/>
      <c r="HW7" s="463"/>
      <c r="HX7" s="463"/>
      <c r="HY7" s="463"/>
      <c r="HZ7" s="464"/>
      <c r="IA7" s="465"/>
      <c r="IB7" s="463"/>
      <c r="IC7" s="463"/>
      <c r="ID7" s="463"/>
      <c r="IE7" s="463"/>
      <c r="IF7" s="464"/>
      <c r="IG7" s="465"/>
      <c r="IH7" s="463"/>
      <c r="II7" s="463"/>
      <c r="IJ7" s="463"/>
    </row>
    <row r="8" spans="2:244" ht="15" x14ac:dyDescent="0.25">
      <c r="B8" s="457">
        <v>3</v>
      </c>
      <c r="C8" s="704" t="str">
        <f>RUAS!B8</f>
        <v>RUA ANDIRÁ - T2</v>
      </c>
      <c r="D8" s="679">
        <v>4</v>
      </c>
      <c r="E8" s="680" t="s">
        <v>352</v>
      </c>
      <c r="F8" s="681">
        <v>2.9319999999999999</v>
      </c>
      <c r="G8" s="679">
        <v>5</v>
      </c>
      <c r="H8" s="680" t="s">
        <v>352</v>
      </c>
      <c r="I8" s="681">
        <v>0.67400000000000004</v>
      </c>
      <c r="J8" s="682">
        <f t="shared" si="0"/>
        <v>17.739999999999998</v>
      </c>
      <c r="K8" s="682">
        <v>2</v>
      </c>
      <c r="L8" s="684">
        <f t="shared" si="1"/>
        <v>35.479999999999997</v>
      </c>
      <c r="M8" s="682">
        <v>0</v>
      </c>
      <c r="N8" s="684">
        <f t="shared" si="2"/>
        <v>0</v>
      </c>
      <c r="O8" s="684">
        <f t="shared" si="3"/>
        <v>35.479999999999997</v>
      </c>
      <c r="P8" s="463"/>
      <c r="T8" s="463"/>
      <c r="U8" s="463"/>
      <c r="V8" s="463"/>
      <c r="W8" s="463"/>
      <c r="X8" s="464"/>
      <c r="Y8" s="465"/>
      <c r="Z8" s="463"/>
      <c r="AA8" s="463"/>
      <c r="AB8" s="463"/>
      <c r="AC8" s="463"/>
      <c r="AD8" s="464"/>
      <c r="AE8" s="465"/>
      <c r="AF8" s="463"/>
      <c r="AG8" s="463"/>
      <c r="AH8" s="463"/>
      <c r="AI8" s="463"/>
      <c r="AJ8" s="464"/>
      <c r="AK8" s="465"/>
      <c r="AL8" s="463"/>
      <c r="AM8" s="463"/>
      <c r="AN8" s="463"/>
      <c r="AO8" s="463"/>
      <c r="AP8" s="464"/>
      <c r="AQ8" s="465"/>
      <c r="AR8" s="463"/>
      <c r="AS8" s="463"/>
      <c r="AT8" s="463"/>
      <c r="AU8" s="463"/>
      <c r="AV8" s="464"/>
      <c r="AW8" s="465"/>
      <c r="AX8" s="463"/>
      <c r="AY8" s="463"/>
      <c r="AZ8" s="463"/>
      <c r="BA8" s="463"/>
      <c r="BB8" s="464"/>
      <c r="BC8" s="465"/>
      <c r="BD8" s="463"/>
      <c r="BE8" s="463"/>
      <c r="BF8" s="463"/>
      <c r="BG8" s="463"/>
      <c r="BH8" s="464"/>
      <c r="BI8" s="465"/>
      <c r="BJ8" s="463"/>
      <c r="BK8" s="463"/>
      <c r="BL8" s="463"/>
      <c r="BM8" s="463"/>
      <c r="BN8" s="464"/>
      <c r="BO8" s="465"/>
      <c r="BP8" s="463"/>
      <c r="BQ8" s="463"/>
      <c r="BR8" s="463"/>
      <c r="BS8" s="463"/>
      <c r="BT8" s="464"/>
      <c r="BU8" s="465"/>
      <c r="BV8" s="463"/>
      <c r="BW8" s="463"/>
      <c r="BX8" s="463"/>
      <c r="BY8" s="463"/>
      <c r="BZ8" s="464"/>
      <c r="CA8" s="465"/>
      <c r="CB8" s="463"/>
      <c r="CC8" s="463"/>
      <c r="CD8" s="463"/>
      <c r="CE8" s="463"/>
      <c r="CF8" s="464"/>
      <c r="CG8" s="465"/>
      <c r="CH8" s="463"/>
      <c r="CI8" s="463"/>
      <c r="CJ8" s="463"/>
      <c r="CK8" s="463"/>
      <c r="CL8" s="464"/>
      <c r="CM8" s="465"/>
      <c r="CN8" s="463"/>
      <c r="CO8" s="463"/>
      <c r="CP8" s="463"/>
      <c r="CQ8" s="463"/>
      <c r="CR8" s="464"/>
      <c r="CS8" s="465"/>
      <c r="CT8" s="463"/>
      <c r="CU8" s="463"/>
      <c r="CV8" s="463"/>
      <c r="CW8" s="463"/>
      <c r="CX8" s="464"/>
      <c r="CY8" s="465"/>
      <c r="CZ8" s="463"/>
      <c r="DA8" s="463"/>
      <c r="DB8" s="463"/>
      <c r="DC8" s="463"/>
      <c r="DD8" s="464"/>
      <c r="DE8" s="465"/>
      <c r="DF8" s="463"/>
      <c r="DG8" s="463"/>
      <c r="DH8" s="463"/>
      <c r="DI8" s="463"/>
      <c r="DJ8" s="464"/>
      <c r="DK8" s="465"/>
      <c r="DL8" s="463"/>
      <c r="DM8" s="463"/>
      <c r="DN8" s="463"/>
      <c r="DO8" s="463"/>
      <c r="DP8" s="464"/>
      <c r="DQ8" s="465"/>
      <c r="DR8" s="463"/>
      <c r="DS8" s="463"/>
      <c r="DT8" s="463"/>
      <c r="DU8" s="463"/>
      <c r="DV8" s="464"/>
      <c r="DW8" s="465"/>
      <c r="DX8" s="463"/>
      <c r="DY8" s="463"/>
      <c r="DZ8" s="463"/>
      <c r="EA8" s="463"/>
      <c r="EB8" s="464"/>
      <c r="EC8" s="465"/>
      <c r="ED8" s="463"/>
      <c r="EE8" s="463"/>
      <c r="EF8" s="463"/>
      <c r="EG8" s="463"/>
      <c r="EH8" s="464"/>
      <c r="EI8" s="465"/>
      <c r="EJ8" s="463"/>
      <c r="EK8" s="463"/>
      <c r="EL8" s="463"/>
      <c r="EM8" s="463"/>
      <c r="EN8" s="464"/>
      <c r="EO8" s="465"/>
      <c r="EP8" s="463"/>
      <c r="EQ8" s="463"/>
      <c r="ER8" s="463"/>
      <c r="ES8" s="463"/>
      <c r="ET8" s="464"/>
      <c r="EU8" s="465"/>
      <c r="EV8" s="463"/>
      <c r="EW8" s="463"/>
      <c r="EX8" s="463"/>
      <c r="EY8" s="463"/>
      <c r="EZ8" s="464"/>
      <c r="FA8" s="465"/>
      <c r="FB8" s="463"/>
      <c r="FC8" s="463"/>
      <c r="FD8" s="463"/>
      <c r="FE8" s="463"/>
      <c r="FF8" s="464"/>
      <c r="FG8" s="465"/>
      <c r="FH8" s="463"/>
      <c r="FI8" s="463"/>
      <c r="FJ8" s="463"/>
      <c r="FK8" s="463"/>
      <c r="FL8" s="464"/>
      <c r="FM8" s="465"/>
      <c r="FN8" s="463"/>
      <c r="FO8" s="463"/>
      <c r="FP8" s="463"/>
      <c r="FQ8" s="463"/>
      <c r="FR8" s="464"/>
      <c r="FS8" s="465"/>
      <c r="FT8" s="463"/>
      <c r="FU8" s="463"/>
      <c r="FV8" s="463"/>
      <c r="FW8" s="463"/>
      <c r="FX8" s="464"/>
      <c r="FY8" s="465"/>
      <c r="FZ8" s="463"/>
      <c r="GA8" s="463"/>
      <c r="GB8" s="463"/>
      <c r="GC8" s="463"/>
      <c r="GD8" s="464"/>
      <c r="GE8" s="465"/>
      <c r="GF8" s="463"/>
      <c r="GG8" s="463"/>
      <c r="GH8" s="463"/>
      <c r="GI8" s="463"/>
      <c r="GJ8" s="464"/>
      <c r="GK8" s="465"/>
      <c r="GL8" s="463"/>
      <c r="GM8" s="463"/>
      <c r="GN8" s="463"/>
      <c r="GO8" s="463"/>
      <c r="GP8" s="464"/>
      <c r="GQ8" s="465"/>
      <c r="GR8" s="463"/>
      <c r="GS8" s="463"/>
      <c r="GT8" s="463"/>
      <c r="GU8" s="463"/>
      <c r="GV8" s="464"/>
      <c r="GW8" s="465"/>
      <c r="GX8" s="463"/>
      <c r="GY8" s="463"/>
      <c r="GZ8" s="463"/>
      <c r="HA8" s="463"/>
      <c r="HB8" s="464"/>
      <c r="HC8" s="465"/>
      <c r="HD8" s="463"/>
      <c r="HE8" s="463"/>
      <c r="HF8" s="463"/>
      <c r="HG8" s="463"/>
      <c r="HH8" s="464"/>
      <c r="HI8" s="465"/>
      <c r="HJ8" s="463"/>
      <c r="HK8" s="463"/>
      <c r="HL8" s="463"/>
      <c r="HM8" s="463"/>
      <c r="HN8" s="464"/>
      <c r="HO8" s="465"/>
      <c r="HP8" s="463"/>
      <c r="HQ8" s="463"/>
      <c r="HR8" s="463"/>
      <c r="HS8" s="463"/>
      <c r="HT8" s="464"/>
      <c r="HU8" s="465"/>
      <c r="HV8" s="463"/>
      <c r="HW8" s="463"/>
      <c r="HX8" s="463"/>
      <c r="HY8" s="463"/>
      <c r="HZ8" s="464"/>
      <c r="IA8" s="465"/>
      <c r="IB8" s="463"/>
      <c r="IC8" s="463"/>
      <c r="ID8" s="463"/>
      <c r="IE8" s="463"/>
      <c r="IF8" s="464"/>
      <c r="IG8" s="465"/>
      <c r="IH8" s="463"/>
      <c r="II8" s="463"/>
      <c r="IJ8" s="463"/>
    </row>
    <row r="9" spans="2:244" ht="15" x14ac:dyDescent="0.25">
      <c r="B9" s="457">
        <v>4</v>
      </c>
      <c r="C9" s="704" t="str">
        <f>RUAS!B9</f>
        <v>AVENIDA SETE DE SETEMBRO - LE</v>
      </c>
      <c r="D9" s="679">
        <v>4</v>
      </c>
      <c r="E9" s="680" t="s">
        <v>352</v>
      </c>
      <c r="F9" s="681">
        <v>8.9390000000000001</v>
      </c>
      <c r="G9" s="679">
        <v>8</v>
      </c>
      <c r="H9" s="680" t="s">
        <v>352</v>
      </c>
      <c r="I9" s="681">
        <v>5.6059999999999999</v>
      </c>
      <c r="J9" s="682">
        <f t="shared" si="0"/>
        <v>76.66</v>
      </c>
      <c r="K9" s="682">
        <v>0</v>
      </c>
      <c r="L9" s="684">
        <f t="shared" si="1"/>
        <v>0</v>
      </c>
      <c r="M9" s="682">
        <v>2.75</v>
      </c>
      <c r="N9" s="684">
        <f t="shared" si="2"/>
        <v>210.81</v>
      </c>
      <c r="O9" s="684">
        <f t="shared" si="3"/>
        <v>210.81</v>
      </c>
      <c r="P9" s="463"/>
      <c r="T9" s="463"/>
      <c r="U9" s="463"/>
      <c r="V9" s="463"/>
      <c r="W9" s="463"/>
      <c r="X9" s="464"/>
      <c r="Y9" s="465"/>
      <c r="Z9" s="463"/>
      <c r="AA9" s="463"/>
      <c r="AB9" s="463"/>
      <c r="AC9" s="463"/>
      <c r="AD9" s="464"/>
      <c r="AE9" s="465"/>
      <c r="AF9" s="463"/>
      <c r="AG9" s="463"/>
      <c r="AH9" s="463"/>
      <c r="AI9" s="463"/>
      <c r="AJ9" s="464"/>
      <c r="AK9" s="465"/>
      <c r="AL9" s="463"/>
      <c r="AM9" s="463"/>
      <c r="AN9" s="463"/>
      <c r="AO9" s="463"/>
      <c r="AP9" s="464"/>
      <c r="AQ9" s="465"/>
      <c r="AR9" s="463"/>
      <c r="AS9" s="463"/>
      <c r="AT9" s="463"/>
      <c r="AU9" s="463"/>
      <c r="AV9" s="464"/>
      <c r="AW9" s="465"/>
      <c r="AX9" s="463"/>
      <c r="AY9" s="463"/>
      <c r="AZ9" s="463"/>
      <c r="BA9" s="463"/>
      <c r="BB9" s="464"/>
      <c r="BC9" s="465"/>
      <c r="BD9" s="463"/>
      <c r="BE9" s="463"/>
      <c r="BF9" s="463"/>
      <c r="BG9" s="463"/>
      <c r="BH9" s="464"/>
      <c r="BI9" s="465"/>
      <c r="BJ9" s="463"/>
      <c r="BK9" s="463"/>
      <c r="BL9" s="463"/>
      <c r="BM9" s="463"/>
      <c r="BN9" s="464"/>
      <c r="BO9" s="465"/>
      <c r="BP9" s="463"/>
      <c r="BQ9" s="463"/>
      <c r="BR9" s="463"/>
      <c r="BS9" s="463"/>
      <c r="BT9" s="464"/>
      <c r="BU9" s="465"/>
      <c r="BV9" s="463"/>
      <c r="BW9" s="463"/>
      <c r="BX9" s="463"/>
      <c r="BY9" s="463"/>
      <c r="BZ9" s="464"/>
      <c r="CA9" s="465"/>
      <c r="CB9" s="463"/>
      <c r="CC9" s="463"/>
      <c r="CD9" s="463"/>
      <c r="CE9" s="463"/>
      <c r="CF9" s="464"/>
      <c r="CG9" s="465"/>
      <c r="CH9" s="463"/>
      <c r="CI9" s="463"/>
      <c r="CJ9" s="463"/>
      <c r="CK9" s="463"/>
      <c r="CL9" s="464"/>
      <c r="CM9" s="465"/>
      <c r="CN9" s="463"/>
      <c r="CO9" s="463"/>
      <c r="CP9" s="463"/>
      <c r="CQ9" s="463"/>
      <c r="CR9" s="464"/>
      <c r="CS9" s="465"/>
      <c r="CT9" s="463"/>
      <c r="CU9" s="463"/>
      <c r="CV9" s="463"/>
      <c r="CW9" s="463"/>
      <c r="CX9" s="464"/>
      <c r="CY9" s="465"/>
      <c r="CZ9" s="463"/>
      <c r="DA9" s="463"/>
      <c r="DB9" s="463"/>
      <c r="DC9" s="463"/>
      <c r="DD9" s="464"/>
      <c r="DE9" s="465"/>
      <c r="DF9" s="463"/>
      <c r="DG9" s="463"/>
      <c r="DH9" s="463"/>
      <c r="DI9" s="463"/>
      <c r="DJ9" s="464"/>
      <c r="DK9" s="465"/>
      <c r="DL9" s="463"/>
      <c r="DM9" s="463"/>
      <c r="DN9" s="463"/>
      <c r="DO9" s="463"/>
      <c r="DP9" s="464"/>
      <c r="DQ9" s="465"/>
      <c r="DR9" s="463"/>
      <c r="DS9" s="463"/>
      <c r="DT9" s="463"/>
      <c r="DU9" s="463"/>
      <c r="DV9" s="464"/>
      <c r="DW9" s="465"/>
      <c r="DX9" s="463"/>
      <c r="DY9" s="463"/>
      <c r="DZ9" s="463"/>
      <c r="EA9" s="463"/>
      <c r="EB9" s="464"/>
      <c r="EC9" s="465"/>
      <c r="ED9" s="463"/>
      <c r="EE9" s="463"/>
      <c r="EF9" s="463"/>
      <c r="EG9" s="463"/>
      <c r="EH9" s="464"/>
      <c r="EI9" s="465"/>
      <c r="EJ9" s="463"/>
      <c r="EK9" s="463"/>
      <c r="EL9" s="463"/>
      <c r="EM9" s="463"/>
      <c r="EN9" s="464"/>
      <c r="EO9" s="465"/>
      <c r="EP9" s="463"/>
      <c r="EQ9" s="463"/>
      <c r="ER9" s="463"/>
      <c r="ES9" s="463"/>
      <c r="ET9" s="464"/>
      <c r="EU9" s="465"/>
      <c r="EV9" s="463"/>
      <c r="EW9" s="463"/>
      <c r="EX9" s="463"/>
      <c r="EY9" s="463"/>
      <c r="EZ9" s="464"/>
      <c r="FA9" s="465"/>
      <c r="FB9" s="463"/>
      <c r="FC9" s="463"/>
      <c r="FD9" s="463"/>
      <c r="FE9" s="463"/>
      <c r="FF9" s="464"/>
      <c r="FG9" s="465"/>
      <c r="FH9" s="463"/>
      <c r="FI9" s="463"/>
      <c r="FJ9" s="463"/>
      <c r="FK9" s="463"/>
      <c r="FL9" s="464"/>
      <c r="FM9" s="465"/>
      <c r="FN9" s="463"/>
      <c r="FO9" s="463"/>
      <c r="FP9" s="463"/>
      <c r="FQ9" s="463"/>
      <c r="FR9" s="464"/>
      <c r="FS9" s="465"/>
      <c r="FT9" s="463"/>
      <c r="FU9" s="463"/>
      <c r="FV9" s="463"/>
      <c r="FW9" s="463"/>
      <c r="FX9" s="464"/>
      <c r="FY9" s="465"/>
      <c r="FZ9" s="463"/>
      <c r="GA9" s="463"/>
      <c r="GB9" s="463"/>
      <c r="GC9" s="463"/>
      <c r="GD9" s="464"/>
      <c r="GE9" s="465"/>
      <c r="GF9" s="463"/>
      <c r="GG9" s="463"/>
      <c r="GH9" s="463"/>
      <c r="GI9" s="463"/>
      <c r="GJ9" s="464"/>
      <c r="GK9" s="465"/>
      <c r="GL9" s="463"/>
      <c r="GM9" s="463"/>
      <c r="GN9" s="463"/>
      <c r="GO9" s="463"/>
      <c r="GP9" s="464"/>
      <c r="GQ9" s="465"/>
      <c r="GR9" s="463"/>
      <c r="GS9" s="463"/>
      <c r="GT9" s="463"/>
      <c r="GU9" s="463"/>
      <c r="GV9" s="464"/>
      <c r="GW9" s="465"/>
      <c r="GX9" s="463"/>
      <c r="GY9" s="463"/>
      <c r="GZ9" s="463"/>
      <c r="HA9" s="463"/>
      <c r="HB9" s="464"/>
      <c r="HC9" s="465"/>
      <c r="HD9" s="463"/>
      <c r="HE9" s="463"/>
      <c r="HF9" s="463"/>
      <c r="HG9" s="463"/>
      <c r="HH9" s="464"/>
      <c r="HI9" s="465"/>
      <c r="HJ9" s="463"/>
      <c r="HK9" s="463"/>
      <c r="HL9" s="463"/>
      <c r="HM9" s="463"/>
      <c r="HN9" s="464"/>
      <c r="HO9" s="465"/>
      <c r="HP9" s="463"/>
      <c r="HQ9" s="463"/>
      <c r="HR9" s="463"/>
      <c r="HS9" s="463"/>
      <c r="HT9" s="464"/>
      <c r="HU9" s="465"/>
      <c r="HV9" s="463"/>
      <c r="HW9" s="463"/>
      <c r="HX9" s="463"/>
      <c r="HY9" s="463"/>
      <c r="HZ9" s="464"/>
      <c r="IA9" s="465"/>
      <c r="IB9" s="463"/>
      <c r="IC9" s="463"/>
      <c r="ID9" s="463"/>
      <c r="IE9" s="463"/>
      <c r="IF9" s="464"/>
      <c r="IG9" s="465"/>
      <c r="IH9" s="463"/>
      <c r="II9" s="463"/>
      <c r="IJ9" s="463"/>
    </row>
    <row r="10" spans="2:244" ht="15" x14ac:dyDescent="0.25">
      <c r="B10" s="457">
        <v>5</v>
      </c>
      <c r="C10" s="704" t="str">
        <f>RUAS!B10</f>
        <v>AVENIDA SETE DE SETEMBRO - LD</v>
      </c>
      <c r="D10" s="679">
        <v>7</v>
      </c>
      <c r="E10" s="680" t="s">
        <v>352</v>
      </c>
      <c r="F10" s="681">
        <v>16.102</v>
      </c>
      <c r="G10" s="679">
        <v>8</v>
      </c>
      <c r="H10" s="680" t="s">
        <v>352</v>
      </c>
      <c r="I10" s="681">
        <v>14.87</v>
      </c>
      <c r="J10" s="682">
        <f t="shared" si="0"/>
        <v>18.760000000000002</v>
      </c>
      <c r="K10" s="682">
        <v>2.5</v>
      </c>
      <c r="L10" s="684">
        <f t="shared" si="1"/>
        <v>46.9</v>
      </c>
      <c r="M10" s="682">
        <v>0</v>
      </c>
      <c r="N10" s="684">
        <f t="shared" si="2"/>
        <v>0</v>
      </c>
      <c r="O10" s="684">
        <f t="shared" si="3"/>
        <v>46.9</v>
      </c>
      <c r="P10" s="463"/>
      <c r="T10" s="463"/>
      <c r="U10" s="463"/>
      <c r="V10" s="463"/>
      <c r="W10" s="463"/>
      <c r="X10" s="464"/>
      <c r="Y10" s="465"/>
      <c r="Z10" s="463"/>
      <c r="AA10" s="463"/>
      <c r="AB10" s="463"/>
      <c r="AC10" s="463"/>
      <c r="AD10" s="464"/>
      <c r="AE10" s="465"/>
      <c r="AF10" s="463"/>
      <c r="AG10" s="463"/>
      <c r="AH10" s="463"/>
      <c r="AI10" s="463"/>
      <c r="AJ10" s="464"/>
      <c r="AK10" s="465"/>
      <c r="AL10" s="463"/>
      <c r="AM10" s="463"/>
      <c r="AN10" s="463"/>
      <c r="AO10" s="463"/>
      <c r="AP10" s="464"/>
      <c r="AQ10" s="465"/>
      <c r="AR10" s="463"/>
      <c r="AS10" s="463"/>
      <c r="AT10" s="463"/>
      <c r="AU10" s="463"/>
      <c r="AV10" s="464"/>
      <c r="AW10" s="465"/>
      <c r="AX10" s="463"/>
      <c r="AY10" s="463"/>
      <c r="AZ10" s="463"/>
      <c r="BA10" s="463"/>
      <c r="BB10" s="464"/>
      <c r="BC10" s="465"/>
      <c r="BD10" s="463"/>
      <c r="BE10" s="463"/>
      <c r="BF10" s="463"/>
      <c r="BG10" s="463"/>
      <c r="BH10" s="464"/>
      <c r="BI10" s="465"/>
      <c r="BJ10" s="463"/>
      <c r="BK10" s="463"/>
      <c r="BL10" s="463"/>
      <c r="BM10" s="463"/>
      <c r="BN10" s="464"/>
      <c r="BO10" s="465"/>
      <c r="BP10" s="463"/>
      <c r="BQ10" s="463"/>
      <c r="BR10" s="463"/>
      <c r="BS10" s="463"/>
      <c r="BT10" s="464"/>
      <c r="BU10" s="465"/>
      <c r="BV10" s="463"/>
      <c r="BW10" s="463"/>
      <c r="BX10" s="463"/>
      <c r="BY10" s="463"/>
      <c r="BZ10" s="464"/>
      <c r="CA10" s="465"/>
      <c r="CB10" s="463"/>
      <c r="CC10" s="463"/>
      <c r="CD10" s="463"/>
      <c r="CE10" s="463"/>
      <c r="CF10" s="464"/>
      <c r="CG10" s="465"/>
      <c r="CH10" s="463"/>
      <c r="CI10" s="463"/>
      <c r="CJ10" s="463"/>
      <c r="CK10" s="463"/>
      <c r="CL10" s="464"/>
      <c r="CM10" s="465"/>
      <c r="CN10" s="463"/>
      <c r="CO10" s="463"/>
      <c r="CP10" s="463"/>
      <c r="CQ10" s="463"/>
      <c r="CR10" s="464"/>
      <c r="CS10" s="465"/>
      <c r="CT10" s="463"/>
      <c r="CU10" s="463"/>
      <c r="CV10" s="463"/>
      <c r="CW10" s="463"/>
      <c r="CX10" s="464"/>
      <c r="CY10" s="465"/>
      <c r="CZ10" s="463"/>
      <c r="DA10" s="463"/>
      <c r="DB10" s="463"/>
      <c r="DC10" s="463"/>
      <c r="DD10" s="464"/>
      <c r="DE10" s="465"/>
      <c r="DF10" s="463"/>
      <c r="DG10" s="463"/>
      <c r="DH10" s="463"/>
      <c r="DI10" s="463"/>
      <c r="DJ10" s="464"/>
      <c r="DK10" s="465"/>
      <c r="DL10" s="463"/>
      <c r="DM10" s="463"/>
      <c r="DN10" s="463"/>
      <c r="DO10" s="463"/>
      <c r="DP10" s="464"/>
      <c r="DQ10" s="465"/>
      <c r="DR10" s="463"/>
      <c r="DS10" s="463"/>
      <c r="DT10" s="463"/>
      <c r="DU10" s="463"/>
      <c r="DV10" s="464"/>
      <c r="DW10" s="465"/>
      <c r="DX10" s="463"/>
      <c r="DY10" s="463"/>
      <c r="DZ10" s="463"/>
      <c r="EA10" s="463"/>
      <c r="EB10" s="464"/>
      <c r="EC10" s="465"/>
      <c r="ED10" s="463"/>
      <c r="EE10" s="463"/>
      <c r="EF10" s="463"/>
      <c r="EG10" s="463"/>
      <c r="EH10" s="464"/>
      <c r="EI10" s="465"/>
      <c r="EJ10" s="463"/>
      <c r="EK10" s="463"/>
      <c r="EL10" s="463"/>
      <c r="EM10" s="463"/>
      <c r="EN10" s="464"/>
      <c r="EO10" s="465"/>
      <c r="EP10" s="463"/>
      <c r="EQ10" s="463"/>
      <c r="ER10" s="463"/>
      <c r="ES10" s="463"/>
      <c r="ET10" s="464"/>
      <c r="EU10" s="465"/>
      <c r="EV10" s="463"/>
      <c r="EW10" s="463"/>
      <c r="EX10" s="463"/>
      <c r="EY10" s="463"/>
      <c r="EZ10" s="464"/>
      <c r="FA10" s="465"/>
      <c r="FB10" s="463"/>
      <c r="FC10" s="463"/>
      <c r="FD10" s="463"/>
      <c r="FE10" s="463"/>
      <c r="FF10" s="464"/>
      <c r="FG10" s="465"/>
      <c r="FH10" s="463"/>
      <c r="FI10" s="463"/>
      <c r="FJ10" s="463"/>
      <c r="FK10" s="463"/>
      <c r="FL10" s="464"/>
      <c r="FM10" s="465"/>
      <c r="FN10" s="463"/>
      <c r="FO10" s="463"/>
      <c r="FP10" s="463"/>
      <c r="FQ10" s="463"/>
      <c r="FR10" s="464"/>
      <c r="FS10" s="465"/>
      <c r="FT10" s="463"/>
      <c r="FU10" s="463"/>
      <c r="FV10" s="463"/>
      <c r="FW10" s="463"/>
      <c r="FX10" s="464"/>
      <c r="FY10" s="465"/>
      <c r="FZ10" s="463"/>
      <c r="GA10" s="463"/>
      <c r="GB10" s="463"/>
      <c r="GC10" s="463"/>
      <c r="GD10" s="464"/>
      <c r="GE10" s="465"/>
      <c r="GF10" s="463"/>
      <c r="GG10" s="463"/>
      <c r="GH10" s="463"/>
      <c r="GI10" s="463"/>
      <c r="GJ10" s="464"/>
      <c r="GK10" s="465"/>
      <c r="GL10" s="463"/>
      <c r="GM10" s="463"/>
      <c r="GN10" s="463"/>
      <c r="GO10" s="463"/>
      <c r="GP10" s="464"/>
      <c r="GQ10" s="465"/>
      <c r="GR10" s="463"/>
      <c r="GS10" s="463"/>
      <c r="GT10" s="463"/>
      <c r="GU10" s="463"/>
      <c r="GV10" s="464"/>
      <c r="GW10" s="465"/>
      <c r="GX10" s="463"/>
      <c r="GY10" s="463"/>
      <c r="GZ10" s="463"/>
      <c r="HA10" s="463"/>
      <c r="HB10" s="464"/>
      <c r="HC10" s="465"/>
      <c r="HD10" s="463"/>
      <c r="HE10" s="463"/>
      <c r="HF10" s="463"/>
      <c r="HG10" s="463"/>
      <c r="HH10" s="464"/>
      <c r="HI10" s="465"/>
      <c r="HJ10" s="463"/>
      <c r="HK10" s="463"/>
      <c r="HL10" s="463"/>
      <c r="HM10" s="463"/>
      <c r="HN10" s="464"/>
      <c r="HO10" s="465"/>
      <c r="HP10" s="463"/>
      <c r="HQ10" s="463"/>
      <c r="HR10" s="463"/>
      <c r="HS10" s="463"/>
      <c r="HT10" s="464"/>
      <c r="HU10" s="465"/>
      <c r="HV10" s="463"/>
      <c r="HW10" s="463"/>
      <c r="HX10" s="463"/>
      <c r="HY10" s="463"/>
      <c r="HZ10" s="464"/>
      <c r="IA10" s="465"/>
      <c r="IB10" s="463"/>
      <c r="IC10" s="463"/>
      <c r="ID10" s="463"/>
      <c r="IE10" s="463"/>
      <c r="IF10" s="464"/>
      <c r="IG10" s="465"/>
      <c r="IH10" s="463"/>
      <c r="II10" s="463"/>
      <c r="IJ10" s="463"/>
    </row>
    <row r="11" spans="2:244" ht="15" x14ac:dyDescent="0.25">
      <c r="B11" s="457">
        <v>6</v>
      </c>
      <c r="C11" s="704" t="str">
        <f>RUAS!B11</f>
        <v>RUA INDEPENDÊNCIA - T1</v>
      </c>
      <c r="D11" s="679">
        <v>0</v>
      </c>
      <c r="E11" s="680" t="s">
        <v>352</v>
      </c>
      <c r="F11" s="681">
        <v>18.486999999999998</v>
      </c>
      <c r="G11" s="679">
        <v>3</v>
      </c>
      <c r="H11" s="680" t="s">
        <v>352</v>
      </c>
      <c r="I11" s="681">
        <v>4.8559999999999999</v>
      </c>
      <c r="J11" s="682">
        <f t="shared" si="0"/>
        <v>46.36</v>
      </c>
      <c r="K11" s="682">
        <v>2</v>
      </c>
      <c r="L11" s="684">
        <f t="shared" si="1"/>
        <v>92.72</v>
      </c>
      <c r="M11" s="682">
        <v>0</v>
      </c>
      <c r="N11" s="684">
        <f t="shared" si="2"/>
        <v>0</v>
      </c>
      <c r="O11" s="684">
        <f t="shared" si="3"/>
        <v>92.72</v>
      </c>
      <c r="P11" s="463"/>
      <c r="T11" s="463"/>
      <c r="U11" s="463"/>
      <c r="V11" s="463"/>
      <c r="W11" s="463"/>
      <c r="X11" s="464"/>
      <c r="Y11" s="465"/>
      <c r="Z11" s="463"/>
      <c r="AA11" s="463"/>
      <c r="AB11" s="463"/>
      <c r="AC11" s="463"/>
      <c r="AD11" s="464"/>
      <c r="AE11" s="465"/>
      <c r="AF11" s="463"/>
      <c r="AG11" s="463"/>
      <c r="AH11" s="463"/>
      <c r="AI11" s="463"/>
      <c r="AJ11" s="464"/>
      <c r="AK11" s="465"/>
      <c r="AL11" s="463"/>
      <c r="AM11" s="463"/>
      <c r="AN11" s="463"/>
      <c r="AO11" s="463"/>
      <c r="AP11" s="464"/>
      <c r="AQ11" s="465"/>
      <c r="AR11" s="463"/>
      <c r="AS11" s="463"/>
      <c r="AT11" s="463"/>
      <c r="AU11" s="463"/>
      <c r="AV11" s="464"/>
      <c r="AW11" s="465"/>
      <c r="AX11" s="463"/>
      <c r="AY11" s="463"/>
      <c r="AZ11" s="463"/>
      <c r="BA11" s="463"/>
      <c r="BB11" s="464"/>
      <c r="BC11" s="465"/>
      <c r="BD11" s="463"/>
      <c r="BE11" s="463"/>
      <c r="BF11" s="463"/>
      <c r="BG11" s="463"/>
      <c r="BH11" s="464"/>
      <c r="BI11" s="465"/>
      <c r="BJ11" s="463"/>
      <c r="BK11" s="463"/>
      <c r="BL11" s="463"/>
      <c r="BM11" s="463"/>
      <c r="BN11" s="464"/>
      <c r="BO11" s="465"/>
      <c r="BP11" s="463"/>
      <c r="BQ11" s="463"/>
      <c r="BR11" s="463"/>
      <c r="BS11" s="463"/>
      <c r="BT11" s="464"/>
      <c r="BU11" s="465"/>
      <c r="BV11" s="463"/>
      <c r="BW11" s="463"/>
      <c r="BX11" s="463"/>
      <c r="BY11" s="463"/>
      <c r="BZ11" s="464"/>
      <c r="CA11" s="465"/>
      <c r="CB11" s="463"/>
      <c r="CC11" s="463"/>
      <c r="CD11" s="463"/>
      <c r="CE11" s="463"/>
      <c r="CF11" s="464"/>
      <c r="CG11" s="465"/>
      <c r="CH11" s="463"/>
      <c r="CI11" s="463"/>
      <c r="CJ11" s="463"/>
      <c r="CK11" s="463"/>
      <c r="CL11" s="464"/>
      <c r="CM11" s="465"/>
      <c r="CN11" s="463"/>
      <c r="CO11" s="463"/>
      <c r="CP11" s="463"/>
      <c r="CQ11" s="463"/>
      <c r="CR11" s="464"/>
      <c r="CS11" s="465"/>
      <c r="CT11" s="463"/>
      <c r="CU11" s="463"/>
      <c r="CV11" s="463"/>
      <c r="CW11" s="463"/>
      <c r="CX11" s="464"/>
      <c r="CY11" s="465"/>
      <c r="CZ11" s="463"/>
      <c r="DA11" s="463"/>
      <c r="DB11" s="463"/>
      <c r="DC11" s="463"/>
      <c r="DD11" s="464"/>
      <c r="DE11" s="465"/>
      <c r="DF11" s="463"/>
      <c r="DG11" s="463"/>
      <c r="DH11" s="463"/>
      <c r="DI11" s="463"/>
      <c r="DJ11" s="464"/>
      <c r="DK11" s="465"/>
      <c r="DL11" s="463"/>
      <c r="DM11" s="463"/>
      <c r="DN11" s="463"/>
      <c r="DO11" s="463"/>
      <c r="DP11" s="464"/>
      <c r="DQ11" s="465"/>
      <c r="DR11" s="463"/>
      <c r="DS11" s="463"/>
      <c r="DT11" s="463"/>
      <c r="DU11" s="463"/>
      <c r="DV11" s="464"/>
      <c r="DW11" s="465"/>
      <c r="DX11" s="463"/>
      <c r="DY11" s="463"/>
      <c r="DZ11" s="463"/>
      <c r="EA11" s="463"/>
      <c r="EB11" s="464"/>
      <c r="EC11" s="465"/>
      <c r="ED11" s="463"/>
      <c r="EE11" s="463"/>
      <c r="EF11" s="463"/>
      <c r="EG11" s="463"/>
      <c r="EH11" s="464"/>
      <c r="EI11" s="465"/>
      <c r="EJ11" s="463"/>
      <c r="EK11" s="463"/>
      <c r="EL11" s="463"/>
      <c r="EM11" s="463"/>
      <c r="EN11" s="464"/>
      <c r="EO11" s="465"/>
      <c r="EP11" s="463"/>
      <c r="EQ11" s="463"/>
      <c r="ER11" s="463"/>
      <c r="ES11" s="463"/>
      <c r="ET11" s="464"/>
      <c r="EU11" s="465"/>
      <c r="EV11" s="463"/>
      <c r="EW11" s="463"/>
      <c r="EX11" s="463"/>
      <c r="EY11" s="463"/>
      <c r="EZ11" s="464"/>
      <c r="FA11" s="465"/>
      <c r="FB11" s="463"/>
      <c r="FC11" s="463"/>
      <c r="FD11" s="463"/>
      <c r="FE11" s="463"/>
      <c r="FF11" s="464"/>
      <c r="FG11" s="465"/>
      <c r="FH11" s="463"/>
      <c r="FI11" s="463"/>
      <c r="FJ11" s="463"/>
      <c r="FK11" s="463"/>
      <c r="FL11" s="464"/>
      <c r="FM11" s="465"/>
      <c r="FN11" s="463"/>
      <c r="FO11" s="463"/>
      <c r="FP11" s="463"/>
      <c r="FQ11" s="463"/>
      <c r="FR11" s="464"/>
      <c r="FS11" s="465"/>
      <c r="FT11" s="463"/>
      <c r="FU11" s="463"/>
      <c r="FV11" s="463"/>
      <c r="FW11" s="463"/>
      <c r="FX11" s="464"/>
      <c r="FY11" s="465"/>
      <c r="FZ11" s="463"/>
      <c r="GA11" s="463"/>
      <c r="GB11" s="463"/>
      <c r="GC11" s="463"/>
      <c r="GD11" s="464"/>
      <c r="GE11" s="465"/>
      <c r="GF11" s="463"/>
      <c r="GG11" s="463"/>
      <c r="GH11" s="463"/>
      <c r="GI11" s="463"/>
      <c r="GJ11" s="464"/>
      <c r="GK11" s="465"/>
      <c r="GL11" s="463"/>
      <c r="GM11" s="463"/>
      <c r="GN11" s="463"/>
      <c r="GO11" s="463"/>
      <c r="GP11" s="464"/>
      <c r="GQ11" s="465"/>
      <c r="GR11" s="463"/>
      <c r="GS11" s="463"/>
      <c r="GT11" s="463"/>
      <c r="GU11" s="463"/>
      <c r="GV11" s="464"/>
      <c r="GW11" s="465"/>
      <c r="GX11" s="463"/>
      <c r="GY11" s="463"/>
      <c r="GZ11" s="463"/>
      <c r="HA11" s="463"/>
      <c r="HB11" s="464"/>
      <c r="HC11" s="465"/>
      <c r="HD11" s="463"/>
      <c r="HE11" s="463"/>
      <c r="HF11" s="463"/>
      <c r="HG11" s="463"/>
      <c r="HH11" s="464"/>
      <c r="HI11" s="465"/>
      <c r="HJ11" s="463"/>
      <c r="HK11" s="463"/>
      <c r="HL11" s="463"/>
      <c r="HM11" s="463"/>
      <c r="HN11" s="464"/>
      <c r="HO11" s="465"/>
      <c r="HP11" s="463"/>
      <c r="HQ11" s="463"/>
      <c r="HR11" s="463"/>
      <c r="HS11" s="463"/>
      <c r="HT11" s="464"/>
      <c r="HU11" s="465"/>
      <c r="HV11" s="463"/>
      <c r="HW11" s="463"/>
      <c r="HX11" s="463"/>
      <c r="HY11" s="463"/>
      <c r="HZ11" s="464"/>
      <c r="IA11" s="465"/>
      <c r="IB11" s="463"/>
      <c r="IC11" s="463"/>
      <c r="ID11" s="463"/>
      <c r="IE11" s="463"/>
      <c r="IF11" s="464"/>
      <c r="IG11" s="465"/>
      <c r="IH11" s="463"/>
      <c r="II11" s="463"/>
      <c r="IJ11" s="463"/>
    </row>
    <row r="12" spans="2:244" ht="15" x14ac:dyDescent="0.25">
      <c r="B12" s="457">
        <v>7</v>
      </c>
      <c r="C12" s="704" t="str">
        <f>RUAS!B12</f>
        <v>RUA INDEPENDÊNCIA - T2</v>
      </c>
      <c r="D12" s="679">
        <v>1</v>
      </c>
      <c r="E12" s="680" t="s">
        <v>352</v>
      </c>
      <c r="F12" s="681">
        <v>6.9859999999999998</v>
      </c>
      <c r="G12" s="679">
        <v>5</v>
      </c>
      <c r="H12" s="680" t="s">
        <v>352</v>
      </c>
      <c r="I12" s="681">
        <v>6.0019999999999998</v>
      </c>
      <c r="J12" s="682">
        <f t="shared" si="0"/>
        <v>79.010000000000005</v>
      </c>
      <c r="K12" s="682">
        <v>2</v>
      </c>
      <c r="L12" s="684">
        <f t="shared" si="1"/>
        <v>158.02000000000001</v>
      </c>
      <c r="M12" s="682">
        <v>0</v>
      </c>
      <c r="N12" s="684">
        <f t="shared" si="2"/>
        <v>0</v>
      </c>
      <c r="O12" s="684">
        <f t="shared" si="3"/>
        <v>158.02000000000001</v>
      </c>
      <c r="P12" s="463"/>
      <c r="T12" s="463"/>
      <c r="U12" s="463"/>
      <c r="V12" s="463"/>
      <c r="W12" s="463"/>
      <c r="X12" s="464"/>
      <c r="Y12" s="465"/>
      <c r="Z12" s="463"/>
      <c r="AA12" s="463"/>
      <c r="AB12" s="463"/>
      <c r="AC12" s="463"/>
      <c r="AD12" s="464"/>
      <c r="AE12" s="465"/>
      <c r="AF12" s="463"/>
      <c r="AG12" s="463"/>
      <c r="AH12" s="463"/>
      <c r="AI12" s="463"/>
      <c r="AJ12" s="464"/>
      <c r="AK12" s="465"/>
      <c r="AL12" s="463"/>
      <c r="AM12" s="463"/>
      <c r="AN12" s="463"/>
      <c r="AO12" s="463"/>
      <c r="AP12" s="464"/>
      <c r="AQ12" s="465"/>
      <c r="AR12" s="463"/>
      <c r="AS12" s="463"/>
      <c r="AT12" s="463"/>
      <c r="AU12" s="463"/>
      <c r="AV12" s="464"/>
      <c r="AW12" s="465"/>
      <c r="AX12" s="463"/>
      <c r="AY12" s="463"/>
      <c r="AZ12" s="463"/>
      <c r="BA12" s="463"/>
      <c r="BB12" s="464"/>
      <c r="BC12" s="465"/>
      <c r="BD12" s="463"/>
      <c r="BE12" s="463"/>
      <c r="BF12" s="463"/>
      <c r="BG12" s="463"/>
      <c r="BH12" s="464"/>
      <c r="BI12" s="465"/>
      <c r="BJ12" s="463"/>
      <c r="BK12" s="463"/>
      <c r="BL12" s="463"/>
      <c r="BM12" s="463"/>
      <c r="BN12" s="464"/>
      <c r="BO12" s="465"/>
      <c r="BP12" s="463"/>
      <c r="BQ12" s="463"/>
      <c r="BR12" s="463"/>
      <c r="BS12" s="463"/>
      <c r="BT12" s="464"/>
      <c r="BU12" s="465"/>
      <c r="BV12" s="463"/>
      <c r="BW12" s="463"/>
      <c r="BX12" s="463"/>
      <c r="BY12" s="463"/>
      <c r="BZ12" s="464"/>
      <c r="CA12" s="465"/>
      <c r="CB12" s="463"/>
      <c r="CC12" s="463"/>
      <c r="CD12" s="463"/>
      <c r="CE12" s="463"/>
      <c r="CF12" s="464"/>
      <c r="CG12" s="465"/>
      <c r="CH12" s="463"/>
      <c r="CI12" s="463"/>
      <c r="CJ12" s="463"/>
      <c r="CK12" s="463"/>
      <c r="CL12" s="464"/>
      <c r="CM12" s="465"/>
      <c r="CN12" s="463"/>
      <c r="CO12" s="463"/>
      <c r="CP12" s="463"/>
      <c r="CQ12" s="463"/>
      <c r="CR12" s="464"/>
      <c r="CS12" s="465"/>
      <c r="CT12" s="463"/>
      <c r="CU12" s="463"/>
      <c r="CV12" s="463"/>
      <c r="CW12" s="463"/>
      <c r="CX12" s="464"/>
      <c r="CY12" s="465"/>
      <c r="CZ12" s="463"/>
      <c r="DA12" s="463"/>
      <c r="DB12" s="463"/>
      <c r="DC12" s="463"/>
      <c r="DD12" s="464"/>
      <c r="DE12" s="465"/>
      <c r="DF12" s="463"/>
      <c r="DG12" s="463"/>
      <c r="DH12" s="463"/>
      <c r="DI12" s="463"/>
      <c r="DJ12" s="464"/>
      <c r="DK12" s="465"/>
      <c r="DL12" s="463"/>
      <c r="DM12" s="463"/>
      <c r="DN12" s="463"/>
      <c r="DO12" s="463"/>
      <c r="DP12" s="464"/>
      <c r="DQ12" s="465"/>
      <c r="DR12" s="463"/>
      <c r="DS12" s="463"/>
      <c r="DT12" s="463"/>
      <c r="DU12" s="463"/>
      <c r="DV12" s="464"/>
      <c r="DW12" s="465"/>
      <c r="DX12" s="463"/>
      <c r="DY12" s="463"/>
      <c r="DZ12" s="463"/>
      <c r="EA12" s="463"/>
      <c r="EB12" s="464"/>
      <c r="EC12" s="465"/>
      <c r="ED12" s="463"/>
      <c r="EE12" s="463"/>
      <c r="EF12" s="463"/>
      <c r="EG12" s="463"/>
      <c r="EH12" s="464"/>
      <c r="EI12" s="465"/>
      <c r="EJ12" s="463"/>
      <c r="EK12" s="463"/>
      <c r="EL12" s="463"/>
      <c r="EM12" s="463"/>
      <c r="EN12" s="464"/>
      <c r="EO12" s="465"/>
      <c r="EP12" s="463"/>
      <c r="EQ12" s="463"/>
      <c r="ER12" s="463"/>
      <c r="ES12" s="463"/>
      <c r="ET12" s="464"/>
      <c r="EU12" s="465"/>
      <c r="EV12" s="463"/>
      <c r="EW12" s="463"/>
      <c r="EX12" s="463"/>
      <c r="EY12" s="463"/>
      <c r="EZ12" s="464"/>
      <c r="FA12" s="465"/>
      <c r="FB12" s="463"/>
      <c r="FC12" s="463"/>
      <c r="FD12" s="463"/>
      <c r="FE12" s="463"/>
      <c r="FF12" s="464"/>
      <c r="FG12" s="465"/>
      <c r="FH12" s="463"/>
      <c r="FI12" s="463"/>
      <c r="FJ12" s="463"/>
      <c r="FK12" s="463"/>
      <c r="FL12" s="464"/>
      <c r="FM12" s="465"/>
      <c r="FN12" s="463"/>
      <c r="FO12" s="463"/>
      <c r="FP12" s="463"/>
      <c r="FQ12" s="463"/>
      <c r="FR12" s="464"/>
      <c r="FS12" s="465"/>
      <c r="FT12" s="463"/>
      <c r="FU12" s="463"/>
      <c r="FV12" s="463"/>
      <c r="FW12" s="463"/>
      <c r="FX12" s="464"/>
      <c r="FY12" s="465"/>
      <c r="FZ12" s="463"/>
      <c r="GA12" s="463"/>
      <c r="GB12" s="463"/>
      <c r="GC12" s="463"/>
      <c r="GD12" s="464"/>
      <c r="GE12" s="465"/>
      <c r="GF12" s="463"/>
      <c r="GG12" s="463"/>
      <c r="GH12" s="463"/>
      <c r="GI12" s="463"/>
      <c r="GJ12" s="464"/>
      <c r="GK12" s="465"/>
      <c r="GL12" s="463"/>
      <c r="GM12" s="463"/>
      <c r="GN12" s="463"/>
      <c r="GO12" s="463"/>
      <c r="GP12" s="464"/>
      <c r="GQ12" s="465"/>
      <c r="GR12" s="463"/>
      <c r="GS12" s="463"/>
      <c r="GT12" s="463"/>
      <c r="GU12" s="463"/>
      <c r="GV12" s="464"/>
      <c r="GW12" s="465"/>
      <c r="GX12" s="463"/>
      <c r="GY12" s="463"/>
      <c r="GZ12" s="463"/>
      <c r="HA12" s="463"/>
      <c r="HB12" s="464"/>
      <c r="HC12" s="465"/>
      <c r="HD12" s="463"/>
      <c r="HE12" s="463"/>
      <c r="HF12" s="463"/>
      <c r="HG12" s="463"/>
      <c r="HH12" s="464"/>
      <c r="HI12" s="465"/>
      <c r="HJ12" s="463"/>
      <c r="HK12" s="463"/>
      <c r="HL12" s="463"/>
      <c r="HM12" s="463"/>
      <c r="HN12" s="464"/>
      <c r="HO12" s="465"/>
      <c r="HP12" s="463"/>
      <c r="HQ12" s="463"/>
      <c r="HR12" s="463"/>
      <c r="HS12" s="463"/>
      <c r="HT12" s="464"/>
      <c r="HU12" s="465"/>
      <c r="HV12" s="463"/>
      <c r="HW12" s="463"/>
      <c r="HX12" s="463"/>
      <c r="HY12" s="463"/>
      <c r="HZ12" s="464"/>
      <c r="IA12" s="465"/>
      <c r="IB12" s="463"/>
      <c r="IC12" s="463"/>
      <c r="ID12" s="463"/>
      <c r="IE12" s="463"/>
      <c r="IF12" s="464"/>
      <c r="IG12" s="465"/>
      <c r="IH12" s="463"/>
      <c r="II12" s="463"/>
      <c r="IJ12" s="463"/>
    </row>
    <row r="13" spans="2:244" ht="16.5" customHeight="1" x14ac:dyDescent="0.3">
      <c r="B13" s="1266">
        <v>8</v>
      </c>
      <c r="C13" s="1268" t="str">
        <f>RUAS!B15</f>
        <v>RUA PONTA GROSSA - T1</v>
      </c>
      <c r="D13" s="679">
        <v>3</v>
      </c>
      <c r="E13" s="680" t="s">
        <v>352</v>
      </c>
      <c r="F13" s="681">
        <v>0</v>
      </c>
      <c r="G13" s="679">
        <v>7</v>
      </c>
      <c r="H13" s="680" t="s">
        <v>352</v>
      </c>
      <c r="I13" s="681">
        <v>8.6449999999999996</v>
      </c>
      <c r="J13" s="682">
        <f t="shared" si="0"/>
        <v>88.64</v>
      </c>
      <c r="K13" s="682">
        <v>0</v>
      </c>
      <c r="L13" s="684">
        <f t="shared" si="1"/>
        <v>0</v>
      </c>
      <c r="M13" s="682">
        <v>2</v>
      </c>
      <c r="N13" s="684">
        <f t="shared" si="2"/>
        <v>177.28</v>
      </c>
      <c r="O13" s="684">
        <f t="shared" si="3"/>
        <v>177.28</v>
      </c>
      <c r="P13" s="463"/>
      <c r="T13" s="463"/>
      <c r="U13" s="463"/>
      <c r="V13" s="463"/>
      <c r="W13" s="463"/>
      <c r="X13" s="464"/>
      <c r="Y13" s="465"/>
      <c r="Z13" s="463"/>
      <c r="AA13" s="463"/>
      <c r="AB13" s="463"/>
      <c r="AC13" s="463"/>
      <c r="AD13" s="464"/>
      <c r="AE13" s="465"/>
      <c r="AF13" s="463"/>
      <c r="AG13" s="463"/>
      <c r="AH13" s="463"/>
      <c r="AI13" s="463"/>
      <c r="AJ13" s="464"/>
      <c r="AK13" s="465"/>
      <c r="AL13" s="463"/>
      <c r="AM13" s="463"/>
      <c r="AN13" s="463"/>
      <c r="AO13" s="463"/>
      <c r="AP13" s="464"/>
      <c r="AQ13" s="465"/>
      <c r="AR13" s="463"/>
      <c r="AS13" s="463"/>
      <c r="AT13" s="463"/>
      <c r="AU13" s="463"/>
      <c r="AV13" s="464"/>
      <c r="AW13" s="465"/>
      <c r="AX13" s="463"/>
      <c r="AY13" s="463"/>
      <c r="AZ13" s="463"/>
      <c r="BA13" s="463"/>
      <c r="BB13" s="464"/>
      <c r="BC13" s="465"/>
      <c r="BD13" s="463"/>
      <c r="BE13" s="463"/>
      <c r="BF13" s="463"/>
      <c r="BG13" s="463"/>
      <c r="BH13" s="464"/>
      <c r="BI13" s="465"/>
      <c r="BJ13" s="463"/>
      <c r="BK13" s="463"/>
      <c r="BL13" s="463"/>
      <c r="BM13" s="463"/>
      <c r="BN13" s="464"/>
      <c r="BO13" s="465"/>
      <c r="BP13" s="463"/>
      <c r="BQ13" s="463"/>
      <c r="BR13" s="463"/>
      <c r="BS13" s="463"/>
      <c r="BT13" s="464"/>
      <c r="BU13" s="465"/>
      <c r="BV13" s="463"/>
      <c r="BW13" s="463"/>
      <c r="BX13" s="463"/>
      <c r="BY13" s="463"/>
      <c r="BZ13" s="464"/>
      <c r="CA13" s="465"/>
      <c r="CB13" s="463"/>
      <c r="CC13" s="463"/>
      <c r="CD13" s="463"/>
      <c r="CE13" s="463"/>
      <c r="CF13" s="464"/>
      <c r="CG13" s="465"/>
      <c r="CH13" s="463"/>
      <c r="CI13" s="463"/>
      <c r="CJ13" s="463"/>
      <c r="CK13" s="463"/>
      <c r="CL13" s="464"/>
      <c r="CM13" s="465"/>
      <c r="CN13" s="463"/>
      <c r="CO13" s="463"/>
      <c r="CP13" s="463"/>
      <c r="CQ13" s="463"/>
      <c r="CR13" s="464"/>
      <c r="CS13" s="465"/>
      <c r="CT13" s="463"/>
      <c r="CU13" s="463"/>
      <c r="CV13" s="463"/>
      <c r="CW13" s="463"/>
      <c r="CX13" s="464"/>
      <c r="CY13" s="465"/>
      <c r="CZ13" s="463"/>
      <c r="DA13" s="463"/>
      <c r="DB13" s="463"/>
      <c r="DC13" s="463"/>
      <c r="DD13" s="464"/>
      <c r="DE13" s="465"/>
      <c r="DF13" s="463"/>
      <c r="DG13" s="463"/>
      <c r="DH13" s="463"/>
      <c r="DI13" s="463"/>
      <c r="DJ13" s="464"/>
      <c r="DK13" s="465"/>
      <c r="DL13" s="463"/>
      <c r="DM13" s="463"/>
      <c r="DN13" s="463"/>
      <c r="DO13" s="463"/>
      <c r="DP13" s="464"/>
      <c r="DQ13" s="465"/>
      <c r="DR13" s="463"/>
      <c r="DS13" s="463"/>
      <c r="DT13" s="463"/>
      <c r="DU13" s="463"/>
      <c r="DV13" s="464"/>
      <c r="DW13" s="465"/>
      <c r="DX13" s="463"/>
      <c r="DY13" s="463"/>
      <c r="DZ13" s="463"/>
      <c r="EA13" s="463"/>
      <c r="EB13" s="464"/>
      <c r="EC13" s="465"/>
      <c r="ED13" s="463"/>
      <c r="EE13" s="463"/>
      <c r="EF13" s="463"/>
      <c r="EG13" s="463"/>
      <c r="EH13" s="464"/>
      <c r="EI13" s="465"/>
      <c r="EJ13" s="463"/>
      <c r="EK13" s="463"/>
      <c r="EL13" s="463"/>
      <c r="EM13" s="463"/>
      <c r="EN13" s="464"/>
      <c r="EO13" s="465"/>
      <c r="EP13" s="463"/>
      <c r="EQ13" s="463"/>
      <c r="ER13" s="463"/>
      <c r="ES13" s="463"/>
      <c r="ET13" s="464"/>
      <c r="EU13" s="465"/>
      <c r="EV13" s="463"/>
      <c r="EW13" s="463"/>
      <c r="EX13" s="463"/>
      <c r="EY13" s="463"/>
      <c r="EZ13" s="464"/>
      <c r="FA13" s="465"/>
      <c r="FB13" s="463"/>
      <c r="FC13" s="463"/>
      <c r="FD13" s="463"/>
      <c r="FE13" s="463"/>
      <c r="FF13" s="464"/>
      <c r="FG13" s="465"/>
      <c r="FH13" s="463"/>
      <c r="FI13" s="463"/>
      <c r="FJ13" s="463"/>
      <c r="FK13" s="463"/>
      <c r="FL13" s="464"/>
      <c r="FM13" s="465"/>
      <c r="FN13" s="463"/>
      <c r="FO13" s="463"/>
      <c r="FP13" s="463"/>
      <c r="FQ13" s="463"/>
      <c r="FR13" s="464"/>
      <c r="FS13" s="465"/>
      <c r="FT13" s="463"/>
      <c r="FU13" s="463"/>
      <c r="FV13" s="463"/>
      <c r="FW13" s="463"/>
      <c r="FX13" s="464"/>
      <c r="FY13" s="465"/>
      <c r="FZ13" s="463"/>
      <c r="GA13" s="463"/>
      <c r="GB13" s="463"/>
      <c r="GC13" s="463"/>
      <c r="GD13" s="464"/>
      <c r="GE13" s="465"/>
      <c r="GF13" s="463"/>
      <c r="GG13" s="463"/>
      <c r="GH13" s="463"/>
      <c r="GI13" s="463"/>
      <c r="GJ13" s="464"/>
      <c r="GK13" s="465"/>
      <c r="GL13" s="463"/>
      <c r="GM13" s="463"/>
      <c r="GN13" s="463"/>
      <c r="GO13" s="463"/>
      <c r="GP13" s="464"/>
      <c r="GQ13" s="465"/>
      <c r="GR13" s="463"/>
      <c r="GS13" s="463"/>
      <c r="GT13" s="463"/>
      <c r="GU13" s="463"/>
      <c r="GV13" s="464"/>
      <c r="GW13" s="465"/>
      <c r="GX13" s="463"/>
      <c r="GY13" s="463"/>
      <c r="GZ13" s="463"/>
      <c r="HA13" s="463"/>
      <c r="HB13" s="464"/>
      <c r="HC13" s="465"/>
      <c r="HD13" s="463"/>
      <c r="HE13" s="463"/>
      <c r="HF13" s="463"/>
      <c r="HG13" s="463"/>
      <c r="HH13" s="464"/>
      <c r="HI13" s="465"/>
      <c r="HJ13" s="463"/>
      <c r="HK13" s="463"/>
      <c r="HL13" s="463"/>
      <c r="HM13" s="463"/>
      <c r="HN13" s="464"/>
      <c r="HO13" s="465"/>
      <c r="HP13" s="463"/>
      <c r="HQ13" s="463"/>
      <c r="HR13" s="463"/>
      <c r="HS13" s="463"/>
      <c r="HT13" s="464"/>
      <c r="HU13" s="465"/>
      <c r="HV13" s="463"/>
      <c r="HW13" s="463"/>
      <c r="HX13" s="463"/>
      <c r="HY13" s="463"/>
      <c r="HZ13" s="464"/>
      <c r="IA13" s="465"/>
      <c r="IB13" s="463"/>
      <c r="IC13" s="463"/>
      <c r="ID13" s="463"/>
      <c r="IE13" s="463"/>
      <c r="IF13" s="464"/>
      <c r="IG13" s="465"/>
      <c r="IH13" s="463"/>
      <c r="II13" s="463"/>
      <c r="IJ13" s="463"/>
    </row>
    <row r="14" spans="2:244" ht="16.5" customHeight="1" x14ac:dyDescent="0.3">
      <c r="B14" s="1267"/>
      <c r="C14" s="1269"/>
      <c r="D14" s="679">
        <v>4</v>
      </c>
      <c r="E14" s="680" t="s">
        <v>352</v>
      </c>
      <c r="F14" s="681">
        <v>1.28</v>
      </c>
      <c r="G14" s="679">
        <v>6</v>
      </c>
      <c r="H14" s="680" t="s">
        <v>352</v>
      </c>
      <c r="I14" s="681">
        <v>18.106999999999999</v>
      </c>
      <c r="J14" s="682">
        <f t="shared" si="0"/>
        <v>56.82</v>
      </c>
      <c r="K14" s="682">
        <v>1.5</v>
      </c>
      <c r="L14" s="684">
        <f t="shared" si="1"/>
        <v>85.23</v>
      </c>
      <c r="M14" s="682">
        <v>0</v>
      </c>
      <c r="N14" s="684">
        <f t="shared" si="2"/>
        <v>0</v>
      </c>
      <c r="O14" s="684">
        <f t="shared" si="3"/>
        <v>85.23</v>
      </c>
      <c r="P14" s="463"/>
      <c r="T14" s="463"/>
      <c r="U14" s="463"/>
      <c r="V14" s="463"/>
      <c r="W14" s="463"/>
      <c r="X14" s="464"/>
      <c r="Y14" s="465"/>
      <c r="Z14" s="463"/>
      <c r="AA14" s="463"/>
      <c r="AB14" s="463"/>
      <c r="AC14" s="463"/>
      <c r="AD14" s="464"/>
      <c r="AE14" s="465"/>
      <c r="AF14" s="463"/>
      <c r="AG14" s="463"/>
      <c r="AH14" s="463"/>
      <c r="AI14" s="463"/>
      <c r="AJ14" s="464"/>
      <c r="AK14" s="465"/>
      <c r="AL14" s="463"/>
      <c r="AM14" s="463"/>
      <c r="AN14" s="463"/>
      <c r="AO14" s="463"/>
      <c r="AP14" s="464"/>
      <c r="AQ14" s="465"/>
      <c r="AR14" s="463"/>
      <c r="AS14" s="463"/>
      <c r="AT14" s="463"/>
      <c r="AU14" s="463"/>
      <c r="AV14" s="464"/>
      <c r="AW14" s="465"/>
      <c r="AX14" s="463"/>
      <c r="AY14" s="463"/>
      <c r="AZ14" s="463"/>
      <c r="BA14" s="463"/>
      <c r="BB14" s="464"/>
      <c r="BC14" s="465"/>
      <c r="BD14" s="463"/>
      <c r="BE14" s="463"/>
      <c r="BF14" s="463"/>
      <c r="BG14" s="463"/>
      <c r="BH14" s="464"/>
      <c r="BI14" s="465"/>
      <c r="BJ14" s="463"/>
      <c r="BK14" s="463"/>
      <c r="BL14" s="463"/>
      <c r="BM14" s="463"/>
      <c r="BN14" s="464"/>
      <c r="BO14" s="465"/>
      <c r="BP14" s="463"/>
      <c r="BQ14" s="463"/>
      <c r="BR14" s="463"/>
      <c r="BS14" s="463"/>
      <c r="BT14" s="464"/>
      <c r="BU14" s="465"/>
      <c r="BV14" s="463"/>
      <c r="BW14" s="463"/>
      <c r="BX14" s="463"/>
      <c r="BY14" s="463"/>
      <c r="BZ14" s="464"/>
      <c r="CA14" s="465"/>
      <c r="CB14" s="463"/>
      <c r="CC14" s="463"/>
      <c r="CD14" s="463"/>
      <c r="CE14" s="463"/>
      <c r="CF14" s="464"/>
      <c r="CG14" s="465"/>
      <c r="CH14" s="463"/>
      <c r="CI14" s="463"/>
      <c r="CJ14" s="463"/>
      <c r="CK14" s="463"/>
      <c r="CL14" s="464"/>
      <c r="CM14" s="465"/>
      <c r="CN14" s="463"/>
      <c r="CO14" s="463"/>
      <c r="CP14" s="463"/>
      <c r="CQ14" s="463"/>
      <c r="CR14" s="464"/>
      <c r="CS14" s="465"/>
      <c r="CT14" s="463"/>
      <c r="CU14" s="463"/>
      <c r="CV14" s="463"/>
      <c r="CW14" s="463"/>
      <c r="CX14" s="464"/>
      <c r="CY14" s="465"/>
      <c r="CZ14" s="463"/>
      <c r="DA14" s="463"/>
      <c r="DB14" s="463"/>
      <c r="DC14" s="463"/>
      <c r="DD14" s="464"/>
      <c r="DE14" s="465"/>
      <c r="DF14" s="463"/>
      <c r="DG14" s="463"/>
      <c r="DH14" s="463"/>
      <c r="DI14" s="463"/>
      <c r="DJ14" s="464"/>
      <c r="DK14" s="465"/>
      <c r="DL14" s="463"/>
      <c r="DM14" s="463"/>
      <c r="DN14" s="463"/>
      <c r="DO14" s="463"/>
      <c r="DP14" s="464"/>
      <c r="DQ14" s="465"/>
      <c r="DR14" s="463"/>
      <c r="DS14" s="463"/>
      <c r="DT14" s="463"/>
      <c r="DU14" s="463"/>
      <c r="DV14" s="464"/>
      <c r="DW14" s="465"/>
      <c r="DX14" s="463"/>
      <c r="DY14" s="463"/>
      <c r="DZ14" s="463"/>
      <c r="EA14" s="463"/>
      <c r="EB14" s="464"/>
      <c r="EC14" s="465"/>
      <c r="ED14" s="463"/>
      <c r="EE14" s="463"/>
      <c r="EF14" s="463"/>
      <c r="EG14" s="463"/>
      <c r="EH14" s="464"/>
      <c r="EI14" s="465"/>
      <c r="EJ14" s="463"/>
      <c r="EK14" s="463"/>
      <c r="EL14" s="463"/>
      <c r="EM14" s="463"/>
      <c r="EN14" s="464"/>
      <c r="EO14" s="465"/>
      <c r="EP14" s="463"/>
      <c r="EQ14" s="463"/>
      <c r="ER14" s="463"/>
      <c r="ES14" s="463"/>
      <c r="ET14" s="464"/>
      <c r="EU14" s="465"/>
      <c r="EV14" s="463"/>
      <c r="EW14" s="463"/>
      <c r="EX14" s="463"/>
      <c r="EY14" s="463"/>
      <c r="EZ14" s="464"/>
      <c r="FA14" s="465"/>
      <c r="FB14" s="463"/>
      <c r="FC14" s="463"/>
      <c r="FD14" s="463"/>
      <c r="FE14" s="463"/>
      <c r="FF14" s="464"/>
      <c r="FG14" s="465"/>
      <c r="FH14" s="463"/>
      <c r="FI14" s="463"/>
      <c r="FJ14" s="463"/>
      <c r="FK14" s="463"/>
      <c r="FL14" s="464"/>
      <c r="FM14" s="465"/>
      <c r="FN14" s="463"/>
      <c r="FO14" s="463"/>
      <c r="FP14" s="463"/>
      <c r="FQ14" s="463"/>
      <c r="FR14" s="464"/>
      <c r="FS14" s="465"/>
      <c r="FT14" s="463"/>
      <c r="FU14" s="463"/>
      <c r="FV14" s="463"/>
      <c r="FW14" s="463"/>
      <c r="FX14" s="464"/>
      <c r="FY14" s="465"/>
      <c r="FZ14" s="463"/>
      <c r="GA14" s="463"/>
      <c r="GB14" s="463"/>
      <c r="GC14" s="463"/>
      <c r="GD14" s="464"/>
      <c r="GE14" s="465"/>
      <c r="GF14" s="463"/>
      <c r="GG14" s="463"/>
      <c r="GH14" s="463"/>
      <c r="GI14" s="463"/>
      <c r="GJ14" s="464"/>
      <c r="GK14" s="465"/>
      <c r="GL14" s="463"/>
      <c r="GM14" s="463"/>
      <c r="GN14" s="463"/>
      <c r="GO14" s="463"/>
      <c r="GP14" s="464"/>
      <c r="GQ14" s="465"/>
      <c r="GR14" s="463"/>
      <c r="GS14" s="463"/>
      <c r="GT14" s="463"/>
      <c r="GU14" s="463"/>
      <c r="GV14" s="464"/>
      <c r="GW14" s="465"/>
      <c r="GX14" s="463"/>
      <c r="GY14" s="463"/>
      <c r="GZ14" s="463"/>
      <c r="HA14" s="463"/>
      <c r="HB14" s="464"/>
      <c r="HC14" s="465"/>
      <c r="HD14" s="463"/>
      <c r="HE14" s="463"/>
      <c r="HF14" s="463"/>
      <c r="HG14" s="463"/>
      <c r="HH14" s="464"/>
      <c r="HI14" s="465"/>
      <c r="HJ14" s="463"/>
      <c r="HK14" s="463"/>
      <c r="HL14" s="463"/>
      <c r="HM14" s="463"/>
      <c r="HN14" s="464"/>
      <c r="HO14" s="465"/>
      <c r="HP14" s="463"/>
      <c r="HQ14" s="463"/>
      <c r="HR14" s="463"/>
      <c r="HS14" s="463"/>
      <c r="HT14" s="464"/>
      <c r="HU14" s="465"/>
      <c r="HV14" s="463"/>
      <c r="HW14" s="463"/>
      <c r="HX14" s="463"/>
      <c r="HY14" s="463"/>
      <c r="HZ14" s="464"/>
      <c r="IA14" s="465"/>
      <c r="IB14" s="463"/>
      <c r="IC14" s="463"/>
      <c r="ID14" s="463"/>
      <c r="IE14" s="463"/>
      <c r="IF14" s="464"/>
      <c r="IG14" s="465"/>
      <c r="IH14" s="463"/>
      <c r="II14" s="463"/>
      <c r="IJ14" s="463"/>
    </row>
    <row r="15" spans="2:244" ht="16.5" customHeight="1" x14ac:dyDescent="0.3">
      <c r="B15" s="1266">
        <v>8</v>
      </c>
      <c r="C15" s="1268" t="str">
        <f>RUAS!B16</f>
        <v>RUA PONTA GROSSA - T2</v>
      </c>
      <c r="D15" s="679">
        <v>0</v>
      </c>
      <c r="E15" s="680" t="s">
        <v>352</v>
      </c>
      <c r="F15" s="681">
        <v>11.957000000000001</v>
      </c>
      <c r="G15" s="679">
        <v>3</v>
      </c>
      <c r="H15" s="680" t="s">
        <v>352</v>
      </c>
      <c r="I15" s="681">
        <v>4.9260000000000002</v>
      </c>
      <c r="J15" s="682">
        <f t="shared" si="0"/>
        <v>52.96</v>
      </c>
      <c r="K15" s="682">
        <v>3</v>
      </c>
      <c r="L15" s="684">
        <f t="shared" si="1"/>
        <v>158.88</v>
      </c>
      <c r="M15" s="682">
        <v>0</v>
      </c>
      <c r="N15" s="684">
        <f t="shared" si="2"/>
        <v>0</v>
      </c>
      <c r="O15" s="684">
        <f t="shared" si="3"/>
        <v>158.88</v>
      </c>
      <c r="P15" s="463"/>
      <c r="T15" s="463"/>
      <c r="U15" s="463"/>
      <c r="V15" s="463"/>
      <c r="W15" s="463"/>
      <c r="X15" s="464"/>
      <c r="Y15" s="465"/>
      <c r="Z15" s="463"/>
      <c r="AA15" s="463"/>
      <c r="AB15" s="463"/>
      <c r="AC15" s="463"/>
      <c r="AD15" s="464"/>
      <c r="AE15" s="465"/>
      <c r="AF15" s="463"/>
      <c r="AG15" s="463"/>
      <c r="AH15" s="463"/>
      <c r="AI15" s="463"/>
      <c r="AJ15" s="464"/>
      <c r="AK15" s="465"/>
      <c r="AL15" s="463"/>
      <c r="AM15" s="463"/>
      <c r="AN15" s="463"/>
      <c r="AO15" s="463"/>
      <c r="AP15" s="464"/>
      <c r="AQ15" s="465"/>
      <c r="AR15" s="463"/>
      <c r="AS15" s="463"/>
      <c r="AT15" s="463"/>
      <c r="AU15" s="463"/>
      <c r="AV15" s="464"/>
      <c r="AW15" s="465"/>
      <c r="AX15" s="463"/>
      <c r="AY15" s="463"/>
      <c r="AZ15" s="463"/>
      <c r="BA15" s="463"/>
      <c r="BB15" s="464"/>
      <c r="BC15" s="465"/>
      <c r="BD15" s="463"/>
      <c r="BE15" s="463"/>
      <c r="BF15" s="463"/>
      <c r="BG15" s="463"/>
      <c r="BH15" s="464"/>
      <c r="BI15" s="465"/>
      <c r="BJ15" s="463"/>
      <c r="BK15" s="463"/>
      <c r="BL15" s="463"/>
      <c r="BM15" s="463"/>
      <c r="BN15" s="464"/>
      <c r="BO15" s="465"/>
      <c r="BP15" s="463"/>
      <c r="BQ15" s="463"/>
      <c r="BR15" s="463"/>
      <c r="BS15" s="463"/>
      <c r="BT15" s="464"/>
      <c r="BU15" s="465"/>
      <c r="BV15" s="463"/>
      <c r="BW15" s="463"/>
      <c r="BX15" s="463"/>
      <c r="BY15" s="463"/>
      <c r="BZ15" s="464"/>
      <c r="CA15" s="465"/>
      <c r="CB15" s="463"/>
      <c r="CC15" s="463"/>
      <c r="CD15" s="463"/>
      <c r="CE15" s="463"/>
      <c r="CF15" s="464"/>
      <c r="CG15" s="465"/>
      <c r="CH15" s="463"/>
      <c r="CI15" s="463"/>
      <c r="CJ15" s="463"/>
      <c r="CK15" s="463"/>
      <c r="CL15" s="464"/>
      <c r="CM15" s="465"/>
      <c r="CN15" s="463"/>
      <c r="CO15" s="463"/>
      <c r="CP15" s="463"/>
      <c r="CQ15" s="463"/>
      <c r="CR15" s="464"/>
      <c r="CS15" s="465"/>
      <c r="CT15" s="463"/>
      <c r="CU15" s="463"/>
      <c r="CV15" s="463"/>
      <c r="CW15" s="463"/>
      <c r="CX15" s="464"/>
      <c r="CY15" s="465"/>
      <c r="CZ15" s="463"/>
      <c r="DA15" s="463"/>
      <c r="DB15" s="463"/>
      <c r="DC15" s="463"/>
      <c r="DD15" s="464"/>
      <c r="DE15" s="465"/>
      <c r="DF15" s="463"/>
      <c r="DG15" s="463"/>
      <c r="DH15" s="463"/>
      <c r="DI15" s="463"/>
      <c r="DJ15" s="464"/>
      <c r="DK15" s="465"/>
      <c r="DL15" s="463"/>
      <c r="DM15" s="463"/>
      <c r="DN15" s="463"/>
      <c r="DO15" s="463"/>
      <c r="DP15" s="464"/>
      <c r="DQ15" s="465"/>
      <c r="DR15" s="463"/>
      <c r="DS15" s="463"/>
      <c r="DT15" s="463"/>
      <c r="DU15" s="463"/>
      <c r="DV15" s="464"/>
      <c r="DW15" s="465"/>
      <c r="DX15" s="463"/>
      <c r="DY15" s="463"/>
      <c r="DZ15" s="463"/>
      <c r="EA15" s="463"/>
      <c r="EB15" s="464"/>
      <c r="EC15" s="465"/>
      <c r="ED15" s="463"/>
      <c r="EE15" s="463"/>
      <c r="EF15" s="463"/>
      <c r="EG15" s="463"/>
      <c r="EH15" s="464"/>
      <c r="EI15" s="465"/>
      <c r="EJ15" s="463"/>
      <c r="EK15" s="463"/>
      <c r="EL15" s="463"/>
      <c r="EM15" s="463"/>
      <c r="EN15" s="464"/>
      <c r="EO15" s="465"/>
      <c r="EP15" s="463"/>
      <c r="EQ15" s="463"/>
      <c r="ER15" s="463"/>
      <c r="ES15" s="463"/>
      <c r="ET15" s="464"/>
      <c r="EU15" s="465"/>
      <c r="EV15" s="463"/>
      <c r="EW15" s="463"/>
      <c r="EX15" s="463"/>
      <c r="EY15" s="463"/>
      <c r="EZ15" s="464"/>
      <c r="FA15" s="465"/>
      <c r="FB15" s="463"/>
      <c r="FC15" s="463"/>
      <c r="FD15" s="463"/>
      <c r="FE15" s="463"/>
      <c r="FF15" s="464"/>
      <c r="FG15" s="465"/>
      <c r="FH15" s="463"/>
      <c r="FI15" s="463"/>
      <c r="FJ15" s="463"/>
      <c r="FK15" s="463"/>
      <c r="FL15" s="464"/>
      <c r="FM15" s="465"/>
      <c r="FN15" s="463"/>
      <c r="FO15" s="463"/>
      <c r="FP15" s="463"/>
      <c r="FQ15" s="463"/>
      <c r="FR15" s="464"/>
      <c r="FS15" s="465"/>
      <c r="FT15" s="463"/>
      <c r="FU15" s="463"/>
      <c r="FV15" s="463"/>
      <c r="FW15" s="463"/>
      <c r="FX15" s="464"/>
      <c r="FY15" s="465"/>
      <c r="FZ15" s="463"/>
      <c r="GA15" s="463"/>
      <c r="GB15" s="463"/>
      <c r="GC15" s="463"/>
      <c r="GD15" s="464"/>
      <c r="GE15" s="465"/>
      <c r="GF15" s="463"/>
      <c r="GG15" s="463"/>
      <c r="GH15" s="463"/>
      <c r="GI15" s="463"/>
      <c r="GJ15" s="464"/>
      <c r="GK15" s="465"/>
      <c r="GL15" s="463"/>
      <c r="GM15" s="463"/>
      <c r="GN15" s="463"/>
      <c r="GO15" s="463"/>
      <c r="GP15" s="464"/>
      <c r="GQ15" s="465"/>
      <c r="GR15" s="463"/>
      <c r="GS15" s="463"/>
      <c r="GT15" s="463"/>
      <c r="GU15" s="463"/>
      <c r="GV15" s="464"/>
      <c r="GW15" s="465"/>
      <c r="GX15" s="463"/>
      <c r="GY15" s="463"/>
      <c r="GZ15" s="463"/>
      <c r="HA15" s="463"/>
      <c r="HB15" s="464"/>
      <c r="HC15" s="465"/>
      <c r="HD15" s="463"/>
      <c r="HE15" s="463"/>
      <c r="HF15" s="463"/>
      <c r="HG15" s="463"/>
      <c r="HH15" s="464"/>
      <c r="HI15" s="465"/>
      <c r="HJ15" s="463"/>
      <c r="HK15" s="463"/>
      <c r="HL15" s="463"/>
      <c r="HM15" s="463"/>
      <c r="HN15" s="464"/>
      <c r="HO15" s="465"/>
      <c r="HP15" s="463"/>
      <c r="HQ15" s="463"/>
      <c r="HR15" s="463"/>
      <c r="HS15" s="463"/>
      <c r="HT15" s="464"/>
      <c r="HU15" s="465"/>
      <c r="HV15" s="463"/>
      <c r="HW15" s="463"/>
      <c r="HX15" s="463"/>
      <c r="HY15" s="463"/>
      <c r="HZ15" s="464"/>
      <c r="IA15" s="465"/>
      <c r="IB15" s="463"/>
      <c r="IC15" s="463"/>
      <c r="ID15" s="463"/>
      <c r="IE15" s="463"/>
      <c r="IF15" s="464"/>
      <c r="IG15" s="465"/>
      <c r="IH15" s="463"/>
      <c r="II15" s="463"/>
      <c r="IJ15" s="463"/>
    </row>
    <row r="16" spans="2:244" ht="16.5" customHeight="1" x14ac:dyDescent="0.3">
      <c r="B16" s="1267"/>
      <c r="C16" s="1269"/>
      <c r="D16" s="679">
        <v>3</v>
      </c>
      <c r="E16" s="680" t="s">
        <v>352</v>
      </c>
      <c r="F16" s="681">
        <v>1.29</v>
      </c>
      <c r="G16" s="679">
        <v>3</v>
      </c>
      <c r="H16" s="680" t="s">
        <v>352</v>
      </c>
      <c r="I16" s="681">
        <v>17.603000000000002</v>
      </c>
      <c r="J16" s="682">
        <f t="shared" si="0"/>
        <v>16.309999999999999</v>
      </c>
      <c r="K16" s="682">
        <v>0</v>
      </c>
      <c r="L16" s="684">
        <f t="shared" si="1"/>
        <v>0</v>
      </c>
      <c r="M16" s="682">
        <v>2</v>
      </c>
      <c r="N16" s="684">
        <f t="shared" si="2"/>
        <v>32.619999999999997</v>
      </c>
      <c r="O16" s="684">
        <f t="shared" si="3"/>
        <v>32.619999999999997</v>
      </c>
      <c r="P16" s="463"/>
      <c r="T16" s="660"/>
      <c r="U16" s="463"/>
      <c r="V16" s="463"/>
      <c r="W16" s="463"/>
      <c r="X16" s="464"/>
      <c r="Y16" s="465"/>
      <c r="Z16" s="463"/>
      <c r="AA16" s="463"/>
      <c r="AB16" s="463"/>
      <c r="AC16" s="463"/>
      <c r="AD16" s="464"/>
      <c r="AE16" s="465"/>
      <c r="AF16" s="463"/>
      <c r="AG16" s="463"/>
      <c r="AH16" s="463"/>
      <c r="AI16" s="463"/>
      <c r="AJ16" s="464"/>
      <c r="AK16" s="465"/>
      <c r="AL16" s="463"/>
      <c r="AM16" s="463"/>
      <c r="AN16" s="463"/>
      <c r="AO16" s="463"/>
      <c r="AP16" s="464"/>
      <c r="AQ16" s="465"/>
      <c r="AR16" s="463"/>
      <c r="AS16" s="463"/>
      <c r="AT16" s="463"/>
      <c r="AU16" s="463"/>
      <c r="AV16" s="464"/>
      <c r="AW16" s="465"/>
      <c r="AX16" s="463"/>
      <c r="AY16" s="463"/>
      <c r="AZ16" s="463"/>
      <c r="BA16" s="463"/>
      <c r="BB16" s="464"/>
      <c r="BC16" s="465"/>
      <c r="BD16" s="463"/>
      <c r="BE16" s="463"/>
      <c r="BF16" s="463"/>
      <c r="BG16" s="463"/>
      <c r="BH16" s="464"/>
      <c r="BI16" s="465"/>
      <c r="BJ16" s="463"/>
      <c r="BK16" s="463"/>
      <c r="BL16" s="463"/>
      <c r="BM16" s="463"/>
      <c r="BN16" s="464"/>
      <c r="BO16" s="465"/>
      <c r="BP16" s="463"/>
      <c r="BQ16" s="463"/>
      <c r="BR16" s="463"/>
      <c r="BS16" s="463"/>
      <c r="BT16" s="464"/>
      <c r="BU16" s="465"/>
      <c r="BV16" s="463"/>
      <c r="BW16" s="463"/>
      <c r="BX16" s="463"/>
      <c r="BY16" s="463"/>
      <c r="BZ16" s="464"/>
      <c r="CA16" s="465"/>
      <c r="CB16" s="463"/>
      <c r="CC16" s="463"/>
      <c r="CD16" s="463"/>
      <c r="CE16" s="463"/>
      <c r="CF16" s="464"/>
      <c r="CG16" s="465"/>
      <c r="CH16" s="463"/>
      <c r="CI16" s="463"/>
      <c r="CJ16" s="463"/>
      <c r="CK16" s="463"/>
      <c r="CL16" s="464"/>
      <c r="CM16" s="465"/>
      <c r="CN16" s="463"/>
      <c r="CO16" s="463"/>
      <c r="CP16" s="463"/>
      <c r="CQ16" s="463"/>
      <c r="CR16" s="464"/>
      <c r="CS16" s="465"/>
      <c r="CT16" s="463"/>
      <c r="CU16" s="463"/>
      <c r="CV16" s="463"/>
      <c r="CW16" s="463"/>
      <c r="CX16" s="464"/>
      <c r="CY16" s="465"/>
      <c r="CZ16" s="463"/>
      <c r="DA16" s="463"/>
      <c r="DB16" s="463"/>
      <c r="DC16" s="463"/>
      <c r="DD16" s="464"/>
      <c r="DE16" s="465"/>
      <c r="DF16" s="463"/>
      <c r="DG16" s="463"/>
      <c r="DH16" s="463"/>
      <c r="DI16" s="463"/>
      <c r="DJ16" s="464"/>
      <c r="DK16" s="465"/>
      <c r="DL16" s="463"/>
      <c r="DM16" s="463"/>
      <c r="DN16" s="463"/>
      <c r="DO16" s="463"/>
      <c r="DP16" s="464"/>
      <c r="DQ16" s="465"/>
      <c r="DR16" s="463"/>
      <c r="DS16" s="463"/>
      <c r="DT16" s="463"/>
      <c r="DU16" s="463"/>
      <c r="DV16" s="464"/>
      <c r="DW16" s="465"/>
      <c r="DX16" s="463"/>
      <c r="DY16" s="463"/>
      <c r="DZ16" s="463"/>
      <c r="EA16" s="463"/>
      <c r="EB16" s="464"/>
      <c r="EC16" s="465"/>
      <c r="ED16" s="463"/>
      <c r="EE16" s="463"/>
      <c r="EF16" s="463"/>
      <c r="EG16" s="463"/>
      <c r="EH16" s="464"/>
      <c r="EI16" s="465"/>
      <c r="EJ16" s="463"/>
      <c r="EK16" s="463"/>
      <c r="EL16" s="463"/>
      <c r="EM16" s="463"/>
      <c r="EN16" s="464"/>
      <c r="EO16" s="465"/>
      <c r="EP16" s="463"/>
      <c r="EQ16" s="463"/>
      <c r="ER16" s="463"/>
      <c r="ES16" s="463"/>
      <c r="ET16" s="464"/>
      <c r="EU16" s="465"/>
      <c r="EV16" s="463"/>
      <c r="EW16" s="463"/>
      <c r="EX16" s="463"/>
      <c r="EY16" s="463"/>
      <c r="EZ16" s="464"/>
      <c r="FA16" s="465"/>
      <c r="FB16" s="463"/>
      <c r="FC16" s="463"/>
      <c r="FD16" s="463"/>
      <c r="FE16" s="463"/>
      <c r="FF16" s="464"/>
      <c r="FG16" s="465"/>
      <c r="FH16" s="463"/>
      <c r="FI16" s="463"/>
      <c r="FJ16" s="463"/>
      <c r="FK16" s="463"/>
      <c r="FL16" s="464"/>
      <c r="FM16" s="465"/>
      <c r="FN16" s="463"/>
      <c r="FO16" s="463"/>
      <c r="FP16" s="463"/>
      <c r="FQ16" s="463"/>
      <c r="FR16" s="464"/>
      <c r="FS16" s="465"/>
      <c r="FT16" s="463"/>
      <c r="FU16" s="463"/>
      <c r="FV16" s="463"/>
      <c r="FW16" s="463"/>
      <c r="FX16" s="464"/>
      <c r="FY16" s="465"/>
      <c r="FZ16" s="463"/>
      <c r="GA16" s="463"/>
      <c r="GB16" s="463"/>
      <c r="GC16" s="463"/>
      <c r="GD16" s="464"/>
      <c r="GE16" s="465"/>
      <c r="GF16" s="463"/>
      <c r="GG16" s="463"/>
      <c r="GH16" s="463"/>
      <c r="GI16" s="463"/>
      <c r="GJ16" s="464"/>
      <c r="GK16" s="465"/>
      <c r="GL16" s="463"/>
      <c r="GM16" s="463"/>
      <c r="GN16" s="463"/>
      <c r="GO16" s="463"/>
      <c r="GP16" s="464"/>
      <c r="GQ16" s="465"/>
      <c r="GR16" s="463"/>
      <c r="GS16" s="463"/>
      <c r="GT16" s="463"/>
      <c r="GU16" s="463"/>
      <c r="GV16" s="464"/>
      <c r="GW16" s="465"/>
      <c r="GX16" s="463"/>
      <c r="GY16" s="463"/>
      <c r="GZ16" s="463"/>
      <c r="HA16" s="463"/>
      <c r="HB16" s="464"/>
      <c r="HC16" s="465"/>
      <c r="HD16" s="463"/>
      <c r="HE16" s="463"/>
      <c r="HF16" s="463"/>
      <c r="HG16" s="463"/>
      <c r="HH16" s="464"/>
      <c r="HI16" s="465"/>
      <c r="HJ16" s="463"/>
      <c r="HK16" s="463"/>
      <c r="HL16" s="463"/>
      <c r="HM16" s="463"/>
      <c r="HN16" s="464"/>
      <c r="HO16" s="465"/>
      <c r="HP16" s="463"/>
      <c r="HQ16" s="463"/>
      <c r="HR16" s="463"/>
      <c r="HS16" s="463"/>
      <c r="HT16" s="464"/>
      <c r="HU16" s="465"/>
      <c r="HV16" s="463"/>
      <c r="HW16" s="463"/>
      <c r="HX16" s="463"/>
      <c r="HY16" s="463"/>
      <c r="HZ16" s="464"/>
      <c r="IA16" s="465"/>
      <c r="IB16" s="463"/>
      <c r="IC16" s="463"/>
      <c r="ID16" s="463"/>
      <c r="IE16" s="463"/>
      <c r="IF16" s="464"/>
      <c r="IG16" s="465"/>
      <c r="IH16" s="463"/>
      <c r="II16" s="463"/>
      <c r="IJ16" s="463"/>
    </row>
    <row r="17" spans="2:244" ht="16.5" customHeight="1" x14ac:dyDescent="0.3">
      <c r="B17" s="1266">
        <v>10</v>
      </c>
      <c r="C17" s="1268" t="str">
        <f>RUAS!B17</f>
        <v>RUA PONTA GROSSA - T3</v>
      </c>
      <c r="D17" s="679">
        <v>0</v>
      </c>
      <c r="E17" s="680" t="s">
        <v>352</v>
      </c>
      <c r="F17" s="681">
        <v>0</v>
      </c>
      <c r="G17" s="679">
        <v>0</v>
      </c>
      <c r="H17" s="680" t="s">
        <v>352</v>
      </c>
      <c r="I17" s="681">
        <v>15.974</v>
      </c>
      <c r="J17" s="682">
        <f t="shared" si="0"/>
        <v>15.97</v>
      </c>
      <c r="K17" s="682">
        <v>3.5</v>
      </c>
      <c r="L17" s="684">
        <f t="shared" si="1"/>
        <v>55.89</v>
      </c>
      <c r="M17" s="682">
        <v>0</v>
      </c>
      <c r="N17" s="684">
        <f t="shared" si="2"/>
        <v>0</v>
      </c>
      <c r="O17" s="684">
        <f t="shared" si="3"/>
        <v>55.89</v>
      </c>
      <c r="P17" s="463"/>
      <c r="T17" s="463"/>
      <c r="U17" s="463"/>
      <c r="V17" s="463"/>
      <c r="W17" s="463"/>
      <c r="X17" s="464"/>
      <c r="Y17" s="465"/>
      <c r="Z17" s="463"/>
      <c r="AA17" s="463"/>
      <c r="AB17" s="463"/>
      <c r="AC17" s="463"/>
      <c r="AD17" s="464"/>
      <c r="AE17" s="465"/>
      <c r="AF17" s="463"/>
      <c r="AG17" s="463"/>
      <c r="AH17" s="463"/>
      <c r="AI17" s="463"/>
      <c r="AJ17" s="464"/>
      <c r="AK17" s="465"/>
      <c r="AL17" s="463"/>
      <c r="AM17" s="463"/>
      <c r="AN17" s="463"/>
      <c r="AO17" s="463"/>
      <c r="AP17" s="464"/>
      <c r="AQ17" s="465"/>
      <c r="AR17" s="463"/>
      <c r="AS17" s="463"/>
      <c r="AT17" s="463"/>
      <c r="AU17" s="463"/>
      <c r="AV17" s="464"/>
      <c r="AW17" s="465"/>
      <c r="AX17" s="463"/>
      <c r="AY17" s="463"/>
      <c r="AZ17" s="463"/>
      <c r="BA17" s="463"/>
      <c r="BB17" s="464"/>
      <c r="BC17" s="465"/>
      <c r="BD17" s="463"/>
      <c r="BE17" s="463"/>
      <c r="BF17" s="463"/>
      <c r="BG17" s="463"/>
      <c r="BH17" s="464"/>
      <c r="BI17" s="465"/>
      <c r="BJ17" s="463"/>
      <c r="BK17" s="463"/>
      <c r="BL17" s="463"/>
      <c r="BM17" s="463"/>
      <c r="BN17" s="464"/>
      <c r="BO17" s="465"/>
      <c r="BP17" s="463"/>
      <c r="BQ17" s="463"/>
      <c r="BR17" s="463"/>
      <c r="BS17" s="463"/>
      <c r="BT17" s="464"/>
      <c r="BU17" s="465"/>
      <c r="BV17" s="463"/>
      <c r="BW17" s="463"/>
      <c r="BX17" s="463"/>
      <c r="BY17" s="463"/>
      <c r="BZ17" s="464"/>
      <c r="CA17" s="465"/>
      <c r="CB17" s="463"/>
      <c r="CC17" s="463"/>
      <c r="CD17" s="463"/>
      <c r="CE17" s="463"/>
      <c r="CF17" s="464"/>
      <c r="CG17" s="465"/>
      <c r="CH17" s="463"/>
      <c r="CI17" s="463"/>
      <c r="CJ17" s="463"/>
      <c r="CK17" s="463"/>
      <c r="CL17" s="464"/>
      <c r="CM17" s="465"/>
      <c r="CN17" s="463"/>
      <c r="CO17" s="463"/>
      <c r="CP17" s="463"/>
      <c r="CQ17" s="463"/>
      <c r="CR17" s="464"/>
      <c r="CS17" s="465"/>
      <c r="CT17" s="463"/>
      <c r="CU17" s="463"/>
      <c r="CV17" s="463"/>
      <c r="CW17" s="463"/>
      <c r="CX17" s="464"/>
      <c r="CY17" s="465"/>
      <c r="CZ17" s="463"/>
      <c r="DA17" s="463"/>
      <c r="DB17" s="463"/>
      <c r="DC17" s="463"/>
      <c r="DD17" s="464"/>
      <c r="DE17" s="465"/>
      <c r="DF17" s="463"/>
      <c r="DG17" s="463"/>
      <c r="DH17" s="463"/>
      <c r="DI17" s="463"/>
      <c r="DJ17" s="464"/>
      <c r="DK17" s="465"/>
      <c r="DL17" s="463"/>
      <c r="DM17" s="463"/>
      <c r="DN17" s="463"/>
      <c r="DO17" s="463"/>
      <c r="DP17" s="464"/>
      <c r="DQ17" s="465"/>
      <c r="DR17" s="463"/>
      <c r="DS17" s="463"/>
      <c r="DT17" s="463"/>
      <c r="DU17" s="463"/>
      <c r="DV17" s="464"/>
      <c r="DW17" s="465"/>
      <c r="DX17" s="463"/>
      <c r="DY17" s="463"/>
      <c r="DZ17" s="463"/>
      <c r="EA17" s="463"/>
      <c r="EB17" s="464"/>
      <c r="EC17" s="465"/>
      <c r="ED17" s="463"/>
      <c r="EE17" s="463"/>
      <c r="EF17" s="463"/>
      <c r="EG17" s="463"/>
      <c r="EH17" s="464"/>
      <c r="EI17" s="465"/>
      <c r="EJ17" s="463"/>
      <c r="EK17" s="463"/>
      <c r="EL17" s="463"/>
      <c r="EM17" s="463"/>
      <c r="EN17" s="464"/>
      <c r="EO17" s="465"/>
      <c r="EP17" s="463"/>
      <c r="EQ17" s="463"/>
      <c r="ER17" s="463"/>
      <c r="ES17" s="463"/>
      <c r="ET17" s="464"/>
      <c r="EU17" s="465"/>
      <c r="EV17" s="463"/>
      <c r="EW17" s="463"/>
      <c r="EX17" s="463"/>
      <c r="EY17" s="463"/>
      <c r="EZ17" s="464"/>
      <c r="FA17" s="465"/>
      <c r="FB17" s="463"/>
      <c r="FC17" s="463"/>
      <c r="FD17" s="463"/>
      <c r="FE17" s="463"/>
      <c r="FF17" s="464"/>
      <c r="FG17" s="465"/>
      <c r="FH17" s="463"/>
      <c r="FI17" s="463"/>
      <c r="FJ17" s="463"/>
      <c r="FK17" s="463"/>
      <c r="FL17" s="464"/>
      <c r="FM17" s="465"/>
      <c r="FN17" s="463"/>
      <c r="FO17" s="463"/>
      <c r="FP17" s="463"/>
      <c r="FQ17" s="463"/>
      <c r="FR17" s="464"/>
      <c r="FS17" s="465"/>
      <c r="FT17" s="463"/>
      <c r="FU17" s="463"/>
      <c r="FV17" s="463"/>
      <c r="FW17" s="463"/>
      <c r="FX17" s="464"/>
      <c r="FY17" s="465"/>
      <c r="FZ17" s="463"/>
      <c r="GA17" s="463"/>
      <c r="GB17" s="463"/>
      <c r="GC17" s="463"/>
      <c r="GD17" s="464"/>
      <c r="GE17" s="465"/>
      <c r="GF17" s="463"/>
      <c r="GG17" s="463"/>
      <c r="GH17" s="463"/>
      <c r="GI17" s="463"/>
      <c r="GJ17" s="464"/>
      <c r="GK17" s="465"/>
      <c r="GL17" s="463"/>
      <c r="GM17" s="463"/>
      <c r="GN17" s="463"/>
      <c r="GO17" s="463"/>
      <c r="GP17" s="464"/>
      <c r="GQ17" s="465"/>
      <c r="GR17" s="463"/>
      <c r="GS17" s="463"/>
      <c r="GT17" s="463"/>
      <c r="GU17" s="463"/>
      <c r="GV17" s="464"/>
      <c r="GW17" s="465"/>
      <c r="GX17" s="463"/>
      <c r="GY17" s="463"/>
      <c r="GZ17" s="463"/>
      <c r="HA17" s="463"/>
      <c r="HB17" s="464"/>
      <c r="HC17" s="465"/>
      <c r="HD17" s="463"/>
      <c r="HE17" s="463"/>
      <c r="HF17" s="463"/>
      <c r="HG17" s="463"/>
      <c r="HH17" s="464"/>
      <c r="HI17" s="465"/>
      <c r="HJ17" s="463"/>
      <c r="HK17" s="463"/>
      <c r="HL17" s="463"/>
      <c r="HM17" s="463"/>
      <c r="HN17" s="464"/>
      <c r="HO17" s="465"/>
      <c r="HP17" s="463"/>
      <c r="HQ17" s="463"/>
      <c r="HR17" s="463"/>
      <c r="HS17" s="463"/>
      <c r="HT17" s="464"/>
      <c r="HU17" s="465"/>
      <c r="HV17" s="463"/>
      <c r="HW17" s="463"/>
      <c r="HX17" s="463"/>
      <c r="HY17" s="463"/>
      <c r="HZ17" s="464"/>
      <c r="IA17" s="465"/>
      <c r="IB17" s="463"/>
      <c r="IC17" s="463"/>
      <c r="ID17" s="463"/>
      <c r="IE17" s="463"/>
      <c r="IF17" s="464"/>
      <c r="IG17" s="465"/>
      <c r="IH17" s="463"/>
      <c r="II17" s="463"/>
      <c r="IJ17" s="463"/>
    </row>
    <row r="18" spans="2:244" ht="16.5" customHeight="1" x14ac:dyDescent="0.3">
      <c r="B18" s="1270"/>
      <c r="C18" s="1271"/>
      <c r="D18" s="679">
        <v>1</v>
      </c>
      <c r="E18" s="680" t="s">
        <v>352</v>
      </c>
      <c r="F18" s="681">
        <v>10.349</v>
      </c>
      <c r="G18" s="679">
        <v>5</v>
      </c>
      <c r="H18" s="680" t="s">
        <v>352</v>
      </c>
      <c r="I18" s="681">
        <v>6.6210000000000004</v>
      </c>
      <c r="J18" s="682">
        <f t="shared" si="0"/>
        <v>76.27</v>
      </c>
      <c r="K18" s="682">
        <v>3.5</v>
      </c>
      <c r="L18" s="684">
        <f t="shared" si="1"/>
        <v>266.94</v>
      </c>
      <c r="M18" s="682">
        <v>0</v>
      </c>
      <c r="N18" s="684">
        <f t="shared" si="2"/>
        <v>0</v>
      </c>
      <c r="O18" s="684">
        <f t="shared" si="3"/>
        <v>266.94</v>
      </c>
      <c r="P18" s="463"/>
      <c r="T18" s="463"/>
      <c r="U18" s="463"/>
      <c r="V18" s="463"/>
      <c r="W18" s="463"/>
      <c r="X18" s="464"/>
      <c r="Y18" s="465"/>
      <c r="Z18" s="463"/>
      <c r="AA18" s="463"/>
      <c r="AB18" s="463"/>
      <c r="AC18" s="463"/>
      <c r="AD18" s="464"/>
      <c r="AE18" s="465"/>
      <c r="AF18" s="463"/>
      <c r="AG18" s="463"/>
      <c r="AH18" s="463"/>
      <c r="AI18" s="463"/>
      <c r="AJ18" s="464"/>
      <c r="AK18" s="465"/>
      <c r="AL18" s="463"/>
      <c r="AM18" s="463"/>
      <c r="AN18" s="463"/>
      <c r="AO18" s="463"/>
      <c r="AP18" s="464"/>
      <c r="AQ18" s="465"/>
      <c r="AR18" s="463"/>
      <c r="AS18" s="463"/>
      <c r="AT18" s="463"/>
      <c r="AU18" s="463"/>
      <c r="AV18" s="464"/>
      <c r="AW18" s="465"/>
      <c r="AX18" s="463"/>
      <c r="AY18" s="463"/>
      <c r="AZ18" s="463"/>
      <c r="BA18" s="463"/>
      <c r="BB18" s="464"/>
      <c r="BC18" s="465"/>
      <c r="BD18" s="463"/>
      <c r="BE18" s="463"/>
      <c r="BF18" s="463"/>
      <c r="BG18" s="463"/>
      <c r="BH18" s="464"/>
      <c r="BI18" s="465"/>
      <c r="BJ18" s="463"/>
      <c r="BK18" s="463"/>
      <c r="BL18" s="463"/>
      <c r="BM18" s="463"/>
      <c r="BN18" s="464"/>
      <c r="BO18" s="465"/>
      <c r="BP18" s="463"/>
      <c r="BQ18" s="463"/>
      <c r="BR18" s="463"/>
      <c r="BS18" s="463"/>
      <c r="BT18" s="464"/>
      <c r="BU18" s="465"/>
      <c r="BV18" s="463"/>
      <c r="BW18" s="463"/>
      <c r="BX18" s="463"/>
      <c r="BY18" s="463"/>
      <c r="BZ18" s="464"/>
      <c r="CA18" s="465"/>
      <c r="CB18" s="463"/>
      <c r="CC18" s="463"/>
      <c r="CD18" s="463"/>
      <c r="CE18" s="463"/>
      <c r="CF18" s="464"/>
      <c r="CG18" s="465"/>
      <c r="CH18" s="463"/>
      <c r="CI18" s="463"/>
      <c r="CJ18" s="463"/>
      <c r="CK18" s="463"/>
      <c r="CL18" s="464"/>
      <c r="CM18" s="465"/>
      <c r="CN18" s="463"/>
      <c r="CO18" s="463"/>
      <c r="CP18" s="463"/>
      <c r="CQ18" s="463"/>
      <c r="CR18" s="464"/>
      <c r="CS18" s="465"/>
      <c r="CT18" s="463"/>
      <c r="CU18" s="463"/>
      <c r="CV18" s="463"/>
      <c r="CW18" s="463"/>
      <c r="CX18" s="464"/>
      <c r="CY18" s="465"/>
      <c r="CZ18" s="463"/>
      <c r="DA18" s="463"/>
      <c r="DB18" s="463"/>
      <c r="DC18" s="463"/>
      <c r="DD18" s="464"/>
      <c r="DE18" s="465"/>
      <c r="DF18" s="463"/>
      <c r="DG18" s="463"/>
      <c r="DH18" s="463"/>
      <c r="DI18" s="463"/>
      <c r="DJ18" s="464"/>
      <c r="DK18" s="465"/>
      <c r="DL18" s="463"/>
      <c r="DM18" s="463"/>
      <c r="DN18" s="463"/>
      <c r="DO18" s="463"/>
      <c r="DP18" s="464"/>
      <c r="DQ18" s="465"/>
      <c r="DR18" s="463"/>
      <c r="DS18" s="463"/>
      <c r="DT18" s="463"/>
      <c r="DU18" s="463"/>
      <c r="DV18" s="464"/>
      <c r="DW18" s="465"/>
      <c r="DX18" s="463"/>
      <c r="DY18" s="463"/>
      <c r="DZ18" s="463"/>
      <c r="EA18" s="463"/>
      <c r="EB18" s="464"/>
      <c r="EC18" s="465"/>
      <c r="ED18" s="463"/>
      <c r="EE18" s="463"/>
      <c r="EF18" s="463"/>
      <c r="EG18" s="463"/>
      <c r="EH18" s="464"/>
      <c r="EI18" s="465"/>
      <c r="EJ18" s="463"/>
      <c r="EK18" s="463"/>
      <c r="EL18" s="463"/>
      <c r="EM18" s="463"/>
      <c r="EN18" s="464"/>
      <c r="EO18" s="465"/>
      <c r="EP18" s="463"/>
      <c r="EQ18" s="463"/>
      <c r="ER18" s="463"/>
      <c r="ES18" s="463"/>
      <c r="ET18" s="464"/>
      <c r="EU18" s="465"/>
      <c r="EV18" s="463"/>
      <c r="EW18" s="463"/>
      <c r="EX18" s="463"/>
      <c r="EY18" s="463"/>
      <c r="EZ18" s="464"/>
      <c r="FA18" s="465"/>
      <c r="FB18" s="463"/>
      <c r="FC18" s="463"/>
      <c r="FD18" s="463"/>
      <c r="FE18" s="463"/>
      <c r="FF18" s="464"/>
      <c r="FG18" s="465"/>
      <c r="FH18" s="463"/>
      <c r="FI18" s="463"/>
      <c r="FJ18" s="463"/>
      <c r="FK18" s="463"/>
      <c r="FL18" s="464"/>
      <c r="FM18" s="465"/>
      <c r="FN18" s="463"/>
      <c r="FO18" s="463"/>
      <c r="FP18" s="463"/>
      <c r="FQ18" s="463"/>
      <c r="FR18" s="464"/>
      <c r="FS18" s="465"/>
      <c r="FT18" s="463"/>
      <c r="FU18" s="463"/>
      <c r="FV18" s="463"/>
      <c r="FW18" s="463"/>
      <c r="FX18" s="464"/>
      <c r="FY18" s="465"/>
      <c r="FZ18" s="463"/>
      <c r="GA18" s="463"/>
      <c r="GB18" s="463"/>
      <c r="GC18" s="463"/>
      <c r="GD18" s="464"/>
      <c r="GE18" s="465"/>
      <c r="GF18" s="463"/>
      <c r="GG18" s="463"/>
      <c r="GH18" s="463"/>
      <c r="GI18" s="463"/>
      <c r="GJ18" s="464"/>
      <c r="GK18" s="465"/>
      <c r="GL18" s="463"/>
      <c r="GM18" s="463"/>
      <c r="GN18" s="463"/>
      <c r="GO18" s="463"/>
      <c r="GP18" s="464"/>
      <c r="GQ18" s="465"/>
      <c r="GR18" s="463"/>
      <c r="GS18" s="463"/>
      <c r="GT18" s="463"/>
      <c r="GU18" s="463"/>
      <c r="GV18" s="464"/>
      <c r="GW18" s="465"/>
      <c r="GX18" s="463"/>
      <c r="GY18" s="463"/>
      <c r="GZ18" s="463"/>
      <c r="HA18" s="463"/>
      <c r="HB18" s="464"/>
      <c r="HC18" s="465"/>
      <c r="HD18" s="463"/>
      <c r="HE18" s="463"/>
      <c r="HF18" s="463"/>
      <c r="HG18" s="463"/>
      <c r="HH18" s="464"/>
      <c r="HI18" s="465"/>
      <c r="HJ18" s="463"/>
      <c r="HK18" s="463"/>
      <c r="HL18" s="463"/>
      <c r="HM18" s="463"/>
      <c r="HN18" s="464"/>
      <c r="HO18" s="465"/>
      <c r="HP18" s="463"/>
      <c r="HQ18" s="463"/>
      <c r="HR18" s="463"/>
      <c r="HS18" s="463"/>
      <c r="HT18" s="464"/>
      <c r="HU18" s="465"/>
      <c r="HV18" s="463"/>
      <c r="HW18" s="463"/>
      <c r="HX18" s="463"/>
      <c r="HY18" s="463"/>
      <c r="HZ18" s="464"/>
      <c r="IA18" s="465"/>
      <c r="IB18" s="463"/>
      <c r="IC18" s="463"/>
      <c r="ID18" s="463"/>
      <c r="IE18" s="463"/>
      <c r="IF18" s="464"/>
      <c r="IG18" s="465"/>
      <c r="IH18" s="463"/>
      <c r="II18" s="463"/>
      <c r="IJ18" s="463"/>
    </row>
    <row r="19" spans="2:244" ht="16.5" customHeight="1" x14ac:dyDescent="0.3">
      <c r="B19" s="1270"/>
      <c r="C19" s="1271"/>
      <c r="D19" s="679">
        <v>0</v>
      </c>
      <c r="E19" s="680" t="s">
        <v>352</v>
      </c>
      <c r="F19" s="681">
        <v>0</v>
      </c>
      <c r="G19" s="679">
        <v>1</v>
      </c>
      <c r="H19" s="680" t="s">
        <v>352</v>
      </c>
      <c r="I19" s="681">
        <v>18.789000000000001</v>
      </c>
      <c r="J19" s="682">
        <f t="shared" si="0"/>
        <v>38.78</v>
      </c>
      <c r="K19" s="682">
        <v>0</v>
      </c>
      <c r="L19" s="684">
        <f t="shared" si="1"/>
        <v>0</v>
      </c>
      <c r="M19" s="682">
        <v>2</v>
      </c>
      <c r="N19" s="684">
        <f t="shared" si="2"/>
        <v>77.56</v>
      </c>
      <c r="O19" s="684">
        <f t="shared" si="3"/>
        <v>77.56</v>
      </c>
      <c r="P19" s="463"/>
      <c r="T19" s="463"/>
      <c r="U19" s="463"/>
      <c r="V19" s="463"/>
      <c r="W19" s="463"/>
      <c r="X19" s="464"/>
      <c r="Y19" s="465"/>
      <c r="Z19" s="463"/>
      <c r="AA19" s="463"/>
      <c r="AB19" s="463"/>
      <c r="AC19" s="463"/>
      <c r="AD19" s="464"/>
      <c r="AE19" s="465"/>
      <c r="AF19" s="463"/>
      <c r="AG19" s="463"/>
      <c r="AH19" s="463"/>
      <c r="AI19" s="463"/>
      <c r="AJ19" s="464"/>
      <c r="AK19" s="465"/>
      <c r="AL19" s="463"/>
      <c r="AM19" s="463"/>
      <c r="AN19" s="463"/>
      <c r="AO19" s="463"/>
      <c r="AP19" s="464"/>
      <c r="AQ19" s="465"/>
      <c r="AR19" s="463"/>
      <c r="AS19" s="463"/>
      <c r="AT19" s="463"/>
      <c r="AU19" s="463"/>
      <c r="AV19" s="464"/>
      <c r="AW19" s="465"/>
      <c r="AX19" s="463"/>
      <c r="AY19" s="463"/>
      <c r="AZ19" s="463"/>
      <c r="BA19" s="463"/>
      <c r="BB19" s="464"/>
      <c r="BC19" s="465"/>
      <c r="BD19" s="463"/>
      <c r="BE19" s="463"/>
      <c r="BF19" s="463"/>
      <c r="BG19" s="463"/>
      <c r="BH19" s="464"/>
      <c r="BI19" s="465"/>
      <c r="BJ19" s="463"/>
      <c r="BK19" s="463"/>
      <c r="BL19" s="463"/>
      <c r="BM19" s="463"/>
      <c r="BN19" s="464"/>
      <c r="BO19" s="465"/>
      <c r="BP19" s="463"/>
      <c r="BQ19" s="463"/>
      <c r="BR19" s="463"/>
      <c r="BS19" s="463"/>
      <c r="BT19" s="464"/>
      <c r="BU19" s="465"/>
      <c r="BV19" s="463"/>
      <c r="BW19" s="463"/>
      <c r="BX19" s="463"/>
      <c r="BY19" s="463"/>
      <c r="BZ19" s="464"/>
      <c r="CA19" s="465"/>
      <c r="CB19" s="463"/>
      <c r="CC19" s="463"/>
      <c r="CD19" s="463"/>
      <c r="CE19" s="463"/>
      <c r="CF19" s="464"/>
      <c r="CG19" s="465"/>
      <c r="CH19" s="463"/>
      <c r="CI19" s="463"/>
      <c r="CJ19" s="463"/>
      <c r="CK19" s="463"/>
      <c r="CL19" s="464"/>
      <c r="CM19" s="465"/>
      <c r="CN19" s="463"/>
      <c r="CO19" s="463"/>
      <c r="CP19" s="463"/>
      <c r="CQ19" s="463"/>
      <c r="CR19" s="464"/>
      <c r="CS19" s="465"/>
      <c r="CT19" s="463"/>
      <c r="CU19" s="463"/>
      <c r="CV19" s="463"/>
      <c r="CW19" s="463"/>
      <c r="CX19" s="464"/>
      <c r="CY19" s="465"/>
      <c r="CZ19" s="463"/>
      <c r="DA19" s="463"/>
      <c r="DB19" s="463"/>
      <c r="DC19" s="463"/>
      <c r="DD19" s="464"/>
      <c r="DE19" s="465"/>
      <c r="DF19" s="463"/>
      <c r="DG19" s="463"/>
      <c r="DH19" s="463"/>
      <c r="DI19" s="463"/>
      <c r="DJ19" s="464"/>
      <c r="DK19" s="465"/>
      <c r="DL19" s="463"/>
      <c r="DM19" s="463"/>
      <c r="DN19" s="463"/>
      <c r="DO19" s="463"/>
      <c r="DP19" s="464"/>
      <c r="DQ19" s="465"/>
      <c r="DR19" s="463"/>
      <c r="DS19" s="463"/>
      <c r="DT19" s="463"/>
      <c r="DU19" s="463"/>
      <c r="DV19" s="464"/>
      <c r="DW19" s="465"/>
      <c r="DX19" s="463"/>
      <c r="DY19" s="463"/>
      <c r="DZ19" s="463"/>
      <c r="EA19" s="463"/>
      <c r="EB19" s="464"/>
      <c r="EC19" s="465"/>
      <c r="ED19" s="463"/>
      <c r="EE19" s="463"/>
      <c r="EF19" s="463"/>
      <c r="EG19" s="463"/>
      <c r="EH19" s="464"/>
      <c r="EI19" s="465"/>
      <c r="EJ19" s="463"/>
      <c r="EK19" s="463"/>
      <c r="EL19" s="463"/>
      <c r="EM19" s="463"/>
      <c r="EN19" s="464"/>
      <c r="EO19" s="465"/>
      <c r="EP19" s="463"/>
      <c r="EQ19" s="463"/>
      <c r="ER19" s="463"/>
      <c r="ES19" s="463"/>
      <c r="ET19" s="464"/>
      <c r="EU19" s="465"/>
      <c r="EV19" s="463"/>
      <c r="EW19" s="463"/>
      <c r="EX19" s="463"/>
      <c r="EY19" s="463"/>
      <c r="EZ19" s="464"/>
      <c r="FA19" s="465"/>
      <c r="FB19" s="463"/>
      <c r="FC19" s="463"/>
      <c r="FD19" s="463"/>
      <c r="FE19" s="463"/>
      <c r="FF19" s="464"/>
      <c r="FG19" s="465"/>
      <c r="FH19" s="463"/>
      <c r="FI19" s="463"/>
      <c r="FJ19" s="463"/>
      <c r="FK19" s="463"/>
      <c r="FL19" s="464"/>
      <c r="FM19" s="465"/>
      <c r="FN19" s="463"/>
      <c r="FO19" s="463"/>
      <c r="FP19" s="463"/>
      <c r="FQ19" s="463"/>
      <c r="FR19" s="464"/>
      <c r="FS19" s="465"/>
      <c r="FT19" s="463"/>
      <c r="FU19" s="463"/>
      <c r="FV19" s="463"/>
      <c r="FW19" s="463"/>
      <c r="FX19" s="464"/>
      <c r="FY19" s="465"/>
      <c r="FZ19" s="463"/>
      <c r="GA19" s="463"/>
      <c r="GB19" s="463"/>
      <c r="GC19" s="463"/>
      <c r="GD19" s="464"/>
      <c r="GE19" s="465"/>
      <c r="GF19" s="463"/>
      <c r="GG19" s="463"/>
      <c r="GH19" s="463"/>
      <c r="GI19" s="463"/>
      <c r="GJ19" s="464"/>
      <c r="GK19" s="465"/>
      <c r="GL19" s="463"/>
      <c r="GM19" s="463"/>
      <c r="GN19" s="463"/>
      <c r="GO19" s="463"/>
      <c r="GP19" s="464"/>
      <c r="GQ19" s="465"/>
      <c r="GR19" s="463"/>
      <c r="GS19" s="463"/>
      <c r="GT19" s="463"/>
      <c r="GU19" s="463"/>
      <c r="GV19" s="464"/>
      <c r="GW19" s="465"/>
      <c r="GX19" s="463"/>
      <c r="GY19" s="463"/>
      <c r="GZ19" s="463"/>
      <c r="HA19" s="463"/>
      <c r="HB19" s="464"/>
      <c r="HC19" s="465"/>
      <c r="HD19" s="463"/>
      <c r="HE19" s="463"/>
      <c r="HF19" s="463"/>
      <c r="HG19" s="463"/>
      <c r="HH19" s="464"/>
      <c r="HI19" s="465"/>
      <c r="HJ19" s="463"/>
      <c r="HK19" s="463"/>
      <c r="HL19" s="463"/>
      <c r="HM19" s="463"/>
      <c r="HN19" s="464"/>
      <c r="HO19" s="465"/>
      <c r="HP19" s="463"/>
      <c r="HQ19" s="463"/>
      <c r="HR19" s="463"/>
      <c r="HS19" s="463"/>
      <c r="HT19" s="464"/>
      <c r="HU19" s="465"/>
      <c r="HV19" s="463"/>
      <c r="HW19" s="463"/>
      <c r="HX19" s="463"/>
      <c r="HY19" s="463"/>
      <c r="HZ19" s="464"/>
      <c r="IA19" s="465"/>
      <c r="IB19" s="463"/>
      <c r="IC19" s="463"/>
      <c r="ID19" s="463"/>
      <c r="IE19" s="463"/>
      <c r="IF19" s="464"/>
      <c r="IG19" s="465"/>
      <c r="IH19" s="463"/>
      <c r="II19" s="463"/>
      <c r="IJ19" s="463"/>
    </row>
    <row r="20" spans="2:244" ht="16.5" customHeight="1" x14ac:dyDescent="0.3">
      <c r="B20" s="1267"/>
      <c r="C20" s="1269"/>
      <c r="D20" s="679">
        <v>2</v>
      </c>
      <c r="E20" s="680" t="s">
        <v>352</v>
      </c>
      <c r="F20" s="681">
        <v>16.385999999999999</v>
      </c>
      <c r="G20" s="679">
        <v>5</v>
      </c>
      <c r="H20" s="680" t="s">
        <v>352</v>
      </c>
      <c r="I20" s="681">
        <v>1.6379999999999999</v>
      </c>
      <c r="J20" s="682">
        <f t="shared" si="0"/>
        <v>45.25</v>
      </c>
      <c r="K20" s="682">
        <v>0</v>
      </c>
      <c r="L20" s="684">
        <f t="shared" si="1"/>
        <v>0</v>
      </c>
      <c r="M20" s="682">
        <v>2.75</v>
      </c>
      <c r="N20" s="684">
        <f t="shared" si="2"/>
        <v>124.43</v>
      </c>
      <c r="O20" s="684">
        <f t="shared" si="3"/>
        <v>124.43</v>
      </c>
      <c r="P20" s="463"/>
      <c r="T20" s="463"/>
      <c r="U20" s="463"/>
      <c r="V20" s="463"/>
      <c r="W20" s="463"/>
      <c r="X20" s="464"/>
      <c r="Y20" s="465"/>
      <c r="Z20" s="463"/>
      <c r="AA20" s="463"/>
      <c r="AB20" s="463"/>
      <c r="AC20" s="463"/>
      <c r="AD20" s="464"/>
      <c r="AE20" s="465"/>
      <c r="AF20" s="463"/>
      <c r="AG20" s="463"/>
      <c r="AH20" s="463"/>
      <c r="AI20" s="463"/>
      <c r="AJ20" s="464"/>
      <c r="AK20" s="465"/>
      <c r="AL20" s="463"/>
      <c r="AM20" s="463"/>
      <c r="AN20" s="463"/>
      <c r="AO20" s="463"/>
      <c r="AP20" s="464"/>
      <c r="AQ20" s="465"/>
      <c r="AR20" s="463"/>
      <c r="AS20" s="463"/>
      <c r="AT20" s="463"/>
      <c r="AU20" s="463"/>
      <c r="AV20" s="464"/>
      <c r="AW20" s="465"/>
      <c r="AX20" s="463"/>
      <c r="AY20" s="463"/>
      <c r="AZ20" s="463"/>
      <c r="BA20" s="463"/>
      <c r="BB20" s="464"/>
      <c r="BC20" s="465"/>
      <c r="BD20" s="463"/>
      <c r="BE20" s="463"/>
      <c r="BF20" s="463"/>
      <c r="BG20" s="463"/>
      <c r="BH20" s="464"/>
      <c r="BI20" s="465"/>
      <c r="BJ20" s="463"/>
      <c r="BK20" s="463"/>
      <c r="BL20" s="463"/>
      <c r="BM20" s="463"/>
      <c r="BN20" s="464"/>
      <c r="BO20" s="465"/>
      <c r="BP20" s="463"/>
      <c r="BQ20" s="463"/>
      <c r="BR20" s="463"/>
      <c r="BS20" s="463"/>
      <c r="BT20" s="464"/>
      <c r="BU20" s="465"/>
      <c r="BV20" s="463"/>
      <c r="BW20" s="463"/>
      <c r="BX20" s="463"/>
      <c r="BY20" s="463"/>
      <c r="BZ20" s="464"/>
      <c r="CA20" s="465"/>
      <c r="CB20" s="463"/>
      <c r="CC20" s="463"/>
      <c r="CD20" s="463"/>
      <c r="CE20" s="463"/>
      <c r="CF20" s="464"/>
      <c r="CG20" s="465"/>
      <c r="CH20" s="463"/>
      <c r="CI20" s="463"/>
      <c r="CJ20" s="463"/>
      <c r="CK20" s="463"/>
      <c r="CL20" s="464"/>
      <c r="CM20" s="465"/>
      <c r="CN20" s="463"/>
      <c r="CO20" s="463"/>
      <c r="CP20" s="463"/>
      <c r="CQ20" s="463"/>
      <c r="CR20" s="464"/>
      <c r="CS20" s="465"/>
      <c r="CT20" s="463"/>
      <c r="CU20" s="463"/>
      <c r="CV20" s="463"/>
      <c r="CW20" s="463"/>
      <c r="CX20" s="464"/>
      <c r="CY20" s="465"/>
      <c r="CZ20" s="463"/>
      <c r="DA20" s="463"/>
      <c r="DB20" s="463"/>
      <c r="DC20" s="463"/>
      <c r="DD20" s="464"/>
      <c r="DE20" s="465"/>
      <c r="DF20" s="463"/>
      <c r="DG20" s="463"/>
      <c r="DH20" s="463"/>
      <c r="DI20" s="463"/>
      <c r="DJ20" s="464"/>
      <c r="DK20" s="465"/>
      <c r="DL20" s="463"/>
      <c r="DM20" s="463"/>
      <c r="DN20" s="463"/>
      <c r="DO20" s="463"/>
      <c r="DP20" s="464"/>
      <c r="DQ20" s="465"/>
      <c r="DR20" s="463"/>
      <c r="DS20" s="463"/>
      <c r="DT20" s="463"/>
      <c r="DU20" s="463"/>
      <c r="DV20" s="464"/>
      <c r="DW20" s="465"/>
      <c r="DX20" s="463"/>
      <c r="DY20" s="463"/>
      <c r="DZ20" s="463"/>
      <c r="EA20" s="463"/>
      <c r="EB20" s="464"/>
      <c r="EC20" s="465"/>
      <c r="ED20" s="463"/>
      <c r="EE20" s="463"/>
      <c r="EF20" s="463"/>
      <c r="EG20" s="463"/>
      <c r="EH20" s="464"/>
      <c r="EI20" s="465"/>
      <c r="EJ20" s="463"/>
      <c r="EK20" s="463"/>
      <c r="EL20" s="463"/>
      <c r="EM20" s="463"/>
      <c r="EN20" s="464"/>
      <c r="EO20" s="465"/>
      <c r="EP20" s="463"/>
      <c r="EQ20" s="463"/>
      <c r="ER20" s="463"/>
      <c r="ES20" s="463"/>
      <c r="ET20" s="464"/>
      <c r="EU20" s="465"/>
      <c r="EV20" s="463"/>
      <c r="EW20" s="463"/>
      <c r="EX20" s="463"/>
      <c r="EY20" s="463"/>
      <c r="EZ20" s="464"/>
      <c r="FA20" s="465"/>
      <c r="FB20" s="463"/>
      <c r="FC20" s="463"/>
      <c r="FD20" s="463"/>
      <c r="FE20" s="463"/>
      <c r="FF20" s="464"/>
      <c r="FG20" s="465"/>
      <c r="FH20" s="463"/>
      <c r="FI20" s="463"/>
      <c r="FJ20" s="463"/>
      <c r="FK20" s="463"/>
      <c r="FL20" s="464"/>
      <c r="FM20" s="465"/>
      <c r="FN20" s="463"/>
      <c r="FO20" s="463"/>
      <c r="FP20" s="463"/>
      <c r="FQ20" s="463"/>
      <c r="FR20" s="464"/>
      <c r="FS20" s="465"/>
      <c r="FT20" s="463"/>
      <c r="FU20" s="463"/>
      <c r="FV20" s="463"/>
      <c r="FW20" s="463"/>
      <c r="FX20" s="464"/>
      <c r="FY20" s="465"/>
      <c r="FZ20" s="463"/>
      <c r="GA20" s="463"/>
      <c r="GB20" s="463"/>
      <c r="GC20" s="463"/>
      <c r="GD20" s="464"/>
      <c r="GE20" s="465"/>
      <c r="GF20" s="463"/>
      <c r="GG20" s="463"/>
      <c r="GH20" s="463"/>
      <c r="GI20" s="463"/>
      <c r="GJ20" s="464"/>
      <c r="GK20" s="465"/>
      <c r="GL20" s="463"/>
      <c r="GM20" s="463"/>
      <c r="GN20" s="463"/>
      <c r="GO20" s="463"/>
      <c r="GP20" s="464"/>
      <c r="GQ20" s="465"/>
      <c r="GR20" s="463"/>
      <c r="GS20" s="463"/>
      <c r="GT20" s="463"/>
      <c r="GU20" s="463"/>
      <c r="GV20" s="464"/>
      <c r="GW20" s="465"/>
      <c r="GX20" s="463"/>
      <c r="GY20" s="463"/>
      <c r="GZ20" s="463"/>
      <c r="HA20" s="463"/>
      <c r="HB20" s="464"/>
      <c r="HC20" s="465"/>
      <c r="HD20" s="463"/>
      <c r="HE20" s="463"/>
      <c r="HF20" s="463"/>
      <c r="HG20" s="463"/>
      <c r="HH20" s="464"/>
      <c r="HI20" s="465"/>
      <c r="HJ20" s="463"/>
      <c r="HK20" s="463"/>
      <c r="HL20" s="463"/>
      <c r="HM20" s="463"/>
      <c r="HN20" s="464"/>
      <c r="HO20" s="465"/>
      <c r="HP20" s="463"/>
      <c r="HQ20" s="463"/>
      <c r="HR20" s="463"/>
      <c r="HS20" s="463"/>
      <c r="HT20" s="464"/>
      <c r="HU20" s="465"/>
      <c r="HV20" s="463"/>
      <c r="HW20" s="463"/>
      <c r="HX20" s="463"/>
      <c r="HY20" s="463"/>
      <c r="HZ20" s="464"/>
      <c r="IA20" s="465"/>
      <c r="IB20" s="463"/>
      <c r="IC20" s="463"/>
      <c r="ID20" s="463"/>
      <c r="IE20" s="463"/>
      <c r="IF20" s="464"/>
      <c r="IG20" s="465"/>
      <c r="IH20" s="463"/>
      <c r="II20" s="463"/>
      <c r="IJ20" s="463"/>
    </row>
    <row r="21" spans="2:244" ht="16.5" customHeight="1" x14ac:dyDescent="0.25">
      <c r="B21" s="705">
        <v>11</v>
      </c>
      <c r="C21" s="706" t="str">
        <f>RUAS!B18</f>
        <v>RUA ASTORGA - T1</v>
      </c>
      <c r="D21" s="679">
        <v>1</v>
      </c>
      <c r="E21" s="680" t="s">
        <v>352</v>
      </c>
      <c r="F21" s="681">
        <v>8.56</v>
      </c>
      <c r="G21" s="679">
        <v>3</v>
      </c>
      <c r="H21" s="680" t="s">
        <v>352</v>
      </c>
      <c r="I21" s="681">
        <v>9.6859999999999999</v>
      </c>
      <c r="J21" s="682">
        <f t="shared" si="0"/>
        <v>41.12</v>
      </c>
      <c r="K21" s="682">
        <v>2.5</v>
      </c>
      <c r="L21" s="684">
        <f t="shared" si="1"/>
        <v>102.8</v>
      </c>
      <c r="M21" s="682">
        <v>2.5</v>
      </c>
      <c r="N21" s="684">
        <f t="shared" si="2"/>
        <v>102.8</v>
      </c>
      <c r="O21" s="684">
        <f t="shared" si="3"/>
        <v>205.6</v>
      </c>
      <c r="P21" s="463"/>
      <c r="T21" s="463"/>
      <c r="U21" s="463"/>
      <c r="V21" s="463"/>
      <c r="W21" s="463"/>
      <c r="X21" s="464"/>
      <c r="Y21" s="465"/>
      <c r="Z21" s="463"/>
      <c r="AA21" s="463"/>
      <c r="AB21" s="463"/>
      <c r="AC21" s="463"/>
      <c r="AD21" s="464"/>
      <c r="AE21" s="465"/>
      <c r="AF21" s="463"/>
      <c r="AG21" s="463"/>
      <c r="AH21" s="463"/>
      <c r="AI21" s="463"/>
      <c r="AJ21" s="464"/>
      <c r="AK21" s="465"/>
      <c r="AL21" s="463"/>
      <c r="AM21" s="463"/>
      <c r="AN21" s="463"/>
      <c r="AO21" s="463"/>
      <c r="AP21" s="464"/>
      <c r="AQ21" s="465"/>
      <c r="AR21" s="463"/>
      <c r="AS21" s="463"/>
      <c r="AT21" s="463"/>
      <c r="AU21" s="463"/>
      <c r="AV21" s="464"/>
      <c r="AW21" s="465"/>
      <c r="AX21" s="463"/>
      <c r="AY21" s="463"/>
      <c r="AZ21" s="463"/>
      <c r="BA21" s="463"/>
      <c r="BB21" s="464"/>
      <c r="BC21" s="465"/>
      <c r="BD21" s="463"/>
      <c r="BE21" s="463"/>
      <c r="BF21" s="463"/>
      <c r="BG21" s="463"/>
      <c r="BH21" s="464"/>
      <c r="BI21" s="465"/>
      <c r="BJ21" s="463"/>
      <c r="BK21" s="463"/>
      <c r="BL21" s="463"/>
      <c r="BM21" s="463"/>
      <c r="BN21" s="464"/>
      <c r="BO21" s="465"/>
      <c r="BP21" s="463"/>
      <c r="BQ21" s="463"/>
      <c r="BR21" s="463"/>
      <c r="BS21" s="463"/>
      <c r="BT21" s="464"/>
      <c r="BU21" s="465"/>
      <c r="BV21" s="463"/>
      <c r="BW21" s="463"/>
      <c r="BX21" s="463"/>
      <c r="BY21" s="463"/>
      <c r="BZ21" s="464"/>
      <c r="CA21" s="465"/>
      <c r="CB21" s="463"/>
      <c r="CC21" s="463"/>
      <c r="CD21" s="463"/>
      <c r="CE21" s="463"/>
      <c r="CF21" s="464"/>
      <c r="CG21" s="465"/>
      <c r="CH21" s="463"/>
      <c r="CI21" s="463"/>
      <c r="CJ21" s="463"/>
      <c r="CK21" s="463"/>
      <c r="CL21" s="464"/>
      <c r="CM21" s="465"/>
      <c r="CN21" s="463"/>
      <c r="CO21" s="463"/>
      <c r="CP21" s="463"/>
      <c r="CQ21" s="463"/>
      <c r="CR21" s="464"/>
      <c r="CS21" s="465"/>
      <c r="CT21" s="463"/>
      <c r="CU21" s="463"/>
      <c r="CV21" s="463"/>
      <c r="CW21" s="463"/>
      <c r="CX21" s="464"/>
      <c r="CY21" s="465"/>
      <c r="CZ21" s="463"/>
      <c r="DA21" s="463"/>
      <c r="DB21" s="463"/>
      <c r="DC21" s="463"/>
      <c r="DD21" s="464"/>
      <c r="DE21" s="465"/>
      <c r="DF21" s="463"/>
      <c r="DG21" s="463"/>
      <c r="DH21" s="463"/>
      <c r="DI21" s="463"/>
      <c r="DJ21" s="464"/>
      <c r="DK21" s="465"/>
      <c r="DL21" s="463"/>
      <c r="DM21" s="463"/>
      <c r="DN21" s="463"/>
      <c r="DO21" s="463"/>
      <c r="DP21" s="464"/>
      <c r="DQ21" s="465"/>
      <c r="DR21" s="463"/>
      <c r="DS21" s="463"/>
      <c r="DT21" s="463"/>
      <c r="DU21" s="463"/>
      <c r="DV21" s="464"/>
      <c r="DW21" s="465"/>
      <c r="DX21" s="463"/>
      <c r="DY21" s="463"/>
      <c r="DZ21" s="463"/>
      <c r="EA21" s="463"/>
      <c r="EB21" s="464"/>
      <c r="EC21" s="465"/>
      <c r="ED21" s="463"/>
      <c r="EE21" s="463"/>
      <c r="EF21" s="463"/>
      <c r="EG21" s="463"/>
      <c r="EH21" s="464"/>
      <c r="EI21" s="465"/>
      <c r="EJ21" s="463"/>
      <c r="EK21" s="463"/>
      <c r="EL21" s="463"/>
      <c r="EM21" s="463"/>
      <c r="EN21" s="464"/>
      <c r="EO21" s="465"/>
      <c r="EP21" s="463"/>
      <c r="EQ21" s="463"/>
      <c r="ER21" s="463"/>
      <c r="ES21" s="463"/>
      <c r="ET21" s="464"/>
      <c r="EU21" s="465"/>
      <c r="EV21" s="463"/>
      <c r="EW21" s="463"/>
      <c r="EX21" s="463"/>
      <c r="EY21" s="463"/>
      <c r="EZ21" s="464"/>
      <c r="FA21" s="465"/>
      <c r="FB21" s="463"/>
      <c r="FC21" s="463"/>
      <c r="FD21" s="463"/>
      <c r="FE21" s="463"/>
      <c r="FF21" s="464"/>
      <c r="FG21" s="465"/>
      <c r="FH21" s="463"/>
      <c r="FI21" s="463"/>
      <c r="FJ21" s="463"/>
      <c r="FK21" s="463"/>
      <c r="FL21" s="464"/>
      <c r="FM21" s="465"/>
      <c r="FN21" s="463"/>
      <c r="FO21" s="463"/>
      <c r="FP21" s="463"/>
      <c r="FQ21" s="463"/>
      <c r="FR21" s="464"/>
      <c r="FS21" s="465"/>
      <c r="FT21" s="463"/>
      <c r="FU21" s="463"/>
      <c r="FV21" s="463"/>
      <c r="FW21" s="463"/>
      <c r="FX21" s="464"/>
      <c r="FY21" s="465"/>
      <c r="FZ21" s="463"/>
      <c r="GA21" s="463"/>
      <c r="GB21" s="463"/>
      <c r="GC21" s="463"/>
      <c r="GD21" s="464"/>
      <c r="GE21" s="465"/>
      <c r="GF21" s="463"/>
      <c r="GG21" s="463"/>
      <c r="GH21" s="463"/>
      <c r="GI21" s="463"/>
      <c r="GJ21" s="464"/>
      <c r="GK21" s="465"/>
      <c r="GL21" s="463"/>
      <c r="GM21" s="463"/>
      <c r="GN21" s="463"/>
      <c r="GO21" s="463"/>
      <c r="GP21" s="464"/>
      <c r="GQ21" s="465"/>
      <c r="GR21" s="463"/>
      <c r="GS21" s="463"/>
      <c r="GT21" s="463"/>
      <c r="GU21" s="463"/>
      <c r="GV21" s="464"/>
      <c r="GW21" s="465"/>
      <c r="GX21" s="463"/>
      <c r="GY21" s="463"/>
      <c r="GZ21" s="463"/>
      <c r="HA21" s="463"/>
      <c r="HB21" s="464"/>
      <c r="HC21" s="465"/>
      <c r="HD21" s="463"/>
      <c r="HE21" s="463"/>
      <c r="HF21" s="463"/>
      <c r="HG21" s="463"/>
      <c r="HH21" s="464"/>
      <c r="HI21" s="465"/>
      <c r="HJ21" s="463"/>
      <c r="HK21" s="463"/>
      <c r="HL21" s="463"/>
      <c r="HM21" s="463"/>
      <c r="HN21" s="464"/>
      <c r="HO21" s="465"/>
      <c r="HP21" s="463"/>
      <c r="HQ21" s="463"/>
      <c r="HR21" s="463"/>
      <c r="HS21" s="463"/>
      <c r="HT21" s="464"/>
      <c r="HU21" s="465"/>
      <c r="HV21" s="463"/>
      <c r="HW21" s="463"/>
      <c r="HX21" s="463"/>
      <c r="HY21" s="463"/>
      <c r="HZ21" s="464"/>
      <c r="IA21" s="465"/>
      <c r="IB21" s="463"/>
      <c r="IC21" s="463"/>
      <c r="ID21" s="463"/>
      <c r="IE21" s="463"/>
      <c r="IF21" s="464"/>
      <c r="IG21" s="465"/>
      <c r="IH21" s="463"/>
      <c r="II21" s="463"/>
      <c r="IJ21" s="463"/>
    </row>
    <row r="22" spans="2:244" ht="16.5" customHeight="1" x14ac:dyDescent="0.3">
      <c r="B22" s="1266">
        <v>11</v>
      </c>
      <c r="C22" s="1268" t="str">
        <f>RUAS!B19</f>
        <v>RUA ASTORGA - T2</v>
      </c>
      <c r="D22" s="679">
        <v>0</v>
      </c>
      <c r="E22" s="680" t="s">
        <v>352</v>
      </c>
      <c r="F22" s="681">
        <v>12.67</v>
      </c>
      <c r="G22" s="679">
        <v>1</v>
      </c>
      <c r="H22" s="680" t="s">
        <v>352</v>
      </c>
      <c r="I22" s="681">
        <v>19.550999999999998</v>
      </c>
      <c r="J22" s="682">
        <f t="shared" si="0"/>
        <v>26.88</v>
      </c>
      <c r="K22" s="682">
        <v>3</v>
      </c>
      <c r="L22" s="684">
        <f t="shared" si="1"/>
        <v>80.64</v>
      </c>
      <c r="M22" s="682">
        <v>0</v>
      </c>
      <c r="N22" s="684">
        <f t="shared" si="2"/>
        <v>0</v>
      </c>
      <c r="O22" s="684">
        <f t="shared" si="3"/>
        <v>80.64</v>
      </c>
      <c r="P22" s="463"/>
      <c r="T22" s="463"/>
      <c r="U22" s="463"/>
      <c r="V22" s="463"/>
      <c r="W22" s="463"/>
      <c r="X22" s="464"/>
      <c r="Y22" s="465"/>
      <c r="Z22" s="463"/>
      <c r="AA22" s="463"/>
      <c r="AB22" s="463"/>
      <c r="AC22" s="463"/>
      <c r="AD22" s="464"/>
      <c r="AE22" s="465"/>
      <c r="AF22" s="463"/>
      <c r="AG22" s="463"/>
      <c r="AH22" s="463"/>
      <c r="AI22" s="463"/>
      <c r="AJ22" s="464"/>
      <c r="AK22" s="465"/>
      <c r="AL22" s="463"/>
      <c r="AM22" s="463"/>
      <c r="AN22" s="463"/>
      <c r="AO22" s="463"/>
      <c r="AP22" s="464"/>
      <c r="AQ22" s="465"/>
      <c r="AR22" s="463"/>
      <c r="AS22" s="463"/>
      <c r="AT22" s="463"/>
      <c r="AU22" s="463"/>
      <c r="AV22" s="464"/>
      <c r="AW22" s="465"/>
      <c r="AX22" s="463"/>
      <c r="AY22" s="463"/>
      <c r="AZ22" s="463"/>
      <c r="BA22" s="463"/>
      <c r="BB22" s="464"/>
      <c r="BC22" s="465"/>
      <c r="BD22" s="463"/>
      <c r="BE22" s="463"/>
      <c r="BF22" s="463"/>
      <c r="BG22" s="463"/>
      <c r="BH22" s="464"/>
      <c r="BI22" s="465"/>
      <c r="BJ22" s="463"/>
      <c r="BK22" s="463"/>
      <c r="BL22" s="463"/>
      <c r="BM22" s="463"/>
      <c r="BN22" s="464"/>
      <c r="BO22" s="465"/>
      <c r="BP22" s="463"/>
      <c r="BQ22" s="463"/>
      <c r="BR22" s="463"/>
      <c r="BS22" s="463"/>
      <c r="BT22" s="464"/>
      <c r="BU22" s="465"/>
      <c r="BV22" s="463"/>
      <c r="BW22" s="463"/>
      <c r="BX22" s="463"/>
      <c r="BY22" s="463"/>
      <c r="BZ22" s="464"/>
      <c r="CA22" s="465"/>
      <c r="CB22" s="463"/>
      <c r="CC22" s="463"/>
      <c r="CD22" s="463"/>
      <c r="CE22" s="463"/>
      <c r="CF22" s="464"/>
      <c r="CG22" s="465"/>
      <c r="CH22" s="463"/>
      <c r="CI22" s="463"/>
      <c r="CJ22" s="463"/>
      <c r="CK22" s="463"/>
      <c r="CL22" s="464"/>
      <c r="CM22" s="465"/>
      <c r="CN22" s="463"/>
      <c r="CO22" s="463"/>
      <c r="CP22" s="463"/>
      <c r="CQ22" s="463"/>
      <c r="CR22" s="464"/>
      <c r="CS22" s="465"/>
      <c r="CT22" s="463"/>
      <c r="CU22" s="463"/>
      <c r="CV22" s="463"/>
      <c r="CW22" s="463"/>
      <c r="CX22" s="464"/>
      <c r="CY22" s="465"/>
      <c r="CZ22" s="463"/>
      <c r="DA22" s="463"/>
      <c r="DB22" s="463"/>
      <c r="DC22" s="463"/>
      <c r="DD22" s="464"/>
      <c r="DE22" s="465"/>
      <c r="DF22" s="463"/>
      <c r="DG22" s="463"/>
      <c r="DH22" s="463"/>
      <c r="DI22" s="463"/>
      <c r="DJ22" s="464"/>
      <c r="DK22" s="465"/>
      <c r="DL22" s="463"/>
      <c r="DM22" s="463"/>
      <c r="DN22" s="463"/>
      <c r="DO22" s="463"/>
      <c r="DP22" s="464"/>
      <c r="DQ22" s="465"/>
      <c r="DR22" s="463"/>
      <c r="DS22" s="463"/>
      <c r="DT22" s="463"/>
      <c r="DU22" s="463"/>
      <c r="DV22" s="464"/>
      <c r="DW22" s="465"/>
      <c r="DX22" s="463"/>
      <c r="DY22" s="463"/>
      <c r="DZ22" s="463"/>
      <c r="EA22" s="463"/>
      <c r="EB22" s="464"/>
      <c r="EC22" s="465"/>
      <c r="ED22" s="463"/>
      <c r="EE22" s="463"/>
      <c r="EF22" s="463"/>
      <c r="EG22" s="463"/>
      <c r="EH22" s="464"/>
      <c r="EI22" s="465"/>
      <c r="EJ22" s="463"/>
      <c r="EK22" s="463"/>
      <c r="EL22" s="463"/>
      <c r="EM22" s="463"/>
      <c r="EN22" s="464"/>
      <c r="EO22" s="465"/>
      <c r="EP22" s="463"/>
      <c r="EQ22" s="463"/>
      <c r="ER22" s="463"/>
      <c r="ES22" s="463"/>
      <c r="ET22" s="464"/>
      <c r="EU22" s="465"/>
      <c r="EV22" s="463"/>
      <c r="EW22" s="463"/>
      <c r="EX22" s="463"/>
      <c r="EY22" s="463"/>
      <c r="EZ22" s="464"/>
      <c r="FA22" s="465"/>
      <c r="FB22" s="463"/>
      <c r="FC22" s="463"/>
      <c r="FD22" s="463"/>
      <c r="FE22" s="463"/>
      <c r="FF22" s="464"/>
      <c r="FG22" s="465"/>
      <c r="FH22" s="463"/>
      <c r="FI22" s="463"/>
      <c r="FJ22" s="463"/>
      <c r="FK22" s="463"/>
      <c r="FL22" s="464"/>
      <c r="FM22" s="465"/>
      <c r="FN22" s="463"/>
      <c r="FO22" s="463"/>
      <c r="FP22" s="463"/>
      <c r="FQ22" s="463"/>
      <c r="FR22" s="464"/>
      <c r="FS22" s="465"/>
      <c r="FT22" s="463"/>
      <c r="FU22" s="463"/>
      <c r="FV22" s="463"/>
      <c r="FW22" s="463"/>
      <c r="FX22" s="464"/>
      <c r="FY22" s="465"/>
      <c r="FZ22" s="463"/>
      <c r="GA22" s="463"/>
      <c r="GB22" s="463"/>
      <c r="GC22" s="463"/>
      <c r="GD22" s="464"/>
      <c r="GE22" s="465"/>
      <c r="GF22" s="463"/>
      <c r="GG22" s="463"/>
      <c r="GH22" s="463"/>
      <c r="GI22" s="463"/>
      <c r="GJ22" s="464"/>
      <c r="GK22" s="465"/>
      <c r="GL22" s="463"/>
      <c r="GM22" s="463"/>
      <c r="GN22" s="463"/>
      <c r="GO22" s="463"/>
      <c r="GP22" s="464"/>
      <c r="GQ22" s="465"/>
      <c r="GR22" s="463"/>
      <c r="GS22" s="463"/>
      <c r="GT22" s="463"/>
      <c r="GU22" s="463"/>
      <c r="GV22" s="464"/>
      <c r="GW22" s="465"/>
      <c r="GX22" s="463"/>
      <c r="GY22" s="463"/>
      <c r="GZ22" s="463"/>
      <c r="HA22" s="463"/>
      <c r="HB22" s="464"/>
      <c r="HC22" s="465"/>
      <c r="HD22" s="463"/>
      <c r="HE22" s="463"/>
      <c r="HF22" s="463"/>
      <c r="HG22" s="463"/>
      <c r="HH22" s="464"/>
      <c r="HI22" s="465"/>
      <c r="HJ22" s="463"/>
      <c r="HK22" s="463"/>
      <c r="HL22" s="463"/>
      <c r="HM22" s="463"/>
      <c r="HN22" s="464"/>
      <c r="HO22" s="465"/>
      <c r="HP22" s="463"/>
      <c r="HQ22" s="463"/>
      <c r="HR22" s="463"/>
      <c r="HS22" s="463"/>
      <c r="HT22" s="464"/>
      <c r="HU22" s="465"/>
      <c r="HV22" s="463"/>
      <c r="HW22" s="463"/>
      <c r="HX22" s="463"/>
      <c r="HY22" s="463"/>
      <c r="HZ22" s="464"/>
      <c r="IA22" s="465"/>
      <c r="IB22" s="463"/>
      <c r="IC22" s="463"/>
      <c r="ID22" s="463"/>
      <c r="IE22" s="463"/>
      <c r="IF22" s="464"/>
      <c r="IG22" s="465"/>
      <c r="IH22" s="463"/>
      <c r="II22" s="463"/>
      <c r="IJ22" s="463"/>
    </row>
    <row r="23" spans="2:244" ht="16.5" customHeight="1" x14ac:dyDescent="0.3">
      <c r="B23" s="1270"/>
      <c r="C23" s="1271"/>
      <c r="D23" s="679">
        <v>4</v>
      </c>
      <c r="E23" s="680" t="s">
        <v>352</v>
      </c>
      <c r="F23" s="681">
        <v>13.416</v>
      </c>
      <c r="G23" s="679">
        <v>5</v>
      </c>
      <c r="H23" s="680" t="s">
        <v>352</v>
      </c>
      <c r="I23" s="681">
        <v>2.9620000000000002</v>
      </c>
      <c r="J23" s="682">
        <f t="shared" si="0"/>
        <v>9.5399999999999991</v>
      </c>
      <c r="K23" s="682">
        <v>2.5</v>
      </c>
      <c r="L23" s="684">
        <f t="shared" si="1"/>
        <v>23.85</v>
      </c>
      <c r="M23" s="682">
        <v>0</v>
      </c>
      <c r="N23" s="684">
        <f t="shared" si="2"/>
        <v>0</v>
      </c>
      <c r="O23" s="684">
        <f t="shared" si="3"/>
        <v>23.85</v>
      </c>
      <c r="P23" s="463"/>
      <c r="T23" s="463"/>
      <c r="U23" s="463"/>
      <c r="V23" s="463"/>
      <c r="W23" s="463"/>
      <c r="X23" s="464"/>
      <c r="Y23" s="465"/>
      <c r="Z23" s="463"/>
      <c r="AA23" s="463"/>
      <c r="AB23" s="463"/>
      <c r="AC23" s="463"/>
      <c r="AD23" s="464"/>
      <c r="AE23" s="465"/>
      <c r="AF23" s="463"/>
      <c r="AG23" s="463"/>
      <c r="AH23" s="463"/>
      <c r="AI23" s="463"/>
      <c r="AJ23" s="464"/>
      <c r="AK23" s="465"/>
      <c r="AL23" s="463"/>
      <c r="AM23" s="463"/>
      <c r="AN23" s="463"/>
      <c r="AO23" s="463"/>
      <c r="AP23" s="464"/>
      <c r="AQ23" s="465"/>
      <c r="AR23" s="463"/>
      <c r="AS23" s="463"/>
      <c r="AT23" s="463"/>
      <c r="AU23" s="463"/>
      <c r="AV23" s="464"/>
      <c r="AW23" s="465"/>
      <c r="AX23" s="463"/>
      <c r="AY23" s="463"/>
      <c r="AZ23" s="463"/>
      <c r="BA23" s="463"/>
      <c r="BB23" s="464"/>
      <c r="BC23" s="465"/>
      <c r="BD23" s="463"/>
      <c r="BE23" s="463"/>
      <c r="BF23" s="463"/>
      <c r="BG23" s="463"/>
      <c r="BH23" s="464"/>
      <c r="BI23" s="465"/>
      <c r="BJ23" s="463"/>
      <c r="BK23" s="463"/>
      <c r="BL23" s="463"/>
      <c r="BM23" s="463"/>
      <c r="BN23" s="464"/>
      <c r="BO23" s="465"/>
      <c r="BP23" s="463"/>
      <c r="BQ23" s="463"/>
      <c r="BR23" s="463"/>
      <c r="BS23" s="463"/>
      <c r="BT23" s="464"/>
      <c r="BU23" s="465"/>
      <c r="BV23" s="463"/>
      <c r="BW23" s="463"/>
      <c r="BX23" s="463"/>
      <c r="BY23" s="463"/>
      <c r="BZ23" s="464"/>
      <c r="CA23" s="465"/>
      <c r="CB23" s="463"/>
      <c r="CC23" s="463"/>
      <c r="CD23" s="463"/>
      <c r="CE23" s="463"/>
      <c r="CF23" s="464"/>
      <c r="CG23" s="465"/>
      <c r="CH23" s="463"/>
      <c r="CI23" s="463"/>
      <c r="CJ23" s="463"/>
      <c r="CK23" s="463"/>
      <c r="CL23" s="464"/>
      <c r="CM23" s="465"/>
      <c r="CN23" s="463"/>
      <c r="CO23" s="463"/>
      <c r="CP23" s="463"/>
      <c r="CQ23" s="463"/>
      <c r="CR23" s="464"/>
      <c r="CS23" s="465"/>
      <c r="CT23" s="463"/>
      <c r="CU23" s="463"/>
      <c r="CV23" s="463"/>
      <c r="CW23" s="463"/>
      <c r="CX23" s="464"/>
      <c r="CY23" s="465"/>
      <c r="CZ23" s="463"/>
      <c r="DA23" s="463"/>
      <c r="DB23" s="463"/>
      <c r="DC23" s="463"/>
      <c r="DD23" s="464"/>
      <c r="DE23" s="465"/>
      <c r="DF23" s="463"/>
      <c r="DG23" s="463"/>
      <c r="DH23" s="463"/>
      <c r="DI23" s="463"/>
      <c r="DJ23" s="464"/>
      <c r="DK23" s="465"/>
      <c r="DL23" s="463"/>
      <c r="DM23" s="463"/>
      <c r="DN23" s="463"/>
      <c r="DO23" s="463"/>
      <c r="DP23" s="464"/>
      <c r="DQ23" s="465"/>
      <c r="DR23" s="463"/>
      <c r="DS23" s="463"/>
      <c r="DT23" s="463"/>
      <c r="DU23" s="463"/>
      <c r="DV23" s="464"/>
      <c r="DW23" s="465"/>
      <c r="DX23" s="463"/>
      <c r="DY23" s="463"/>
      <c r="DZ23" s="463"/>
      <c r="EA23" s="463"/>
      <c r="EB23" s="464"/>
      <c r="EC23" s="465"/>
      <c r="ED23" s="463"/>
      <c r="EE23" s="463"/>
      <c r="EF23" s="463"/>
      <c r="EG23" s="463"/>
      <c r="EH23" s="464"/>
      <c r="EI23" s="465"/>
      <c r="EJ23" s="463"/>
      <c r="EK23" s="463"/>
      <c r="EL23" s="463"/>
      <c r="EM23" s="463"/>
      <c r="EN23" s="464"/>
      <c r="EO23" s="465"/>
      <c r="EP23" s="463"/>
      <c r="EQ23" s="463"/>
      <c r="ER23" s="463"/>
      <c r="ES23" s="463"/>
      <c r="ET23" s="464"/>
      <c r="EU23" s="465"/>
      <c r="EV23" s="463"/>
      <c r="EW23" s="463"/>
      <c r="EX23" s="463"/>
      <c r="EY23" s="463"/>
      <c r="EZ23" s="464"/>
      <c r="FA23" s="465"/>
      <c r="FB23" s="463"/>
      <c r="FC23" s="463"/>
      <c r="FD23" s="463"/>
      <c r="FE23" s="463"/>
      <c r="FF23" s="464"/>
      <c r="FG23" s="465"/>
      <c r="FH23" s="463"/>
      <c r="FI23" s="463"/>
      <c r="FJ23" s="463"/>
      <c r="FK23" s="463"/>
      <c r="FL23" s="464"/>
      <c r="FM23" s="465"/>
      <c r="FN23" s="463"/>
      <c r="FO23" s="463"/>
      <c r="FP23" s="463"/>
      <c r="FQ23" s="463"/>
      <c r="FR23" s="464"/>
      <c r="FS23" s="465"/>
      <c r="FT23" s="463"/>
      <c r="FU23" s="463"/>
      <c r="FV23" s="463"/>
      <c r="FW23" s="463"/>
      <c r="FX23" s="464"/>
      <c r="FY23" s="465"/>
      <c r="FZ23" s="463"/>
      <c r="GA23" s="463"/>
      <c r="GB23" s="463"/>
      <c r="GC23" s="463"/>
      <c r="GD23" s="464"/>
      <c r="GE23" s="465"/>
      <c r="GF23" s="463"/>
      <c r="GG23" s="463"/>
      <c r="GH23" s="463"/>
      <c r="GI23" s="463"/>
      <c r="GJ23" s="464"/>
      <c r="GK23" s="465"/>
      <c r="GL23" s="463"/>
      <c r="GM23" s="463"/>
      <c r="GN23" s="463"/>
      <c r="GO23" s="463"/>
      <c r="GP23" s="464"/>
      <c r="GQ23" s="465"/>
      <c r="GR23" s="463"/>
      <c r="GS23" s="463"/>
      <c r="GT23" s="463"/>
      <c r="GU23" s="463"/>
      <c r="GV23" s="464"/>
      <c r="GW23" s="465"/>
      <c r="GX23" s="463"/>
      <c r="GY23" s="463"/>
      <c r="GZ23" s="463"/>
      <c r="HA23" s="463"/>
      <c r="HB23" s="464"/>
      <c r="HC23" s="465"/>
      <c r="HD23" s="463"/>
      <c r="HE23" s="463"/>
      <c r="HF23" s="463"/>
      <c r="HG23" s="463"/>
      <c r="HH23" s="464"/>
      <c r="HI23" s="465"/>
      <c r="HJ23" s="463"/>
      <c r="HK23" s="463"/>
      <c r="HL23" s="463"/>
      <c r="HM23" s="463"/>
      <c r="HN23" s="464"/>
      <c r="HO23" s="465"/>
      <c r="HP23" s="463"/>
      <c r="HQ23" s="463"/>
      <c r="HR23" s="463"/>
      <c r="HS23" s="463"/>
      <c r="HT23" s="464"/>
      <c r="HU23" s="465"/>
      <c r="HV23" s="463"/>
      <c r="HW23" s="463"/>
      <c r="HX23" s="463"/>
      <c r="HY23" s="463"/>
      <c r="HZ23" s="464"/>
      <c r="IA23" s="465"/>
      <c r="IB23" s="463"/>
      <c r="IC23" s="463"/>
      <c r="ID23" s="463"/>
      <c r="IE23" s="463"/>
      <c r="IF23" s="464"/>
      <c r="IG23" s="465"/>
      <c r="IH23" s="463"/>
      <c r="II23" s="463"/>
      <c r="IJ23" s="463"/>
    </row>
    <row r="24" spans="2:244" ht="16.5" customHeight="1" x14ac:dyDescent="0.3">
      <c r="B24" s="1267"/>
      <c r="C24" s="1269"/>
      <c r="D24" s="679">
        <v>0</v>
      </c>
      <c r="E24" s="680" t="s">
        <v>352</v>
      </c>
      <c r="F24" s="681">
        <v>12.67</v>
      </c>
      <c r="G24" s="679">
        <v>5</v>
      </c>
      <c r="H24" s="680" t="s">
        <v>352</v>
      </c>
      <c r="I24" s="681">
        <v>5.9109999999999996</v>
      </c>
      <c r="J24" s="682">
        <f t="shared" si="0"/>
        <v>93.24</v>
      </c>
      <c r="K24" s="682">
        <v>0</v>
      </c>
      <c r="L24" s="684">
        <f t="shared" si="1"/>
        <v>0</v>
      </c>
      <c r="M24" s="682">
        <v>3.5</v>
      </c>
      <c r="N24" s="684">
        <f t="shared" si="2"/>
        <v>326.33999999999997</v>
      </c>
      <c r="O24" s="684">
        <f t="shared" si="3"/>
        <v>326.33999999999997</v>
      </c>
      <c r="P24" s="463"/>
      <c r="T24" s="463"/>
      <c r="U24" s="463"/>
      <c r="V24" s="463"/>
      <c r="W24" s="463"/>
      <c r="X24" s="464"/>
      <c r="Y24" s="465"/>
      <c r="Z24" s="463"/>
      <c r="AA24" s="463"/>
      <c r="AB24" s="463"/>
      <c r="AC24" s="463"/>
      <c r="AD24" s="464"/>
      <c r="AE24" s="465"/>
      <c r="AF24" s="463"/>
      <c r="AG24" s="463"/>
      <c r="AH24" s="463"/>
      <c r="AI24" s="463"/>
      <c r="AJ24" s="464"/>
      <c r="AK24" s="465"/>
      <c r="AL24" s="463"/>
      <c r="AM24" s="463"/>
      <c r="AN24" s="463"/>
      <c r="AO24" s="463"/>
      <c r="AP24" s="464"/>
      <c r="AQ24" s="465"/>
      <c r="AR24" s="463"/>
      <c r="AS24" s="463"/>
      <c r="AT24" s="463"/>
      <c r="AU24" s="463"/>
      <c r="AV24" s="464"/>
      <c r="AW24" s="465"/>
      <c r="AX24" s="463"/>
      <c r="AY24" s="463"/>
      <c r="AZ24" s="463"/>
      <c r="BA24" s="463"/>
      <c r="BB24" s="464"/>
      <c r="BC24" s="465"/>
      <c r="BD24" s="463"/>
      <c r="BE24" s="463"/>
      <c r="BF24" s="463"/>
      <c r="BG24" s="463"/>
      <c r="BH24" s="464"/>
      <c r="BI24" s="465"/>
      <c r="BJ24" s="463"/>
      <c r="BK24" s="463"/>
      <c r="BL24" s="463"/>
      <c r="BM24" s="463"/>
      <c r="BN24" s="464"/>
      <c r="BO24" s="465"/>
      <c r="BP24" s="463"/>
      <c r="BQ24" s="463"/>
      <c r="BR24" s="463"/>
      <c r="BS24" s="463"/>
      <c r="BT24" s="464"/>
      <c r="BU24" s="465"/>
      <c r="BV24" s="463"/>
      <c r="BW24" s="463"/>
      <c r="BX24" s="463"/>
      <c r="BY24" s="463"/>
      <c r="BZ24" s="464"/>
      <c r="CA24" s="465"/>
      <c r="CB24" s="463"/>
      <c r="CC24" s="463"/>
      <c r="CD24" s="463"/>
      <c r="CE24" s="463"/>
      <c r="CF24" s="464"/>
      <c r="CG24" s="465"/>
      <c r="CH24" s="463"/>
      <c r="CI24" s="463"/>
      <c r="CJ24" s="463"/>
      <c r="CK24" s="463"/>
      <c r="CL24" s="464"/>
      <c r="CM24" s="465"/>
      <c r="CN24" s="463"/>
      <c r="CO24" s="463"/>
      <c r="CP24" s="463"/>
      <c r="CQ24" s="463"/>
      <c r="CR24" s="464"/>
      <c r="CS24" s="465"/>
      <c r="CT24" s="463"/>
      <c r="CU24" s="463"/>
      <c r="CV24" s="463"/>
      <c r="CW24" s="463"/>
      <c r="CX24" s="464"/>
      <c r="CY24" s="465"/>
      <c r="CZ24" s="463"/>
      <c r="DA24" s="463"/>
      <c r="DB24" s="463"/>
      <c r="DC24" s="463"/>
      <c r="DD24" s="464"/>
      <c r="DE24" s="465"/>
      <c r="DF24" s="463"/>
      <c r="DG24" s="463"/>
      <c r="DH24" s="463"/>
      <c r="DI24" s="463"/>
      <c r="DJ24" s="464"/>
      <c r="DK24" s="465"/>
      <c r="DL24" s="463"/>
      <c r="DM24" s="463"/>
      <c r="DN24" s="463"/>
      <c r="DO24" s="463"/>
      <c r="DP24" s="464"/>
      <c r="DQ24" s="465"/>
      <c r="DR24" s="463"/>
      <c r="DS24" s="463"/>
      <c r="DT24" s="463"/>
      <c r="DU24" s="463"/>
      <c r="DV24" s="464"/>
      <c r="DW24" s="465"/>
      <c r="DX24" s="463"/>
      <c r="DY24" s="463"/>
      <c r="DZ24" s="463"/>
      <c r="EA24" s="463"/>
      <c r="EB24" s="464"/>
      <c r="EC24" s="465"/>
      <c r="ED24" s="463"/>
      <c r="EE24" s="463"/>
      <c r="EF24" s="463"/>
      <c r="EG24" s="463"/>
      <c r="EH24" s="464"/>
      <c r="EI24" s="465"/>
      <c r="EJ24" s="463"/>
      <c r="EK24" s="463"/>
      <c r="EL24" s="463"/>
      <c r="EM24" s="463"/>
      <c r="EN24" s="464"/>
      <c r="EO24" s="465"/>
      <c r="EP24" s="463"/>
      <c r="EQ24" s="463"/>
      <c r="ER24" s="463"/>
      <c r="ES24" s="463"/>
      <c r="ET24" s="464"/>
      <c r="EU24" s="465"/>
      <c r="EV24" s="463"/>
      <c r="EW24" s="463"/>
      <c r="EX24" s="463"/>
      <c r="EY24" s="463"/>
      <c r="EZ24" s="464"/>
      <c r="FA24" s="465"/>
      <c r="FB24" s="463"/>
      <c r="FC24" s="463"/>
      <c r="FD24" s="463"/>
      <c r="FE24" s="463"/>
      <c r="FF24" s="464"/>
      <c r="FG24" s="465"/>
      <c r="FH24" s="463"/>
      <c r="FI24" s="463"/>
      <c r="FJ24" s="463"/>
      <c r="FK24" s="463"/>
      <c r="FL24" s="464"/>
      <c r="FM24" s="465"/>
      <c r="FN24" s="463"/>
      <c r="FO24" s="463"/>
      <c r="FP24" s="463"/>
      <c r="FQ24" s="463"/>
      <c r="FR24" s="464"/>
      <c r="FS24" s="465"/>
      <c r="FT24" s="463"/>
      <c r="FU24" s="463"/>
      <c r="FV24" s="463"/>
      <c r="FW24" s="463"/>
      <c r="FX24" s="464"/>
      <c r="FY24" s="465"/>
      <c r="FZ24" s="463"/>
      <c r="GA24" s="463"/>
      <c r="GB24" s="463"/>
      <c r="GC24" s="463"/>
      <c r="GD24" s="464"/>
      <c r="GE24" s="465"/>
      <c r="GF24" s="463"/>
      <c r="GG24" s="463"/>
      <c r="GH24" s="463"/>
      <c r="GI24" s="463"/>
      <c r="GJ24" s="464"/>
      <c r="GK24" s="465"/>
      <c r="GL24" s="463"/>
      <c r="GM24" s="463"/>
      <c r="GN24" s="463"/>
      <c r="GO24" s="463"/>
      <c r="GP24" s="464"/>
      <c r="GQ24" s="465"/>
      <c r="GR24" s="463"/>
      <c r="GS24" s="463"/>
      <c r="GT24" s="463"/>
      <c r="GU24" s="463"/>
      <c r="GV24" s="464"/>
      <c r="GW24" s="465"/>
      <c r="GX24" s="463"/>
      <c r="GY24" s="463"/>
      <c r="GZ24" s="463"/>
      <c r="HA24" s="463"/>
      <c r="HB24" s="464"/>
      <c r="HC24" s="465"/>
      <c r="HD24" s="463"/>
      <c r="HE24" s="463"/>
      <c r="HF24" s="463"/>
      <c r="HG24" s="463"/>
      <c r="HH24" s="464"/>
      <c r="HI24" s="465"/>
      <c r="HJ24" s="463"/>
      <c r="HK24" s="463"/>
      <c r="HL24" s="463"/>
      <c r="HM24" s="463"/>
      <c r="HN24" s="464"/>
      <c r="HO24" s="465"/>
      <c r="HP24" s="463"/>
      <c r="HQ24" s="463"/>
      <c r="HR24" s="463"/>
      <c r="HS24" s="463"/>
      <c r="HT24" s="464"/>
      <c r="HU24" s="465"/>
      <c r="HV24" s="463"/>
      <c r="HW24" s="463"/>
      <c r="HX24" s="463"/>
      <c r="HY24" s="463"/>
      <c r="HZ24" s="464"/>
      <c r="IA24" s="465"/>
      <c r="IB24" s="463"/>
      <c r="IC24" s="463"/>
      <c r="ID24" s="463"/>
      <c r="IE24" s="463"/>
      <c r="IF24" s="464"/>
      <c r="IG24" s="465"/>
      <c r="IH24" s="463"/>
      <c r="II24" s="463"/>
      <c r="IJ24" s="463"/>
    </row>
    <row r="25" spans="2:244" ht="16.5" customHeight="1" x14ac:dyDescent="0.3">
      <c r="B25" s="1266">
        <v>12</v>
      </c>
      <c r="C25" s="1268" t="str">
        <f>RUAS!B20</f>
        <v>RUA ASTORGA - T3</v>
      </c>
      <c r="D25" s="679">
        <v>0</v>
      </c>
      <c r="E25" s="680" t="s">
        <v>352</v>
      </c>
      <c r="F25" s="681">
        <v>3.323</v>
      </c>
      <c r="G25" s="679">
        <v>2</v>
      </c>
      <c r="H25" s="680" t="s">
        <v>352</v>
      </c>
      <c r="I25" s="681">
        <v>0</v>
      </c>
      <c r="J25" s="682">
        <f t="shared" si="0"/>
        <v>36.67</v>
      </c>
      <c r="K25" s="682">
        <v>2.5</v>
      </c>
      <c r="L25" s="684">
        <f t="shared" si="1"/>
        <v>91.67</v>
      </c>
      <c r="M25" s="682">
        <v>0</v>
      </c>
      <c r="N25" s="684">
        <f t="shared" si="2"/>
        <v>0</v>
      </c>
      <c r="O25" s="684">
        <f t="shared" si="3"/>
        <v>91.67</v>
      </c>
      <c r="P25" s="463"/>
      <c r="T25" s="463"/>
      <c r="U25" s="463"/>
      <c r="V25" s="463"/>
      <c r="W25" s="463"/>
      <c r="X25" s="464"/>
      <c r="Y25" s="465"/>
      <c r="Z25" s="463"/>
      <c r="AA25" s="463"/>
      <c r="AB25" s="463"/>
      <c r="AC25" s="463"/>
      <c r="AD25" s="464"/>
      <c r="AE25" s="465"/>
      <c r="AF25" s="463"/>
      <c r="AG25" s="463"/>
      <c r="AH25" s="463"/>
      <c r="AI25" s="463"/>
      <c r="AJ25" s="464"/>
      <c r="AK25" s="465"/>
      <c r="AL25" s="463"/>
      <c r="AM25" s="463"/>
      <c r="AN25" s="463"/>
      <c r="AO25" s="463"/>
      <c r="AP25" s="464"/>
      <c r="AQ25" s="465"/>
      <c r="AR25" s="463"/>
      <c r="AS25" s="463"/>
      <c r="AT25" s="463"/>
      <c r="AU25" s="463"/>
      <c r="AV25" s="464"/>
      <c r="AW25" s="465"/>
      <c r="AX25" s="463"/>
      <c r="AY25" s="463"/>
      <c r="AZ25" s="463"/>
      <c r="BA25" s="463"/>
      <c r="BB25" s="464"/>
      <c r="BC25" s="465"/>
      <c r="BD25" s="463"/>
      <c r="BE25" s="463"/>
      <c r="BF25" s="463"/>
      <c r="BG25" s="463"/>
      <c r="BH25" s="464"/>
      <c r="BI25" s="465"/>
      <c r="BJ25" s="463"/>
      <c r="BK25" s="463"/>
      <c r="BL25" s="463"/>
      <c r="BM25" s="463"/>
      <c r="BN25" s="464"/>
      <c r="BO25" s="465"/>
      <c r="BP25" s="463"/>
      <c r="BQ25" s="463"/>
      <c r="BR25" s="463"/>
      <c r="BS25" s="463"/>
      <c r="BT25" s="464"/>
      <c r="BU25" s="465"/>
      <c r="BV25" s="463"/>
      <c r="BW25" s="463"/>
      <c r="BX25" s="463"/>
      <c r="BY25" s="463"/>
      <c r="BZ25" s="464"/>
      <c r="CA25" s="465"/>
      <c r="CB25" s="463"/>
      <c r="CC25" s="463"/>
      <c r="CD25" s="463"/>
      <c r="CE25" s="463"/>
      <c r="CF25" s="464"/>
      <c r="CG25" s="465"/>
      <c r="CH25" s="463"/>
      <c r="CI25" s="463"/>
      <c r="CJ25" s="463"/>
      <c r="CK25" s="463"/>
      <c r="CL25" s="464"/>
      <c r="CM25" s="465"/>
      <c r="CN25" s="463"/>
      <c r="CO25" s="463"/>
      <c r="CP25" s="463"/>
      <c r="CQ25" s="463"/>
      <c r="CR25" s="464"/>
      <c r="CS25" s="465"/>
      <c r="CT25" s="463"/>
      <c r="CU25" s="463"/>
      <c r="CV25" s="463"/>
      <c r="CW25" s="463"/>
      <c r="CX25" s="464"/>
      <c r="CY25" s="465"/>
      <c r="CZ25" s="463"/>
      <c r="DA25" s="463"/>
      <c r="DB25" s="463"/>
      <c r="DC25" s="463"/>
      <c r="DD25" s="464"/>
      <c r="DE25" s="465"/>
      <c r="DF25" s="463"/>
      <c r="DG25" s="463"/>
      <c r="DH25" s="463"/>
      <c r="DI25" s="463"/>
      <c r="DJ25" s="464"/>
      <c r="DK25" s="465"/>
      <c r="DL25" s="463"/>
      <c r="DM25" s="463"/>
      <c r="DN25" s="463"/>
      <c r="DO25" s="463"/>
      <c r="DP25" s="464"/>
      <c r="DQ25" s="465"/>
      <c r="DR25" s="463"/>
      <c r="DS25" s="463"/>
      <c r="DT25" s="463"/>
      <c r="DU25" s="463"/>
      <c r="DV25" s="464"/>
      <c r="DW25" s="465"/>
      <c r="DX25" s="463"/>
      <c r="DY25" s="463"/>
      <c r="DZ25" s="463"/>
      <c r="EA25" s="463"/>
      <c r="EB25" s="464"/>
      <c r="EC25" s="465"/>
      <c r="ED25" s="463"/>
      <c r="EE25" s="463"/>
      <c r="EF25" s="463"/>
      <c r="EG25" s="463"/>
      <c r="EH25" s="464"/>
      <c r="EI25" s="465"/>
      <c r="EJ25" s="463"/>
      <c r="EK25" s="463"/>
      <c r="EL25" s="463"/>
      <c r="EM25" s="463"/>
      <c r="EN25" s="464"/>
      <c r="EO25" s="465"/>
      <c r="EP25" s="463"/>
      <c r="EQ25" s="463"/>
      <c r="ER25" s="463"/>
      <c r="ES25" s="463"/>
      <c r="ET25" s="464"/>
      <c r="EU25" s="465"/>
      <c r="EV25" s="463"/>
      <c r="EW25" s="463"/>
      <c r="EX25" s="463"/>
      <c r="EY25" s="463"/>
      <c r="EZ25" s="464"/>
      <c r="FA25" s="465"/>
      <c r="FB25" s="463"/>
      <c r="FC25" s="463"/>
      <c r="FD25" s="463"/>
      <c r="FE25" s="463"/>
      <c r="FF25" s="464"/>
      <c r="FG25" s="465"/>
      <c r="FH25" s="463"/>
      <c r="FI25" s="463"/>
      <c r="FJ25" s="463"/>
      <c r="FK25" s="463"/>
      <c r="FL25" s="464"/>
      <c r="FM25" s="465"/>
      <c r="FN25" s="463"/>
      <c r="FO25" s="463"/>
      <c r="FP25" s="463"/>
      <c r="FQ25" s="463"/>
      <c r="FR25" s="464"/>
      <c r="FS25" s="465"/>
      <c r="FT25" s="463"/>
      <c r="FU25" s="463"/>
      <c r="FV25" s="463"/>
      <c r="FW25" s="463"/>
      <c r="FX25" s="464"/>
      <c r="FY25" s="465"/>
      <c r="FZ25" s="463"/>
      <c r="GA25" s="463"/>
      <c r="GB25" s="463"/>
      <c r="GC25" s="463"/>
      <c r="GD25" s="464"/>
      <c r="GE25" s="465"/>
      <c r="GF25" s="463"/>
      <c r="GG25" s="463"/>
      <c r="GH25" s="463"/>
      <c r="GI25" s="463"/>
      <c r="GJ25" s="464"/>
      <c r="GK25" s="465"/>
      <c r="GL25" s="463"/>
      <c r="GM25" s="463"/>
      <c r="GN25" s="463"/>
      <c r="GO25" s="463"/>
      <c r="GP25" s="464"/>
      <c r="GQ25" s="465"/>
      <c r="GR25" s="463"/>
      <c r="GS25" s="463"/>
      <c r="GT25" s="463"/>
      <c r="GU25" s="463"/>
      <c r="GV25" s="464"/>
      <c r="GW25" s="465"/>
      <c r="GX25" s="463"/>
      <c r="GY25" s="463"/>
      <c r="GZ25" s="463"/>
      <c r="HA25" s="463"/>
      <c r="HB25" s="464"/>
      <c r="HC25" s="465"/>
      <c r="HD25" s="463"/>
      <c r="HE25" s="463"/>
      <c r="HF25" s="463"/>
      <c r="HG25" s="463"/>
      <c r="HH25" s="464"/>
      <c r="HI25" s="465"/>
      <c r="HJ25" s="463"/>
      <c r="HK25" s="463"/>
      <c r="HL25" s="463"/>
      <c r="HM25" s="463"/>
      <c r="HN25" s="464"/>
      <c r="HO25" s="465"/>
      <c r="HP25" s="463"/>
      <c r="HQ25" s="463"/>
      <c r="HR25" s="463"/>
      <c r="HS25" s="463"/>
      <c r="HT25" s="464"/>
      <c r="HU25" s="465"/>
      <c r="HV25" s="463"/>
      <c r="HW25" s="463"/>
      <c r="HX25" s="463"/>
      <c r="HY25" s="463"/>
      <c r="HZ25" s="464"/>
      <c r="IA25" s="465"/>
      <c r="IB25" s="463"/>
      <c r="IC25" s="463"/>
      <c r="ID25" s="463"/>
      <c r="IE25" s="463"/>
      <c r="IF25" s="464"/>
      <c r="IG25" s="465"/>
      <c r="IH25" s="463"/>
      <c r="II25" s="463"/>
      <c r="IJ25" s="463"/>
    </row>
    <row r="26" spans="2:244" ht="16.5" customHeight="1" x14ac:dyDescent="0.3">
      <c r="B26" s="1270"/>
      <c r="C26" s="1271"/>
      <c r="D26" s="679">
        <v>0</v>
      </c>
      <c r="E26" s="680" t="s">
        <v>352</v>
      </c>
      <c r="F26" s="681">
        <v>0</v>
      </c>
      <c r="G26" s="679">
        <v>1</v>
      </c>
      <c r="H26" s="680" t="s">
        <v>352</v>
      </c>
      <c r="I26" s="681">
        <v>7.9020000000000001</v>
      </c>
      <c r="J26" s="682">
        <f t="shared" si="0"/>
        <v>27.9</v>
      </c>
      <c r="K26" s="682">
        <v>0</v>
      </c>
      <c r="L26" s="684">
        <f t="shared" si="1"/>
        <v>0</v>
      </c>
      <c r="M26" s="682">
        <v>3</v>
      </c>
      <c r="N26" s="684">
        <f t="shared" si="2"/>
        <v>83.7</v>
      </c>
      <c r="O26" s="684">
        <f t="shared" si="3"/>
        <v>83.7</v>
      </c>
      <c r="P26" s="463"/>
      <c r="T26" s="463"/>
      <c r="U26" s="463"/>
      <c r="V26" s="463"/>
      <c r="W26" s="463"/>
      <c r="X26" s="464"/>
      <c r="Y26" s="465"/>
      <c r="Z26" s="463"/>
      <c r="AA26" s="463"/>
      <c r="AB26" s="463"/>
      <c r="AC26" s="463"/>
      <c r="AD26" s="464"/>
      <c r="AE26" s="465"/>
      <c r="AF26" s="463"/>
      <c r="AG26" s="463"/>
      <c r="AH26" s="463"/>
      <c r="AI26" s="463"/>
      <c r="AJ26" s="464"/>
      <c r="AK26" s="465"/>
      <c r="AL26" s="463"/>
      <c r="AM26" s="463"/>
      <c r="AN26" s="463"/>
      <c r="AO26" s="463"/>
      <c r="AP26" s="464"/>
      <c r="AQ26" s="465"/>
      <c r="AR26" s="463"/>
      <c r="AS26" s="463"/>
      <c r="AT26" s="463"/>
      <c r="AU26" s="463"/>
      <c r="AV26" s="464"/>
      <c r="AW26" s="465"/>
      <c r="AX26" s="463"/>
      <c r="AY26" s="463"/>
      <c r="AZ26" s="463"/>
      <c r="BA26" s="463"/>
      <c r="BB26" s="464"/>
      <c r="BC26" s="465"/>
      <c r="BD26" s="463"/>
      <c r="BE26" s="463"/>
      <c r="BF26" s="463"/>
      <c r="BG26" s="463"/>
      <c r="BH26" s="464"/>
      <c r="BI26" s="465"/>
      <c r="BJ26" s="463"/>
      <c r="BK26" s="463"/>
      <c r="BL26" s="463"/>
      <c r="BM26" s="463"/>
      <c r="BN26" s="464"/>
      <c r="BO26" s="465"/>
      <c r="BP26" s="463"/>
      <c r="BQ26" s="463"/>
      <c r="BR26" s="463"/>
      <c r="BS26" s="463"/>
      <c r="BT26" s="464"/>
      <c r="BU26" s="465"/>
      <c r="BV26" s="463"/>
      <c r="BW26" s="463"/>
      <c r="BX26" s="463"/>
      <c r="BY26" s="463"/>
      <c r="BZ26" s="464"/>
      <c r="CA26" s="465"/>
      <c r="CB26" s="463"/>
      <c r="CC26" s="463"/>
      <c r="CD26" s="463"/>
      <c r="CE26" s="463"/>
      <c r="CF26" s="464"/>
      <c r="CG26" s="465"/>
      <c r="CH26" s="463"/>
      <c r="CI26" s="463"/>
      <c r="CJ26" s="463"/>
      <c r="CK26" s="463"/>
      <c r="CL26" s="464"/>
      <c r="CM26" s="465"/>
      <c r="CN26" s="463"/>
      <c r="CO26" s="463"/>
      <c r="CP26" s="463"/>
      <c r="CQ26" s="463"/>
      <c r="CR26" s="464"/>
      <c r="CS26" s="465"/>
      <c r="CT26" s="463"/>
      <c r="CU26" s="463"/>
      <c r="CV26" s="463"/>
      <c r="CW26" s="463"/>
      <c r="CX26" s="464"/>
      <c r="CY26" s="465"/>
      <c r="CZ26" s="463"/>
      <c r="DA26" s="463"/>
      <c r="DB26" s="463"/>
      <c r="DC26" s="463"/>
      <c r="DD26" s="464"/>
      <c r="DE26" s="465"/>
      <c r="DF26" s="463"/>
      <c r="DG26" s="463"/>
      <c r="DH26" s="463"/>
      <c r="DI26" s="463"/>
      <c r="DJ26" s="464"/>
      <c r="DK26" s="465"/>
      <c r="DL26" s="463"/>
      <c r="DM26" s="463"/>
      <c r="DN26" s="463"/>
      <c r="DO26" s="463"/>
      <c r="DP26" s="464"/>
      <c r="DQ26" s="465"/>
      <c r="DR26" s="463"/>
      <c r="DS26" s="463"/>
      <c r="DT26" s="463"/>
      <c r="DU26" s="463"/>
      <c r="DV26" s="464"/>
      <c r="DW26" s="465"/>
      <c r="DX26" s="463"/>
      <c r="DY26" s="463"/>
      <c r="DZ26" s="463"/>
      <c r="EA26" s="463"/>
      <c r="EB26" s="464"/>
      <c r="EC26" s="465"/>
      <c r="ED26" s="463"/>
      <c r="EE26" s="463"/>
      <c r="EF26" s="463"/>
      <c r="EG26" s="463"/>
      <c r="EH26" s="464"/>
      <c r="EI26" s="465"/>
      <c r="EJ26" s="463"/>
      <c r="EK26" s="463"/>
      <c r="EL26" s="463"/>
      <c r="EM26" s="463"/>
      <c r="EN26" s="464"/>
      <c r="EO26" s="465"/>
      <c r="EP26" s="463"/>
      <c r="EQ26" s="463"/>
      <c r="ER26" s="463"/>
      <c r="ES26" s="463"/>
      <c r="ET26" s="464"/>
      <c r="EU26" s="465"/>
      <c r="EV26" s="463"/>
      <c r="EW26" s="463"/>
      <c r="EX26" s="463"/>
      <c r="EY26" s="463"/>
      <c r="EZ26" s="464"/>
      <c r="FA26" s="465"/>
      <c r="FB26" s="463"/>
      <c r="FC26" s="463"/>
      <c r="FD26" s="463"/>
      <c r="FE26" s="463"/>
      <c r="FF26" s="464"/>
      <c r="FG26" s="465"/>
      <c r="FH26" s="463"/>
      <c r="FI26" s="463"/>
      <c r="FJ26" s="463"/>
      <c r="FK26" s="463"/>
      <c r="FL26" s="464"/>
      <c r="FM26" s="465"/>
      <c r="FN26" s="463"/>
      <c r="FO26" s="463"/>
      <c r="FP26" s="463"/>
      <c r="FQ26" s="463"/>
      <c r="FR26" s="464"/>
      <c r="FS26" s="465"/>
      <c r="FT26" s="463"/>
      <c r="FU26" s="463"/>
      <c r="FV26" s="463"/>
      <c r="FW26" s="463"/>
      <c r="FX26" s="464"/>
      <c r="FY26" s="465"/>
      <c r="FZ26" s="463"/>
      <c r="GA26" s="463"/>
      <c r="GB26" s="463"/>
      <c r="GC26" s="463"/>
      <c r="GD26" s="464"/>
      <c r="GE26" s="465"/>
      <c r="GF26" s="463"/>
      <c r="GG26" s="463"/>
      <c r="GH26" s="463"/>
      <c r="GI26" s="463"/>
      <c r="GJ26" s="464"/>
      <c r="GK26" s="465"/>
      <c r="GL26" s="463"/>
      <c r="GM26" s="463"/>
      <c r="GN26" s="463"/>
      <c r="GO26" s="463"/>
      <c r="GP26" s="464"/>
      <c r="GQ26" s="465"/>
      <c r="GR26" s="463"/>
      <c r="GS26" s="463"/>
      <c r="GT26" s="463"/>
      <c r="GU26" s="463"/>
      <c r="GV26" s="464"/>
      <c r="GW26" s="465"/>
      <c r="GX26" s="463"/>
      <c r="GY26" s="463"/>
      <c r="GZ26" s="463"/>
      <c r="HA26" s="463"/>
      <c r="HB26" s="464"/>
      <c r="HC26" s="465"/>
      <c r="HD26" s="463"/>
      <c r="HE26" s="463"/>
      <c r="HF26" s="463"/>
      <c r="HG26" s="463"/>
      <c r="HH26" s="464"/>
      <c r="HI26" s="465"/>
      <c r="HJ26" s="463"/>
      <c r="HK26" s="463"/>
      <c r="HL26" s="463"/>
      <c r="HM26" s="463"/>
      <c r="HN26" s="464"/>
      <c r="HO26" s="465"/>
      <c r="HP26" s="463"/>
      <c r="HQ26" s="463"/>
      <c r="HR26" s="463"/>
      <c r="HS26" s="463"/>
      <c r="HT26" s="464"/>
      <c r="HU26" s="465"/>
      <c r="HV26" s="463"/>
      <c r="HW26" s="463"/>
      <c r="HX26" s="463"/>
      <c r="HY26" s="463"/>
      <c r="HZ26" s="464"/>
      <c r="IA26" s="465"/>
      <c r="IB26" s="463"/>
      <c r="IC26" s="463"/>
      <c r="ID26" s="463"/>
      <c r="IE26" s="463"/>
      <c r="IF26" s="464"/>
      <c r="IG26" s="465"/>
      <c r="IH26" s="463"/>
      <c r="II26" s="463"/>
      <c r="IJ26" s="463"/>
    </row>
    <row r="27" spans="2:244" x14ac:dyDescent="0.3">
      <c r="B27" s="1267"/>
      <c r="C27" s="1269"/>
      <c r="D27" s="679">
        <v>3</v>
      </c>
      <c r="E27" s="680" t="s">
        <v>352</v>
      </c>
      <c r="F27" s="681">
        <v>5.6130000000000004</v>
      </c>
      <c r="G27" s="679">
        <v>4</v>
      </c>
      <c r="H27" s="680" t="s">
        <v>352</v>
      </c>
      <c r="I27" s="681">
        <v>1.883</v>
      </c>
      <c r="J27" s="682">
        <f t="shared" si="0"/>
        <v>16.27</v>
      </c>
      <c r="K27" s="682">
        <v>0</v>
      </c>
      <c r="L27" s="684">
        <f t="shared" si="1"/>
        <v>0</v>
      </c>
      <c r="M27" s="682">
        <v>3</v>
      </c>
      <c r="N27" s="684">
        <f t="shared" si="2"/>
        <v>48.81</v>
      </c>
      <c r="O27" s="684">
        <f t="shared" si="3"/>
        <v>48.81</v>
      </c>
      <c r="P27" s="463"/>
      <c r="T27" s="463"/>
      <c r="U27" s="463"/>
      <c r="V27" s="463"/>
      <c r="W27" s="463"/>
      <c r="X27" s="464"/>
      <c r="Y27" s="465"/>
      <c r="Z27" s="463"/>
      <c r="AA27" s="463"/>
      <c r="AB27" s="463"/>
      <c r="AC27" s="463"/>
      <c r="AD27" s="464"/>
      <c r="AE27" s="465"/>
      <c r="AF27" s="463"/>
      <c r="AG27" s="463"/>
      <c r="AH27" s="463"/>
      <c r="AI27" s="463"/>
      <c r="AJ27" s="464"/>
      <c r="AK27" s="465"/>
      <c r="AL27" s="463"/>
      <c r="AM27" s="463"/>
      <c r="AN27" s="463"/>
      <c r="AO27" s="463"/>
      <c r="AP27" s="464"/>
      <c r="AQ27" s="465"/>
      <c r="AR27" s="463"/>
      <c r="AS27" s="463"/>
      <c r="AT27" s="463"/>
      <c r="AU27" s="463"/>
      <c r="AV27" s="464"/>
      <c r="AW27" s="465"/>
      <c r="AX27" s="463"/>
      <c r="AY27" s="463"/>
      <c r="AZ27" s="463"/>
      <c r="BA27" s="463"/>
      <c r="BB27" s="464"/>
      <c r="BC27" s="465"/>
      <c r="BD27" s="463"/>
      <c r="BE27" s="463"/>
      <c r="BF27" s="463"/>
      <c r="BG27" s="463"/>
      <c r="BH27" s="464"/>
      <c r="BI27" s="465"/>
      <c r="BJ27" s="463"/>
      <c r="BK27" s="463"/>
      <c r="BL27" s="463"/>
      <c r="BM27" s="463"/>
      <c r="BN27" s="464"/>
      <c r="BO27" s="465"/>
      <c r="BP27" s="463"/>
      <c r="BQ27" s="463"/>
      <c r="BR27" s="463"/>
      <c r="BS27" s="463"/>
      <c r="BT27" s="464"/>
      <c r="BU27" s="465"/>
      <c r="BV27" s="463"/>
      <c r="BW27" s="463"/>
      <c r="BX27" s="463"/>
      <c r="BY27" s="463"/>
      <c r="BZ27" s="464"/>
      <c r="CA27" s="465"/>
      <c r="CB27" s="463"/>
      <c r="CC27" s="463"/>
      <c r="CD27" s="463"/>
      <c r="CE27" s="463"/>
      <c r="CF27" s="464"/>
      <c r="CG27" s="465"/>
      <c r="CH27" s="463"/>
      <c r="CI27" s="463"/>
      <c r="CJ27" s="463"/>
      <c r="CK27" s="463"/>
      <c r="CL27" s="464"/>
      <c r="CM27" s="465"/>
      <c r="CN27" s="463"/>
      <c r="CO27" s="463"/>
      <c r="CP27" s="463"/>
      <c r="CQ27" s="463"/>
      <c r="CR27" s="464"/>
      <c r="CS27" s="465"/>
      <c r="CT27" s="463"/>
      <c r="CU27" s="463"/>
      <c r="CV27" s="463"/>
      <c r="CW27" s="463"/>
      <c r="CX27" s="464"/>
      <c r="CY27" s="465"/>
      <c r="CZ27" s="463"/>
      <c r="DA27" s="463"/>
      <c r="DB27" s="463"/>
      <c r="DC27" s="463"/>
      <c r="DD27" s="464"/>
      <c r="DE27" s="465"/>
      <c r="DF27" s="463"/>
      <c r="DG27" s="463"/>
      <c r="DH27" s="463"/>
      <c r="DI27" s="463"/>
      <c r="DJ27" s="464"/>
      <c r="DK27" s="465"/>
      <c r="DL27" s="463"/>
      <c r="DM27" s="463"/>
      <c r="DN27" s="463"/>
      <c r="DO27" s="463"/>
      <c r="DP27" s="464"/>
      <c r="DQ27" s="465"/>
      <c r="DR27" s="463"/>
      <c r="DS27" s="463"/>
      <c r="DT27" s="463"/>
      <c r="DU27" s="463"/>
      <c r="DV27" s="464"/>
      <c r="DW27" s="465"/>
      <c r="DX27" s="463"/>
      <c r="DY27" s="463"/>
      <c r="DZ27" s="463"/>
      <c r="EA27" s="463"/>
      <c r="EB27" s="464"/>
      <c r="EC27" s="465"/>
      <c r="ED27" s="463"/>
      <c r="EE27" s="463"/>
      <c r="EF27" s="463"/>
      <c r="EG27" s="463"/>
      <c r="EH27" s="464"/>
      <c r="EI27" s="465"/>
      <c r="EJ27" s="463"/>
      <c r="EK27" s="463"/>
      <c r="EL27" s="463"/>
      <c r="EM27" s="463"/>
      <c r="EN27" s="464"/>
      <c r="EO27" s="465"/>
      <c r="EP27" s="463"/>
      <c r="EQ27" s="463"/>
      <c r="ER27" s="463"/>
      <c r="ES27" s="463"/>
      <c r="ET27" s="464"/>
      <c r="EU27" s="465"/>
      <c r="EV27" s="463"/>
      <c r="EW27" s="463"/>
      <c r="EX27" s="463"/>
      <c r="EY27" s="463"/>
      <c r="EZ27" s="464"/>
      <c r="FA27" s="465"/>
      <c r="FB27" s="463"/>
      <c r="FC27" s="463"/>
      <c r="FD27" s="463"/>
      <c r="FE27" s="463"/>
      <c r="FF27" s="464"/>
      <c r="FG27" s="465"/>
      <c r="FH27" s="463"/>
      <c r="FI27" s="463"/>
      <c r="FJ27" s="463"/>
      <c r="FK27" s="463"/>
      <c r="FL27" s="464"/>
      <c r="FM27" s="465"/>
      <c r="FN27" s="463"/>
      <c r="FO27" s="463"/>
      <c r="FP27" s="463"/>
      <c r="FQ27" s="463"/>
      <c r="FR27" s="464"/>
      <c r="FS27" s="465"/>
      <c r="FT27" s="463"/>
      <c r="FU27" s="463"/>
      <c r="FV27" s="463"/>
      <c r="FW27" s="463"/>
      <c r="FX27" s="464"/>
      <c r="FY27" s="465"/>
      <c r="FZ27" s="463"/>
      <c r="GA27" s="463"/>
      <c r="GB27" s="463"/>
      <c r="GC27" s="463"/>
      <c r="GD27" s="464"/>
      <c r="GE27" s="465"/>
      <c r="GF27" s="463"/>
      <c r="GG27" s="463"/>
      <c r="GH27" s="463"/>
      <c r="GI27" s="463"/>
      <c r="GJ27" s="464"/>
      <c r="GK27" s="465"/>
      <c r="GL27" s="463"/>
      <c r="GM27" s="463"/>
      <c r="GN27" s="463"/>
      <c r="GO27" s="463"/>
      <c r="GP27" s="464"/>
      <c r="GQ27" s="465"/>
      <c r="GR27" s="463"/>
      <c r="GS27" s="463"/>
      <c r="GT27" s="463"/>
      <c r="GU27" s="463"/>
      <c r="GV27" s="464"/>
      <c r="GW27" s="465"/>
      <c r="GX27" s="463"/>
      <c r="GY27" s="463"/>
      <c r="GZ27" s="463"/>
      <c r="HA27" s="463"/>
      <c r="HB27" s="464"/>
      <c r="HC27" s="465"/>
      <c r="HD27" s="463"/>
      <c r="HE27" s="463"/>
      <c r="HF27" s="463"/>
      <c r="HG27" s="463"/>
      <c r="HH27" s="464"/>
      <c r="HI27" s="465"/>
      <c r="HJ27" s="463"/>
      <c r="HK27" s="463"/>
      <c r="HL27" s="463"/>
      <c r="HM27" s="463"/>
      <c r="HN27" s="464"/>
      <c r="HO27" s="465"/>
      <c r="HP27" s="463"/>
      <c r="HQ27" s="463"/>
      <c r="HR27" s="463"/>
      <c r="HS27" s="463"/>
      <c r="HT27" s="464"/>
      <c r="HU27" s="465"/>
      <c r="HV27" s="463"/>
      <c r="HW27" s="463"/>
      <c r="HX27" s="463"/>
      <c r="HY27" s="463"/>
      <c r="HZ27" s="464"/>
      <c r="IA27" s="465"/>
      <c r="IB27" s="463"/>
      <c r="IC27" s="463"/>
      <c r="ID27" s="463"/>
      <c r="IE27" s="463"/>
      <c r="IF27" s="464"/>
      <c r="IG27" s="465"/>
      <c r="IH27" s="463"/>
      <c r="II27" s="463"/>
      <c r="IJ27" s="463"/>
    </row>
    <row r="28" spans="2:244" ht="16.5" customHeight="1" x14ac:dyDescent="0.3">
      <c r="B28" s="1266">
        <v>12</v>
      </c>
      <c r="C28" s="1268" t="str">
        <f>RUAS!B21</f>
        <v>RUA ASTORGA - T4</v>
      </c>
      <c r="D28" s="679">
        <v>3</v>
      </c>
      <c r="E28" s="680" t="s">
        <v>352</v>
      </c>
      <c r="F28" s="681">
        <v>6.3819999999999997</v>
      </c>
      <c r="G28" s="679">
        <v>5</v>
      </c>
      <c r="H28" s="680" t="s">
        <v>352</v>
      </c>
      <c r="I28" s="681">
        <v>7.0679999999999996</v>
      </c>
      <c r="J28" s="682">
        <f t="shared" si="0"/>
        <v>40.68</v>
      </c>
      <c r="K28" s="682">
        <v>3</v>
      </c>
      <c r="L28" s="684">
        <f t="shared" si="1"/>
        <v>122.04</v>
      </c>
      <c r="M28" s="682">
        <v>0</v>
      </c>
      <c r="N28" s="684">
        <f t="shared" si="2"/>
        <v>0</v>
      </c>
      <c r="O28" s="684">
        <f t="shared" si="3"/>
        <v>122.04</v>
      </c>
      <c r="P28" s="463"/>
      <c r="T28" s="463"/>
      <c r="U28" s="463"/>
      <c r="V28" s="463"/>
      <c r="W28" s="463"/>
      <c r="X28" s="464"/>
      <c r="Y28" s="465"/>
      <c r="Z28" s="463"/>
      <c r="AA28" s="463"/>
      <c r="AB28" s="463"/>
      <c r="AC28" s="463"/>
      <c r="AD28" s="464"/>
      <c r="AE28" s="465"/>
      <c r="AF28" s="463"/>
      <c r="AG28" s="463"/>
      <c r="AH28" s="463"/>
      <c r="AI28" s="463"/>
      <c r="AJ28" s="464"/>
      <c r="AK28" s="465"/>
      <c r="AL28" s="463"/>
      <c r="AM28" s="463"/>
      <c r="AN28" s="463"/>
      <c r="AO28" s="463"/>
      <c r="AP28" s="464"/>
      <c r="AQ28" s="465"/>
      <c r="AR28" s="463"/>
      <c r="AS28" s="463"/>
      <c r="AT28" s="463"/>
      <c r="AU28" s="463"/>
      <c r="AV28" s="464"/>
      <c r="AW28" s="465"/>
      <c r="AX28" s="463"/>
      <c r="AY28" s="463"/>
      <c r="AZ28" s="463"/>
      <c r="BA28" s="463"/>
      <c r="BB28" s="464"/>
      <c r="BC28" s="465"/>
      <c r="BD28" s="463"/>
      <c r="BE28" s="463"/>
      <c r="BF28" s="463"/>
      <c r="BG28" s="463"/>
      <c r="BH28" s="464"/>
      <c r="BI28" s="465"/>
      <c r="BJ28" s="463"/>
      <c r="BK28" s="463"/>
      <c r="BL28" s="463"/>
      <c r="BM28" s="463"/>
      <c r="BN28" s="464"/>
      <c r="BO28" s="465"/>
      <c r="BP28" s="463"/>
      <c r="BQ28" s="463"/>
      <c r="BR28" s="463"/>
      <c r="BS28" s="463"/>
      <c r="BT28" s="464"/>
      <c r="BU28" s="465"/>
      <c r="BV28" s="463"/>
      <c r="BW28" s="463"/>
      <c r="BX28" s="463"/>
      <c r="BY28" s="463"/>
      <c r="BZ28" s="464"/>
      <c r="CA28" s="465"/>
      <c r="CB28" s="463"/>
      <c r="CC28" s="463"/>
      <c r="CD28" s="463"/>
      <c r="CE28" s="463"/>
      <c r="CF28" s="464"/>
      <c r="CG28" s="465"/>
      <c r="CH28" s="463"/>
      <c r="CI28" s="463"/>
      <c r="CJ28" s="463"/>
      <c r="CK28" s="463"/>
      <c r="CL28" s="464"/>
      <c r="CM28" s="465"/>
      <c r="CN28" s="463"/>
      <c r="CO28" s="463"/>
      <c r="CP28" s="463"/>
      <c r="CQ28" s="463"/>
      <c r="CR28" s="464"/>
      <c r="CS28" s="465"/>
      <c r="CT28" s="463"/>
      <c r="CU28" s="463"/>
      <c r="CV28" s="463"/>
      <c r="CW28" s="463"/>
      <c r="CX28" s="464"/>
      <c r="CY28" s="465"/>
      <c r="CZ28" s="463"/>
      <c r="DA28" s="463"/>
      <c r="DB28" s="463"/>
      <c r="DC28" s="463"/>
      <c r="DD28" s="464"/>
      <c r="DE28" s="465"/>
      <c r="DF28" s="463"/>
      <c r="DG28" s="463"/>
      <c r="DH28" s="463"/>
      <c r="DI28" s="463"/>
      <c r="DJ28" s="464"/>
      <c r="DK28" s="465"/>
      <c r="DL28" s="463"/>
      <c r="DM28" s="463"/>
      <c r="DN28" s="463"/>
      <c r="DO28" s="463"/>
      <c r="DP28" s="464"/>
      <c r="DQ28" s="465"/>
      <c r="DR28" s="463"/>
      <c r="DS28" s="463"/>
      <c r="DT28" s="463"/>
      <c r="DU28" s="463"/>
      <c r="DV28" s="464"/>
      <c r="DW28" s="465"/>
      <c r="DX28" s="463"/>
      <c r="DY28" s="463"/>
      <c r="DZ28" s="463"/>
      <c r="EA28" s="463"/>
      <c r="EB28" s="464"/>
      <c r="EC28" s="465"/>
      <c r="ED28" s="463"/>
      <c r="EE28" s="463"/>
      <c r="EF28" s="463"/>
      <c r="EG28" s="463"/>
      <c r="EH28" s="464"/>
      <c r="EI28" s="465"/>
      <c r="EJ28" s="463"/>
      <c r="EK28" s="463"/>
      <c r="EL28" s="463"/>
      <c r="EM28" s="463"/>
      <c r="EN28" s="464"/>
      <c r="EO28" s="465"/>
      <c r="EP28" s="463"/>
      <c r="EQ28" s="463"/>
      <c r="ER28" s="463"/>
      <c r="ES28" s="463"/>
      <c r="ET28" s="464"/>
      <c r="EU28" s="465"/>
      <c r="EV28" s="463"/>
      <c r="EW28" s="463"/>
      <c r="EX28" s="463"/>
      <c r="EY28" s="463"/>
      <c r="EZ28" s="464"/>
      <c r="FA28" s="465"/>
      <c r="FB28" s="463"/>
      <c r="FC28" s="463"/>
      <c r="FD28" s="463"/>
      <c r="FE28" s="463"/>
      <c r="FF28" s="464"/>
      <c r="FG28" s="465"/>
      <c r="FH28" s="463"/>
      <c r="FI28" s="463"/>
      <c r="FJ28" s="463"/>
      <c r="FK28" s="463"/>
      <c r="FL28" s="464"/>
      <c r="FM28" s="465"/>
      <c r="FN28" s="463"/>
      <c r="FO28" s="463"/>
      <c r="FP28" s="463"/>
      <c r="FQ28" s="463"/>
      <c r="FR28" s="464"/>
      <c r="FS28" s="465"/>
      <c r="FT28" s="463"/>
      <c r="FU28" s="463"/>
      <c r="FV28" s="463"/>
      <c r="FW28" s="463"/>
      <c r="FX28" s="464"/>
      <c r="FY28" s="465"/>
      <c r="FZ28" s="463"/>
      <c r="GA28" s="463"/>
      <c r="GB28" s="463"/>
      <c r="GC28" s="463"/>
      <c r="GD28" s="464"/>
      <c r="GE28" s="465"/>
      <c r="GF28" s="463"/>
      <c r="GG28" s="463"/>
      <c r="GH28" s="463"/>
      <c r="GI28" s="463"/>
      <c r="GJ28" s="464"/>
      <c r="GK28" s="465"/>
      <c r="GL28" s="463"/>
      <c r="GM28" s="463"/>
      <c r="GN28" s="463"/>
      <c r="GO28" s="463"/>
      <c r="GP28" s="464"/>
      <c r="GQ28" s="465"/>
      <c r="GR28" s="463"/>
      <c r="GS28" s="463"/>
      <c r="GT28" s="463"/>
      <c r="GU28" s="463"/>
      <c r="GV28" s="464"/>
      <c r="GW28" s="465"/>
      <c r="GX28" s="463"/>
      <c r="GY28" s="463"/>
      <c r="GZ28" s="463"/>
      <c r="HA28" s="463"/>
      <c r="HB28" s="464"/>
      <c r="HC28" s="465"/>
      <c r="HD28" s="463"/>
      <c r="HE28" s="463"/>
      <c r="HF28" s="463"/>
      <c r="HG28" s="463"/>
      <c r="HH28" s="464"/>
      <c r="HI28" s="465"/>
      <c r="HJ28" s="463"/>
      <c r="HK28" s="463"/>
      <c r="HL28" s="463"/>
      <c r="HM28" s="463"/>
      <c r="HN28" s="464"/>
      <c r="HO28" s="465"/>
      <c r="HP28" s="463"/>
      <c r="HQ28" s="463"/>
      <c r="HR28" s="463"/>
      <c r="HS28" s="463"/>
      <c r="HT28" s="464"/>
      <c r="HU28" s="465"/>
      <c r="HV28" s="463"/>
      <c r="HW28" s="463"/>
      <c r="HX28" s="463"/>
      <c r="HY28" s="463"/>
      <c r="HZ28" s="464"/>
      <c r="IA28" s="465"/>
      <c r="IB28" s="463"/>
      <c r="IC28" s="463"/>
      <c r="ID28" s="463"/>
      <c r="IE28" s="463"/>
      <c r="IF28" s="464"/>
      <c r="IG28" s="465"/>
      <c r="IH28" s="463"/>
      <c r="II28" s="463"/>
      <c r="IJ28" s="463"/>
    </row>
    <row r="29" spans="2:244" x14ac:dyDescent="0.3">
      <c r="B29" s="1267"/>
      <c r="C29" s="1269"/>
      <c r="D29" s="679">
        <v>0</v>
      </c>
      <c r="E29" s="680" t="s">
        <v>352</v>
      </c>
      <c r="F29" s="681">
        <v>0</v>
      </c>
      <c r="G29" s="679">
        <v>4</v>
      </c>
      <c r="H29" s="680" t="s">
        <v>352</v>
      </c>
      <c r="I29" s="681">
        <v>8.9649999999999999</v>
      </c>
      <c r="J29" s="682">
        <f t="shared" si="0"/>
        <v>88.96</v>
      </c>
      <c r="K29" s="682">
        <v>0</v>
      </c>
      <c r="L29" s="684">
        <f t="shared" si="1"/>
        <v>0</v>
      </c>
      <c r="M29" s="682">
        <v>3</v>
      </c>
      <c r="N29" s="684">
        <f t="shared" si="2"/>
        <v>266.88</v>
      </c>
      <c r="O29" s="684">
        <f t="shared" si="3"/>
        <v>266.88</v>
      </c>
      <c r="P29" s="463"/>
      <c r="T29" s="463"/>
      <c r="U29" s="463"/>
      <c r="V29" s="463"/>
      <c r="W29" s="463"/>
      <c r="X29" s="464"/>
      <c r="Y29" s="465"/>
      <c r="Z29" s="463"/>
      <c r="AA29" s="463"/>
      <c r="AB29" s="463"/>
      <c r="AC29" s="463"/>
      <c r="AD29" s="464"/>
      <c r="AE29" s="465"/>
      <c r="AF29" s="463"/>
      <c r="AG29" s="463"/>
      <c r="AH29" s="463"/>
      <c r="AI29" s="463"/>
      <c r="AJ29" s="464"/>
      <c r="AK29" s="465"/>
      <c r="AL29" s="463"/>
      <c r="AM29" s="463"/>
      <c r="AN29" s="463"/>
      <c r="AO29" s="463"/>
      <c r="AP29" s="464"/>
      <c r="AQ29" s="465"/>
      <c r="AR29" s="463"/>
      <c r="AS29" s="463"/>
      <c r="AT29" s="463"/>
      <c r="AU29" s="463"/>
      <c r="AV29" s="464"/>
      <c r="AW29" s="465"/>
      <c r="AX29" s="463"/>
      <c r="AY29" s="463"/>
      <c r="AZ29" s="463"/>
      <c r="BA29" s="463"/>
      <c r="BB29" s="464"/>
      <c r="BC29" s="465"/>
      <c r="BD29" s="463"/>
      <c r="BE29" s="463"/>
      <c r="BF29" s="463"/>
      <c r="BG29" s="463"/>
      <c r="BH29" s="464"/>
      <c r="BI29" s="465"/>
      <c r="BJ29" s="463"/>
      <c r="BK29" s="463"/>
      <c r="BL29" s="463"/>
      <c r="BM29" s="463"/>
      <c r="BN29" s="464"/>
      <c r="BO29" s="465"/>
      <c r="BP29" s="463"/>
      <c r="BQ29" s="463"/>
      <c r="BR29" s="463"/>
      <c r="BS29" s="463"/>
      <c r="BT29" s="464"/>
      <c r="BU29" s="465"/>
      <c r="BV29" s="463"/>
      <c r="BW29" s="463"/>
      <c r="BX29" s="463"/>
      <c r="BY29" s="463"/>
      <c r="BZ29" s="464"/>
      <c r="CA29" s="465"/>
      <c r="CB29" s="463"/>
      <c r="CC29" s="463"/>
      <c r="CD29" s="463"/>
      <c r="CE29" s="463"/>
      <c r="CF29" s="464"/>
      <c r="CG29" s="465"/>
      <c r="CH29" s="463"/>
      <c r="CI29" s="463"/>
      <c r="CJ29" s="463"/>
      <c r="CK29" s="463"/>
      <c r="CL29" s="464"/>
      <c r="CM29" s="465"/>
      <c r="CN29" s="463"/>
      <c r="CO29" s="463"/>
      <c r="CP29" s="463"/>
      <c r="CQ29" s="463"/>
      <c r="CR29" s="464"/>
      <c r="CS29" s="465"/>
      <c r="CT29" s="463"/>
      <c r="CU29" s="463"/>
      <c r="CV29" s="463"/>
      <c r="CW29" s="463"/>
      <c r="CX29" s="464"/>
      <c r="CY29" s="465"/>
      <c r="CZ29" s="463"/>
      <c r="DA29" s="463"/>
      <c r="DB29" s="463"/>
      <c r="DC29" s="463"/>
      <c r="DD29" s="464"/>
      <c r="DE29" s="465"/>
      <c r="DF29" s="463"/>
      <c r="DG29" s="463"/>
      <c r="DH29" s="463"/>
      <c r="DI29" s="463"/>
      <c r="DJ29" s="464"/>
      <c r="DK29" s="465"/>
      <c r="DL29" s="463"/>
      <c r="DM29" s="463"/>
      <c r="DN29" s="463"/>
      <c r="DO29" s="463"/>
      <c r="DP29" s="464"/>
      <c r="DQ29" s="465"/>
      <c r="DR29" s="463"/>
      <c r="DS29" s="463"/>
      <c r="DT29" s="463"/>
      <c r="DU29" s="463"/>
      <c r="DV29" s="464"/>
      <c r="DW29" s="465"/>
      <c r="DX29" s="463"/>
      <c r="DY29" s="463"/>
      <c r="DZ29" s="463"/>
      <c r="EA29" s="463"/>
      <c r="EB29" s="464"/>
      <c r="EC29" s="465"/>
      <c r="ED29" s="463"/>
      <c r="EE29" s="463"/>
      <c r="EF29" s="463"/>
      <c r="EG29" s="463"/>
      <c r="EH29" s="464"/>
      <c r="EI29" s="465"/>
      <c r="EJ29" s="463"/>
      <c r="EK29" s="463"/>
      <c r="EL29" s="463"/>
      <c r="EM29" s="463"/>
      <c r="EN29" s="464"/>
      <c r="EO29" s="465"/>
      <c r="EP29" s="463"/>
      <c r="EQ29" s="463"/>
      <c r="ER29" s="463"/>
      <c r="ES29" s="463"/>
      <c r="ET29" s="464"/>
      <c r="EU29" s="465"/>
      <c r="EV29" s="463"/>
      <c r="EW29" s="463"/>
      <c r="EX29" s="463"/>
      <c r="EY29" s="463"/>
      <c r="EZ29" s="464"/>
      <c r="FA29" s="465"/>
      <c r="FB29" s="463"/>
      <c r="FC29" s="463"/>
      <c r="FD29" s="463"/>
      <c r="FE29" s="463"/>
      <c r="FF29" s="464"/>
      <c r="FG29" s="465"/>
      <c r="FH29" s="463"/>
      <c r="FI29" s="463"/>
      <c r="FJ29" s="463"/>
      <c r="FK29" s="463"/>
      <c r="FL29" s="464"/>
      <c r="FM29" s="465"/>
      <c r="FN29" s="463"/>
      <c r="FO29" s="463"/>
      <c r="FP29" s="463"/>
      <c r="FQ29" s="463"/>
      <c r="FR29" s="464"/>
      <c r="FS29" s="465"/>
      <c r="FT29" s="463"/>
      <c r="FU29" s="463"/>
      <c r="FV29" s="463"/>
      <c r="FW29" s="463"/>
      <c r="FX29" s="464"/>
      <c r="FY29" s="465"/>
      <c r="FZ29" s="463"/>
      <c r="GA29" s="463"/>
      <c r="GB29" s="463"/>
      <c r="GC29" s="463"/>
      <c r="GD29" s="464"/>
      <c r="GE29" s="465"/>
      <c r="GF29" s="463"/>
      <c r="GG29" s="463"/>
      <c r="GH29" s="463"/>
      <c r="GI29" s="463"/>
      <c r="GJ29" s="464"/>
      <c r="GK29" s="465"/>
      <c r="GL29" s="463"/>
      <c r="GM29" s="463"/>
      <c r="GN29" s="463"/>
      <c r="GO29" s="463"/>
      <c r="GP29" s="464"/>
      <c r="GQ29" s="465"/>
      <c r="GR29" s="463"/>
      <c r="GS29" s="463"/>
      <c r="GT29" s="463"/>
      <c r="GU29" s="463"/>
      <c r="GV29" s="464"/>
      <c r="GW29" s="465"/>
      <c r="GX29" s="463"/>
      <c r="GY29" s="463"/>
      <c r="GZ29" s="463"/>
      <c r="HA29" s="463"/>
      <c r="HB29" s="464"/>
      <c r="HC29" s="465"/>
      <c r="HD29" s="463"/>
      <c r="HE29" s="463"/>
      <c r="HF29" s="463"/>
      <c r="HG29" s="463"/>
      <c r="HH29" s="464"/>
      <c r="HI29" s="465"/>
      <c r="HJ29" s="463"/>
      <c r="HK29" s="463"/>
      <c r="HL29" s="463"/>
      <c r="HM29" s="463"/>
      <c r="HN29" s="464"/>
      <c r="HO29" s="465"/>
      <c r="HP29" s="463"/>
      <c r="HQ29" s="463"/>
      <c r="HR29" s="463"/>
      <c r="HS29" s="463"/>
      <c r="HT29" s="464"/>
      <c r="HU29" s="465"/>
      <c r="HV29" s="463"/>
      <c r="HW29" s="463"/>
      <c r="HX29" s="463"/>
      <c r="HY29" s="463"/>
      <c r="HZ29" s="464"/>
      <c r="IA29" s="465"/>
      <c r="IB29" s="463"/>
      <c r="IC29" s="463"/>
      <c r="ID29" s="463"/>
      <c r="IE29" s="463"/>
      <c r="IF29" s="464"/>
      <c r="IG29" s="465"/>
      <c r="IH29" s="463"/>
      <c r="II29" s="463"/>
      <c r="IJ29" s="463"/>
    </row>
    <row r="30" spans="2:244" ht="15" x14ac:dyDescent="0.25">
      <c r="B30" s="457">
        <v>13</v>
      </c>
      <c r="C30" s="704" t="str">
        <f>RUAS!B23</f>
        <v>RUA SÃO JOSÉ DOS PINHAIS - T2</v>
      </c>
      <c r="D30" s="679">
        <v>1</v>
      </c>
      <c r="E30" s="680" t="s">
        <v>352</v>
      </c>
      <c r="F30" s="681">
        <v>14.369</v>
      </c>
      <c r="G30" s="679">
        <v>2</v>
      </c>
      <c r="H30" s="680" t="s">
        <v>352</v>
      </c>
      <c r="I30" s="681">
        <v>19.808</v>
      </c>
      <c r="J30" s="682">
        <f t="shared" si="0"/>
        <v>25.43</v>
      </c>
      <c r="K30" s="682">
        <v>0</v>
      </c>
      <c r="L30" s="684">
        <f t="shared" si="1"/>
        <v>0</v>
      </c>
      <c r="M30" s="682">
        <v>2.5</v>
      </c>
      <c r="N30" s="684">
        <f t="shared" si="2"/>
        <v>63.57</v>
      </c>
      <c r="O30" s="684">
        <f t="shared" si="3"/>
        <v>63.57</v>
      </c>
      <c r="P30" s="463"/>
      <c r="T30" s="463"/>
      <c r="U30" s="463"/>
      <c r="V30" s="463"/>
      <c r="W30" s="463"/>
      <c r="X30" s="464"/>
      <c r="Y30" s="465"/>
      <c r="Z30" s="463"/>
      <c r="AA30" s="463"/>
      <c r="AB30" s="463"/>
      <c r="AC30" s="463"/>
      <c r="AD30" s="464"/>
      <c r="AE30" s="465"/>
      <c r="AF30" s="463"/>
      <c r="AG30" s="463"/>
      <c r="AH30" s="463"/>
      <c r="AI30" s="463"/>
      <c r="AJ30" s="464"/>
      <c r="AK30" s="465"/>
      <c r="AL30" s="463"/>
      <c r="AM30" s="463"/>
      <c r="AN30" s="463"/>
      <c r="AO30" s="463"/>
      <c r="AP30" s="464"/>
      <c r="AQ30" s="465"/>
      <c r="AR30" s="463"/>
      <c r="AS30" s="463"/>
      <c r="AT30" s="463"/>
      <c r="AU30" s="463"/>
      <c r="AV30" s="464"/>
      <c r="AW30" s="465"/>
      <c r="AX30" s="463"/>
      <c r="AY30" s="463"/>
      <c r="AZ30" s="463"/>
      <c r="BA30" s="463"/>
      <c r="BB30" s="464"/>
      <c r="BC30" s="465"/>
      <c r="BD30" s="463"/>
      <c r="BE30" s="463"/>
      <c r="BF30" s="463"/>
      <c r="BG30" s="463"/>
      <c r="BH30" s="464"/>
      <c r="BI30" s="465"/>
      <c r="BJ30" s="463"/>
      <c r="BK30" s="463"/>
      <c r="BL30" s="463"/>
      <c r="BM30" s="463"/>
      <c r="BN30" s="464"/>
      <c r="BO30" s="465"/>
      <c r="BP30" s="463"/>
      <c r="BQ30" s="463"/>
      <c r="BR30" s="463"/>
      <c r="BS30" s="463"/>
      <c r="BT30" s="464"/>
      <c r="BU30" s="465"/>
      <c r="BV30" s="463"/>
      <c r="BW30" s="463"/>
      <c r="BX30" s="463"/>
      <c r="BY30" s="463"/>
      <c r="BZ30" s="464"/>
      <c r="CA30" s="465"/>
      <c r="CB30" s="463"/>
      <c r="CC30" s="463"/>
      <c r="CD30" s="463"/>
      <c r="CE30" s="463"/>
      <c r="CF30" s="464"/>
      <c r="CG30" s="465"/>
      <c r="CH30" s="463"/>
      <c r="CI30" s="463"/>
      <c r="CJ30" s="463"/>
      <c r="CK30" s="463"/>
      <c r="CL30" s="464"/>
      <c r="CM30" s="465"/>
      <c r="CN30" s="463"/>
      <c r="CO30" s="463"/>
      <c r="CP30" s="463"/>
      <c r="CQ30" s="463"/>
      <c r="CR30" s="464"/>
      <c r="CS30" s="465"/>
      <c r="CT30" s="463"/>
      <c r="CU30" s="463"/>
      <c r="CV30" s="463"/>
      <c r="CW30" s="463"/>
      <c r="CX30" s="464"/>
      <c r="CY30" s="465"/>
      <c r="CZ30" s="463"/>
      <c r="DA30" s="463"/>
      <c r="DB30" s="463"/>
      <c r="DC30" s="463"/>
      <c r="DD30" s="464"/>
      <c r="DE30" s="465"/>
      <c r="DF30" s="463"/>
      <c r="DG30" s="463"/>
      <c r="DH30" s="463"/>
      <c r="DI30" s="463"/>
      <c r="DJ30" s="464"/>
      <c r="DK30" s="465"/>
      <c r="DL30" s="463"/>
      <c r="DM30" s="463"/>
      <c r="DN30" s="463"/>
      <c r="DO30" s="463"/>
      <c r="DP30" s="464"/>
      <c r="DQ30" s="465"/>
      <c r="DR30" s="463"/>
      <c r="DS30" s="463"/>
      <c r="DT30" s="463"/>
      <c r="DU30" s="463"/>
      <c r="DV30" s="464"/>
      <c r="DW30" s="465"/>
      <c r="DX30" s="463"/>
      <c r="DY30" s="463"/>
      <c r="DZ30" s="463"/>
      <c r="EA30" s="463"/>
      <c r="EB30" s="464"/>
      <c r="EC30" s="465"/>
      <c r="ED30" s="463"/>
      <c r="EE30" s="463"/>
      <c r="EF30" s="463"/>
      <c r="EG30" s="463"/>
      <c r="EH30" s="464"/>
      <c r="EI30" s="465"/>
      <c r="EJ30" s="463"/>
      <c r="EK30" s="463"/>
      <c r="EL30" s="463"/>
      <c r="EM30" s="463"/>
      <c r="EN30" s="464"/>
      <c r="EO30" s="465"/>
      <c r="EP30" s="463"/>
      <c r="EQ30" s="463"/>
      <c r="ER30" s="463"/>
      <c r="ES30" s="463"/>
      <c r="ET30" s="464"/>
      <c r="EU30" s="465"/>
      <c r="EV30" s="463"/>
      <c r="EW30" s="463"/>
      <c r="EX30" s="463"/>
      <c r="EY30" s="463"/>
      <c r="EZ30" s="464"/>
      <c r="FA30" s="465"/>
      <c r="FB30" s="463"/>
      <c r="FC30" s="463"/>
      <c r="FD30" s="463"/>
      <c r="FE30" s="463"/>
      <c r="FF30" s="464"/>
      <c r="FG30" s="465"/>
      <c r="FH30" s="463"/>
      <c r="FI30" s="463"/>
      <c r="FJ30" s="463"/>
      <c r="FK30" s="463"/>
      <c r="FL30" s="464"/>
      <c r="FM30" s="465"/>
      <c r="FN30" s="463"/>
      <c r="FO30" s="463"/>
      <c r="FP30" s="463"/>
      <c r="FQ30" s="463"/>
      <c r="FR30" s="464"/>
      <c r="FS30" s="465"/>
      <c r="FT30" s="463"/>
      <c r="FU30" s="463"/>
      <c r="FV30" s="463"/>
      <c r="FW30" s="463"/>
      <c r="FX30" s="464"/>
      <c r="FY30" s="465"/>
      <c r="FZ30" s="463"/>
      <c r="GA30" s="463"/>
      <c r="GB30" s="463"/>
      <c r="GC30" s="463"/>
      <c r="GD30" s="464"/>
      <c r="GE30" s="465"/>
      <c r="GF30" s="463"/>
      <c r="GG30" s="463"/>
      <c r="GH30" s="463"/>
      <c r="GI30" s="463"/>
      <c r="GJ30" s="464"/>
      <c r="GK30" s="465"/>
      <c r="GL30" s="463"/>
      <c r="GM30" s="463"/>
      <c r="GN30" s="463"/>
      <c r="GO30" s="463"/>
      <c r="GP30" s="464"/>
      <c r="GQ30" s="465"/>
      <c r="GR30" s="463"/>
      <c r="GS30" s="463"/>
      <c r="GT30" s="463"/>
      <c r="GU30" s="463"/>
      <c r="GV30" s="464"/>
      <c r="GW30" s="465"/>
      <c r="GX30" s="463"/>
      <c r="GY30" s="463"/>
      <c r="GZ30" s="463"/>
      <c r="HA30" s="463"/>
      <c r="HB30" s="464"/>
      <c r="HC30" s="465"/>
      <c r="HD30" s="463"/>
      <c r="HE30" s="463"/>
      <c r="HF30" s="463"/>
      <c r="HG30" s="463"/>
      <c r="HH30" s="464"/>
      <c r="HI30" s="465"/>
      <c r="HJ30" s="463"/>
      <c r="HK30" s="463"/>
      <c r="HL30" s="463"/>
      <c r="HM30" s="463"/>
      <c r="HN30" s="464"/>
      <c r="HO30" s="465"/>
      <c r="HP30" s="463"/>
      <c r="HQ30" s="463"/>
      <c r="HR30" s="463"/>
      <c r="HS30" s="463"/>
      <c r="HT30" s="464"/>
      <c r="HU30" s="465"/>
      <c r="HV30" s="463"/>
      <c r="HW30" s="463"/>
      <c r="HX30" s="463"/>
      <c r="HY30" s="463"/>
      <c r="HZ30" s="464"/>
      <c r="IA30" s="465"/>
      <c r="IB30" s="463"/>
      <c r="IC30" s="463"/>
      <c r="ID30" s="463"/>
      <c r="IE30" s="463"/>
      <c r="IF30" s="464"/>
      <c r="IG30" s="465"/>
      <c r="IH30" s="463"/>
      <c r="II30" s="463"/>
      <c r="IJ30" s="463"/>
    </row>
    <row r="31" spans="2:244" ht="16.5" customHeight="1" x14ac:dyDescent="0.3">
      <c r="B31" s="1266">
        <v>14</v>
      </c>
      <c r="C31" s="1268" t="str">
        <f>RUAS!B24</f>
        <v>RUA SÃO JOSÉ DOS PINHAIS - T3</v>
      </c>
      <c r="D31" s="679">
        <v>0</v>
      </c>
      <c r="E31" s="680" t="s">
        <v>352</v>
      </c>
      <c r="F31" s="681">
        <v>0</v>
      </c>
      <c r="G31" s="679">
        <v>1</v>
      </c>
      <c r="H31" s="680" t="s">
        <v>352</v>
      </c>
      <c r="I31" s="681">
        <v>4.1079999999999997</v>
      </c>
      <c r="J31" s="682">
        <f t="shared" si="0"/>
        <v>24.1</v>
      </c>
      <c r="K31" s="682">
        <v>3</v>
      </c>
      <c r="L31" s="684">
        <f t="shared" si="1"/>
        <v>72.3</v>
      </c>
      <c r="M31" s="682">
        <v>0</v>
      </c>
      <c r="N31" s="684">
        <f t="shared" si="2"/>
        <v>0</v>
      </c>
      <c r="O31" s="684">
        <f t="shared" si="3"/>
        <v>72.3</v>
      </c>
      <c r="P31" s="463"/>
      <c r="T31" s="463"/>
      <c r="U31" s="463"/>
      <c r="V31" s="463"/>
      <c r="W31" s="463"/>
      <c r="X31" s="464"/>
      <c r="Y31" s="465"/>
      <c r="Z31" s="463"/>
      <c r="AA31" s="463"/>
      <c r="AB31" s="463"/>
      <c r="AC31" s="463"/>
      <c r="AD31" s="464"/>
      <c r="AE31" s="465"/>
      <c r="AF31" s="463"/>
      <c r="AG31" s="463"/>
      <c r="AH31" s="463"/>
      <c r="AI31" s="463"/>
      <c r="AJ31" s="464"/>
      <c r="AK31" s="465"/>
      <c r="AL31" s="463"/>
      <c r="AM31" s="463"/>
      <c r="AN31" s="463"/>
      <c r="AO31" s="463"/>
      <c r="AP31" s="464"/>
      <c r="AQ31" s="465"/>
      <c r="AR31" s="463"/>
      <c r="AS31" s="463"/>
      <c r="AT31" s="463"/>
      <c r="AU31" s="463"/>
      <c r="AV31" s="464"/>
      <c r="AW31" s="465"/>
      <c r="AX31" s="463"/>
      <c r="AY31" s="463"/>
      <c r="AZ31" s="463"/>
      <c r="BA31" s="463"/>
      <c r="BB31" s="464"/>
      <c r="BC31" s="465"/>
      <c r="BD31" s="463"/>
      <c r="BE31" s="463"/>
      <c r="BF31" s="463"/>
      <c r="BG31" s="463"/>
      <c r="BH31" s="464"/>
      <c r="BI31" s="465"/>
      <c r="BJ31" s="463"/>
      <c r="BK31" s="463"/>
      <c r="BL31" s="463"/>
      <c r="BM31" s="463"/>
      <c r="BN31" s="464"/>
      <c r="BO31" s="465"/>
      <c r="BP31" s="463"/>
      <c r="BQ31" s="463"/>
      <c r="BR31" s="463"/>
      <c r="BS31" s="463"/>
      <c r="BT31" s="464"/>
      <c r="BU31" s="465"/>
      <c r="BV31" s="463"/>
      <c r="BW31" s="463"/>
      <c r="BX31" s="463"/>
      <c r="BY31" s="463"/>
      <c r="BZ31" s="464"/>
      <c r="CA31" s="465"/>
      <c r="CB31" s="463"/>
      <c r="CC31" s="463"/>
      <c r="CD31" s="463"/>
      <c r="CE31" s="463"/>
      <c r="CF31" s="464"/>
      <c r="CG31" s="465"/>
      <c r="CH31" s="463"/>
      <c r="CI31" s="463"/>
      <c r="CJ31" s="463"/>
      <c r="CK31" s="463"/>
      <c r="CL31" s="464"/>
      <c r="CM31" s="465"/>
      <c r="CN31" s="463"/>
      <c r="CO31" s="463"/>
      <c r="CP31" s="463"/>
      <c r="CQ31" s="463"/>
      <c r="CR31" s="464"/>
      <c r="CS31" s="465"/>
      <c r="CT31" s="463"/>
      <c r="CU31" s="463"/>
      <c r="CV31" s="463"/>
      <c r="CW31" s="463"/>
      <c r="CX31" s="464"/>
      <c r="CY31" s="465"/>
      <c r="CZ31" s="463"/>
      <c r="DA31" s="463"/>
      <c r="DB31" s="463"/>
      <c r="DC31" s="463"/>
      <c r="DD31" s="464"/>
      <c r="DE31" s="465"/>
      <c r="DF31" s="463"/>
      <c r="DG31" s="463"/>
      <c r="DH31" s="463"/>
      <c r="DI31" s="463"/>
      <c r="DJ31" s="464"/>
      <c r="DK31" s="465"/>
      <c r="DL31" s="463"/>
      <c r="DM31" s="463"/>
      <c r="DN31" s="463"/>
      <c r="DO31" s="463"/>
      <c r="DP31" s="464"/>
      <c r="DQ31" s="465"/>
      <c r="DR31" s="463"/>
      <c r="DS31" s="463"/>
      <c r="DT31" s="463"/>
      <c r="DU31" s="463"/>
      <c r="DV31" s="464"/>
      <c r="DW31" s="465"/>
      <c r="DX31" s="463"/>
      <c r="DY31" s="463"/>
      <c r="DZ31" s="463"/>
      <c r="EA31" s="463"/>
      <c r="EB31" s="464"/>
      <c r="EC31" s="465"/>
      <c r="ED31" s="463"/>
      <c r="EE31" s="463"/>
      <c r="EF31" s="463"/>
      <c r="EG31" s="463"/>
      <c r="EH31" s="464"/>
      <c r="EI31" s="465"/>
      <c r="EJ31" s="463"/>
      <c r="EK31" s="463"/>
      <c r="EL31" s="463"/>
      <c r="EM31" s="463"/>
      <c r="EN31" s="464"/>
      <c r="EO31" s="465"/>
      <c r="EP31" s="463"/>
      <c r="EQ31" s="463"/>
      <c r="ER31" s="463"/>
      <c r="ES31" s="463"/>
      <c r="ET31" s="464"/>
      <c r="EU31" s="465"/>
      <c r="EV31" s="463"/>
      <c r="EW31" s="463"/>
      <c r="EX31" s="463"/>
      <c r="EY31" s="463"/>
      <c r="EZ31" s="464"/>
      <c r="FA31" s="465"/>
      <c r="FB31" s="463"/>
      <c r="FC31" s="463"/>
      <c r="FD31" s="463"/>
      <c r="FE31" s="463"/>
      <c r="FF31" s="464"/>
      <c r="FG31" s="465"/>
      <c r="FH31" s="463"/>
      <c r="FI31" s="463"/>
      <c r="FJ31" s="463"/>
      <c r="FK31" s="463"/>
      <c r="FL31" s="464"/>
      <c r="FM31" s="465"/>
      <c r="FN31" s="463"/>
      <c r="FO31" s="463"/>
      <c r="FP31" s="463"/>
      <c r="FQ31" s="463"/>
      <c r="FR31" s="464"/>
      <c r="FS31" s="465"/>
      <c r="FT31" s="463"/>
      <c r="FU31" s="463"/>
      <c r="FV31" s="463"/>
      <c r="FW31" s="463"/>
      <c r="FX31" s="464"/>
      <c r="FY31" s="465"/>
      <c r="FZ31" s="463"/>
      <c r="GA31" s="463"/>
      <c r="GB31" s="463"/>
      <c r="GC31" s="463"/>
      <c r="GD31" s="464"/>
      <c r="GE31" s="465"/>
      <c r="GF31" s="463"/>
      <c r="GG31" s="463"/>
      <c r="GH31" s="463"/>
      <c r="GI31" s="463"/>
      <c r="GJ31" s="464"/>
      <c r="GK31" s="465"/>
      <c r="GL31" s="463"/>
      <c r="GM31" s="463"/>
      <c r="GN31" s="463"/>
      <c r="GO31" s="463"/>
      <c r="GP31" s="464"/>
      <c r="GQ31" s="465"/>
      <c r="GR31" s="463"/>
      <c r="GS31" s="463"/>
      <c r="GT31" s="463"/>
      <c r="GU31" s="463"/>
      <c r="GV31" s="464"/>
      <c r="GW31" s="465"/>
      <c r="GX31" s="463"/>
      <c r="GY31" s="463"/>
      <c r="GZ31" s="463"/>
      <c r="HA31" s="463"/>
      <c r="HB31" s="464"/>
      <c r="HC31" s="465"/>
      <c r="HD31" s="463"/>
      <c r="HE31" s="463"/>
      <c r="HF31" s="463"/>
      <c r="HG31" s="463"/>
      <c r="HH31" s="464"/>
      <c r="HI31" s="465"/>
      <c r="HJ31" s="463"/>
      <c r="HK31" s="463"/>
      <c r="HL31" s="463"/>
      <c r="HM31" s="463"/>
      <c r="HN31" s="464"/>
      <c r="HO31" s="465"/>
      <c r="HP31" s="463"/>
      <c r="HQ31" s="463"/>
      <c r="HR31" s="463"/>
      <c r="HS31" s="463"/>
      <c r="HT31" s="464"/>
      <c r="HU31" s="465"/>
      <c r="HV31" s="463"/>
      <c r="HW31" s="463"/>
      <c r="HX31" s="463"/>
      <c r="HY31" s="463"/>
      <c r="HZ31" s="464"/>
      <c r="IA31" s="465"/>
      <c r="IB31" s="463"/>
      <c r="IC31" s="463"/>
      <c r="ID31" s="463"/>
      <c r="IE31" s="463"/>
      <c r="IF31" s="464"/>
      <c r="IG31" s="465"/>
      <c r="IH31" s="463"/>
      <c r="II31" s="463"/>
      <c r="IJ31" s="463"/>
    </row>
    <row r="32" spans="2:244" ht="16.5" customHeight="1" x14ac:dyDescent="0.3">
      <c r="B32" s="1270"/>
      <c r="C32" s="1271"/>
      <c r="D32" s="679">
        <v>2</v>
      </c>
      <c r="E32" s="680" t="s">
        <v>352</v>
      </c>
      <c r="F32" s="681">
        <v>1.5780000000000001</v>
      </c>
      <c r="G32" s="679">
        <v>3</v>
      </c>
      <c r="H32" s="680" t="s">
        <v>352</v>
      </c>
      <c r="I32" s="681">
        <v>15.305999999999999</v>
      </c>
      <c r="J32" s="682">
        <f t="shared" si="0"/>
        <v>33.72</v>
      </c>
      <c r="K32" s="682">
        <v>4</v>
      </c>
      <c r="L32" s="684">
        <f t="shared" si="1"/>
        <v>134.88</v>
      </c>
      <c r="M32" s="682">
        <v>0</v>
      </c>
      <c r="N32" s="684">
        <f t="shared" si="2"/>
        <v>0</v>
      </c>
      <c r="O32" s="684">
        <f t="shared" si="3"/>
        <v>134.88</v>
      </c>
      <c r="P32" s="463"/>
      <c r="T32" s="463"/>
      <c r="U32" s="463"/>
      <c r="V32" s="463"/>
      <c r="W32" s="463"/>
      <c r="X32" s="464"/>
      <c r="Y32" s="465"/>
      <c r="Z32" s="463"/>
      <c r="AA32" s="463"/>
      <c r="AB32" s="463"/>
      <c r="AC32" s="463"/>
      <c r="AD32" s="464"/>
      <c r="AE32" s="465"/>
      <c r="AF32" s="463"/>
      <c r="AG32" s="463"/>
      <c r="AH32" s="463"/>
      <c r="AI32" s="463"/>
      <c r="AJ32" s="464"/>
      <c r="AK32" s="465"/>
      <c r="AL32" s="463"/>
      <c r="AM32" s="463"/>
      <c r="AN32" s="463"/>
      <c r="AO32" s="463"/>
      <c r="AP32" s="464"/>
      <c r="AQ32" s="465"/>
      <c r="AR32" s="463"/>
      <c r="AS32" s="463"/>
      <c r="AT32" s="463"/>
      <c r="AU32" s="463"/>
      <c r="AV32" s="464"/>
      <c r="AW32" s="465"/>
      <c r="AX32" s="463"/>
      <c r="AY32" s="463"/>
      <c r="AZ32" s="463"/>
      <c r="BA32" s="463"/>
      <c r="BB32" s="464"/>
      <c r="BC32" s="465"/>
      <c r="BD32" s="463"/>
      <c r="BE32" s="463"/>
      <c r="BF32" s="463"/>
      <c r="BG32" s="463"/>
      <c r="BH32" s="464"/>
      <c r="BI32" s="465"/>
      <c r="BJ32" s="463"/>
      <c r="BK32" s="463"/>
      <c r="BL32" s="463"/>
      <c r="BM32" s="463"/>
      <c r="BN32" s="464"/>
      <c r="BO32" s="465"/>
      <c r="BP32" s="463"/>
      <c r="BQ32" s="463"/>
      <c r="BR32" s="463"/>
      <c r="BS32" s="463"/>
      <c r="BT32" s="464"/>
      <c r="BU32" s="465"/>
      <c r="BV32" s="463"/>
      <c r="BW32" s="463"/>
      <c r="BX32" s="463"/>
      <c r="BY32" s="463"/>
      <c r="BZ32" s="464"/>
      <c r="CA32" s="465"/>
      <c r="CB32" s="463"/>
      <c r="CC32" s="463"/>
      <c r="CD32" s="463"/>
      <c r="CE32" s="463"/>
      <c r="CF32" s="464"/>
      <c r="CG32" s="465"/>
      <c r="CH32" s="463"/>
      <c r="CI32" s="463"/>
      <c r="CJ32" s="463"/>
      <c r="CK32" s="463"/>
      <c r="CL32" s="464"/>
      <c r="CM32" s="465"/>
      <c r="CN32" s="463"/>
      <c r="CO32" s="463"/>
      <c r="CP32" s="463"/>
      <c r="CQ32" s="463"/>
      <c r="CR32" s="464"/>
      <c r="CS32" s="465"/>
      <c r="CT32" s="463"/>
      <c r="CU32" s="463"/>
      <c r="CV32" s="463"/>
      <c r="CW32" s="463"/>
      <c r="CX32" s="464"/>
      <c r="CY32" s="465"/>
      <c r="CZ32" s="463"/>
      <c r="DA32" s="463"/>
      <c r="DB32" s="463"/>
      <c r="DC32" s="463"/>
      <c r="DD32" s="464"/>
      <c r="DE32" s="465"/>
      <c r="DF32" s="463"/>
      <c r="DG32" s="463"/>
      <c r="DH32" s="463"/>
      <c r="DI32" s="463"/>
      <c r="DJ32" s="464"/>
      <c r="DK32" s="465"/>
      <c r="DL32" s="463"/>
      <c r="DM32" s="463"/>
      <c r="DN32" s="463"/>
      <c r="DO32" s="463"/>
      <c r="DP32" s="464"/>
      <c r="DQ32" s="465"/>
      <c r="DR32" s="463"/>
      <c r="DS32" s="463"/>
      <c r="DT32" s="463"/>
      <c r="DU32" s="463"/>
      <c r="DV32" s="464"/>
      <c r="DW32" s="465"/>
      <c r="DX32" s="463"/>
      <c r="DY32" s="463"/>
      <c r="DZ32" s="463"/>
      <c r="EA32" s="463"/>
      <c r="EB32" s="464"/>
      <c r="EC32" s="465"/>
      <c r="ED32" s="463"/>
      <c r="EE32" s="463"/>
      <c r="EF32" s="463"/>
      <c r="EG32" s="463"/>
      <c r="EH32" s="464"/>
      <c r="EI32" s="465"/>
      <c r="EJ32" s="463"/>
      <c r="EK32" s="463"/>
      <c r="EL32" s="463"/>
      <c r="EM32" s="463"/>
      <c r="EN32" s="464"/>
      <c r="EO32" s="465"/>
      <c r="EP32" s="463"/>
      <c r="EQ32" s="463"/>
      <c r="ER32" s="463"/>
      <c r="ES32" s="463"/>
      <c r="ET32" s="464"/>
      <c r="EU32" s="465"/>
      <c r="EV32" s="463"/>
      <c r="EW32" s="463"/>
      <c r="EX32" s="463"/>
      <c r="EY32" s="463"/>
      <c r="EZ32" s="464"/>
      <c r="FA32" s="465"/>
      <c r="FB32" s="463"/>
      <c r="FC32" s="463"/>
      <c r="FD32" s="463"/>
      <c r="FE32" s="463"/>
      <c r="FF32" s="464"/>
      <c r="FG32" s="465"/>
      <c r="FH32" s="463"/>
      <c r="FI32" s="463"/>
      <c r="FJ32" s="463"/>
      <c r="FK32" s="463"/>
      <c r="FL32" s="464"/>
      <c r="FM32" s="465"/>
      <c r="FN32" s="463"/>
      <c r="FO32" s="463"/>
      <c r="FP32" s="463"/>
      <c r="FQ32" s="463"/>
      <c r="FR32" s="464"/>
      <c r="FS32" s="465"/>
      <c r="FT32" s="463"/>
      <c r="FU32" s="463"/>
      <c r="FV32" s="463"/>
      <c r="FW32" s="463"/>
      <c r="FX32" s="464"/>
      <c r="FY32" s="465"/>
      <c r="FZ32" s="463"/>
      <c r="GA32" s="463"/>
      <c r="GB32" s="463"/>
      <c r="GC32" s="463"/>
      <c r="GD32" s="464"/>
      <c r="GE32" s="465"/>
      <c r="GF32" s="463"/>
      <c r="GG32" s="463"/>
      <c r="GH32" s="463"/>
      <c r="GI32" s="463"/>
      <c r="GJ32" s="464"/>
      <c r="GK32" s="465"/>
      <c r="GL32" s="463"/>
      <c r="GM32" s="463"/>
      <c r="GN32" s="463"/>
      <c r="GO32" s="463"/>
      <c r="GP32" s="464"/>
      <c r="GQ32" s="465"/>
      <c r="GR32" s="463"/>
      <c r="GS32" s="463"/>
      <c r="GT32" s="463"/>
      <c r="GU32" s="463"/>
      <c r="GV32" s="464"/>
      <c r="GW32" s="465"/>
      <c r="GX32" s="463"/>
      <c r="GY32" s="463"/>
      <c r="GZ32" s="463"/>
      <c r="HA32" s="463"/>
      <c r="HB32" s="464"/>
      <c r="HC32" s="465"/>
      <c r="HD32" s="463"/>
      <c r="HE32" s="463"/>
      <c r="HF32" s="463"/>
      <c r="HG32" s="463"/>
      <c r="HH32" s="464"/>
      <c r="HI32" s="465"/>
      <c r="HJ32" s="463"/>
      <c r="HK32" s="463"/>
      <c r="HL32" s="463"/>
      <c r="HM32" s="463"/>
      <c r="HN32" s="464"/>
      <c r="HO32" s="465"/>
      <c r="HP32" s="463"/>
      <c r="HQ32" s="463"/>
      <c r="HR32" s="463"/>
      <c r="HS32" s="463"/>
      <c r="HT32" s="464"/>
      <c r="HU32" s="465"/>
      <c r="HV32" s="463"/>
      <c r="HW32" s="463"/>
      <c r="HX32" s="463"/>
      <c r="HY32" s="463"/>
      <c r="HZ32" s="464"/>
      <c r="IA32" s="465"/>
      <c r="IB32" s="463"/>
      <c r="IC32" s="463"/>
      <c r="ID32" s="463"/>
      <c r="IE32" s="463"/>
      <c r="IF32" s="464"/>
      <c r="IG32" s="465"/>
      <c r="IH32" s="463"/>
      <c r="II32" s="463"/>
      <c r="IJ32" s="463"/>
    </row>
    <row r="33" spans="2:244" ht="16.5" customHeight="1" x14ac:dyDescent="0.3">
      <c r="B33" s="1267"/>
      <c r="C33" s="1269"/>
      <c r="D33" s="679">
        <v>1</v>
      </c>
      <c r="E33" s="680" t="s">
        <v>352</v>
      </c>
      <c r="F33" s="681">
        <v>12.313000000000001</v>
      </c>
      <c r="G33" s="679">
        <v>4</v>
      </c>
      <c r="H33" s="680" t="s">
        <v>352</v>
      </c>
      <c r="I33" s="681">
        <v>2.286</v>
      </c>
      <c r="J33" s="682">
        <f t="shared" si="0"/>
        <v>49.97</v>
      </c>
      <c r="K33" s="682">
        <v>0</v>
      </c>
      <c r="L33" s="684">
        <f t="shared" si="1"/>
        <v>0</v>
      </c>
      <c r="M33" s="682">
        <v>3</v>
      </c>
      <c r="N33" s="684">
        <f t="shared" si="2"/>
        <v>149.91</v>
      </c>
      <c r="O33" s="684">
        <f t="shared" si="3"/>
        <v>149.91</v>
      </c>
      <c r="P33" s="463"/>
      <c r="T33" s="463"/>
      <c r="U33" s="463"/>
      <c r="V33" s="463"/>
      <c r="W33" s="463"/>
      <c r="X33" s="464"/>
      <c r="Y33" s="465"/>
      <c r="Z33" s="463"/>
      <c r="AA33" s="463"/>
      <c r="AB33" s="463"/>
      <c r="AC33" s="463"/>
      <c r="AD33" s="464"/>
      <c r="AE33" s="465"/>
      <c r="AF33" s="463"/>
      <c r="AG33" s="463"/>
      <c r="AH33" s="463"/>
      <c r="AI33" s="463"/>
      <c r="AJ33" s="464"/>
      <c r="AK33" s="465"/>
      <c r="AL33" s="463"/>
      <c r="AM33" s="463"/>
      <c r="AN33" s="463"/>
      <c r="AO33" s="463"/>
      <c r="AP33" s="464"/>
      <c r="AQ33" s="465"/>
      <c r="AR33" s="463"/>
      <c r="AS33" s="463"/>
      <c r="AT33" s="463"/>
      <c r="AU33" s="463"/>
      <c r="AV33" s="464"/>
      <c r="AW33" s="465"/>
      <c r="AX33" s="463"/>
      <c r="AY33" s="463"/>
      <c r="AZ33" s="463"/>
      <c r="BA33" s="463"/>
      <c r="BB33" s="464"/>
      <c r="BC33" s="465"/>
      <c r="BD33" s="463"/>
      <c r="BE33" s="463"/>
      <c r="BF33" s="463"/>
      <c r="BG33" s="463"/>
      <c r="BH33" s="464"/>
      <c r="BI33" s="465"/>
      <c r="BJ33" s="463"/>
      <c r="BK33" s="463"/>
      <c r="BL33" s="463"/>
      <c r="BM33" s="463"/>
      <c r="BN33" s="464"/>
      <c r="BO33" s="465"/>
      <c r="BP33" s="463"/>
      <c r="BQ33" s="463"/>
      <c r="BR33" s="463"/>
      <c r="BS33" s="463"/>
      <c r="BT33" s="464"/>
      <c r="BU33" s="465"/>
      <c r="BV33" s="463"/>
      <c r="BW33" s="463"/>
      <c r="BX33" s="463"/>
      <c r="BY33" s="463"/>
      <c r="BZ33" s="464"/>
      <c r="CA33" s="465"/>
      <c r="CB33" s="463"/>
      <c r="CC33" s="463"/>
      <c r="CD33" s="463"/>
      <c r="CE33" s="463"/>
      <c r="CF33" s="464"/>
      <c r="CG33" s="465"/>
      <c r="CH33" s="463"/>
      <c r="CI33" s="463"/>
      <c r="CJ33" s="463"/>
      <c r="CK33" s="463"/>
      <c r="CL33" s="464"/>
      <c r="CM33" s="465"/>
      <c r="CN33" s="463"/>
      <c r="CO33" s="463"/>
      <c r="CP33" s="463"/>
      <c r="CQ33" s="463"/>
      <c r="CR33" s="464"/>
      <c r="CS33" s="465"/>
      <c r="CT33" s="463"/>
      <c r="CU33" s="463"/>
      <c r="CV33" s="463"/>
      <c r="CW33" s="463"/>
      <c r="CX33" s="464"/>
      <c r="CY33" s="465"/>
      <c r="CZ33" s="463"/>
      <c r="DA33" s="463"/>
      <c r="DB33" s="463"/>
      <c r="DC33" s="463"/>
      <c r="DD33" s="464"/>
      <c r="DE33" s="465"/>
      <c r="DF33" s="463"/>
      <c r="DG33" s="463"/>
      <c r="DH33" s="463"/>
      <c r="DI33" s="463"/>
      <c r="DJ33" s="464"/>
      <c r="DK33" s="465"/>
      <c r="DL33" s="463"/>
      <c r="DM33" s="463"/>
      <c r="DN33" s="463"/>
      <c r="DO33" s="463"/>
      <c r="DP33" s="464"/>
      <c r="DQ33" s="465"/>
      <c r="DR33" s="463"/>
      <c r="DS33" s="463"/>
      <c r="DT33" s="463"/>
      <c r="DU33" s="463"/>
      <c r="DV33" s="464"/>
      <c r="DW33" s="465"/>
      <c r="DX33" s="463"/>
      <c r="DY33" s="463"/>
      <c r="DZ33" s="463"/>
      <c r="EA33" s="463"/>
      <c r="EB33" s="464"/>
      <c r="EC33" s="465"/>
      <c r="ED33" s="463"/>
      <c r="EE33" s="463"/>
      <c r="EF33" s="463"/>
      <c r="EG33" s="463"/>
      <c r="EH33" s="464"/>
      <c r="EI33" s="465"/>
      <c r="EJ33" s="463"/>
      <c r="EK33" s="463"/>
      <c r="EL33" s="463"/>
      <c r="EM33" s="463"/>
      <c r="EN33" s="464"/>
      <c r="EO33" s="465"/>
      <c r="EP33" s="463"/>
      <c r="EQ33" s="463"/>
      <c r="ER33" s="463"/>
      <c r="ES33" s="463"/>
      <c r="ET33" s="464"/>
      <c r="EU33" s="465"/>
      <c r="EV33" s="463"/>
      <c r="EW33" s="463"/>
      <c r="EX33" s="463"/>
      <c r="EY33" s="463"/>
      <c r="EZ33" s="464"/>
      <c r="FA33" s="465"/>
      <c r="FB33" s="463"/>
      <c r="FC33" s="463"/>
      <c r="FD33" s="463"/>
      <c r="FE33" s="463"/>
      <c r="FF33" s="464"/>
      <c r="FG33" s="465"/>
      <c r="FH33" s="463"/>
      <c r="FI33" s="463"/>
      <c r="FJ33" s="463"/>
      <c r="FK33" s="463"/>
      <c r="FL33" s="464"/>
      <c r="FM33" s="465"/>
      <c r="FN33" s="463"/>
      <c r="FO33" s="463"/>
      <c r="FP33" s="463"/>
      <c r="FQ33" s="463"/>
      <c r="FR33" s="464"/>
      <c r="FS33" s="465"/>
      <c r="FT33" s="463"/>
      <c r="FU33" s="463"/>
      <c r="FV33" s="463"/>
      <c r="FW33" s="463"/>
      <c r="FX33" s="464"/>
      <c r="FY33" s="465"/>
      <c r="FZ33" s="463"/>
      <c r="GA33" s="463"/>
      <c r="GB33" s="463"/>
      <c r="GC33" s="463"/>
      <c r="GD33" s="464"/>
      <c r="GE33" s="465"/>
      <c r="GF33" s="463"/>
      <c r="GG33" s="463"/>
      <c r="GH33" s="463"/>
      <c r="GI33" s="463"/>
      <c r="GJ33" s="464"/>
      <c r="GK33" s="465"/>
      <c r="GL33" s="463"/>
      <c r="GM33" s="463"/>
      <c r="GN33" s="463"/>
      <c r="GO33" s="463"/>
      <c r="GP33" s="464"/>
      <c r="GQ33" s="465"/>
      <c r="GR33" s="463"/>
      <c r="GS33" s="463"/>
      <c r="GT33" s="463"/>
      <c r="GU33" s="463"/>
      <c r="GV33" s="464"/>
      <c r="GW33" s="465"/>
      <c r="GX33" s="463"/>
      <c r="GY33" s="463"/>
      <c r="GZ33" s="463"/>
      <c r="HA33" s="463"/>
      <c r="HB33" s="464"/>
      <c r="HC33" s="465"/>
      <c r="HD33" s="463"/>
      <c r="HE33" s="463"/>
      <c r="HF33" s="463"/>
      <c r="HG33" s="463"/>
      <c r="HH33" s="464"/>
      <c r="HI33" s="465"/>
      <c r="HJ33" s="463"/>
      <c r="HK33" s="463"/>
      <c r="HL33" s="463"/>
      <c r="HM33" s="463"/>
      <c r="HN33" s="464"/>
      <c r="HO33" s="465"/>
      <c r="HP33" s="463"/>
      <c r="HQ33" s="463"/>
      <c r="HR33" s="463"/>
      <c r="HS33" s="463"/>
      <c r="HT33" s="464"/>
      <c r="HU33" s="465"/>
      <c r="HV33" s="463"/>
      <c r="HW33" s="463"/>
      <c r="HX33" s="463"/>
      <c r="HY33" s="463"/>
      <c r="HZ33" s="464"/>
      <c r="IA33" s="465"/>
      <c r="IB33" s="463"/>
      <c r="IC33" s="463"/>
      <c r="ID33" s="463"/>
      <c r="IE33" s="463"/>
      <c r="IF33" s="464"/>
      <c r="IG33" s="465"/>
      <c r="IH33" s="463"/>
      <c r="II33" s="463"/>
      <c r="IJ33" s="463"/>
    </row>
    <row r="34" spans="2:244" ht="16.5" customHeight="1" x14ac:dyDescent="0.3">
      <c r="B34" s="1266">
        <v>15</v>
      </c>
      <c r="C34" s="1268" t="str">
        <f>RUAS!B25</f>
        <v>RUA SÃO JOSÉ DOS PINHAIS - T4</v>
      </c>
      <c r="D34" s="679">
        <v>0</v>
      </c>
      <c r="E34" s="680" t="s">
        <v>352</v>
      </c>
      <c r="F34" s="681">
        <v>0</v>
      </c>
      <c r="G34" s="679">
        <v>3</v>
      </c>
      <c r="H34" s="680" t="s">
        <v>352</v>
      </c>
      <c r="I34" s="681">
        <v>3.2210000000000001</v>
      </c>
      <c r="J34" s="682">
        <f t="shared" si="0"/>
        <v>63.22</v>
      </c>
      <c r="K34" s="682">
        <v>4.4000000000000004</v>
      </c>
      <c r="L34" s="684">
        <f t="shared" si="1"/>
        <v>278.16000000000003</v>
      </c>
      <c r="M34" s="682">
        <v>0</v>
      </c>
      <c r="N34" s="684">
        <f t="shared" si="2"/>
        <v>0</v>
      </c>
      <c r="O34" s="684">
        <f t="shared" si="3"/>
        <v>278.16000000000003</v>
      </c>
      <c r="P34" s="463"/>
      <c r="T34" s="463"/>
      <c r="U34" s="463"/>
      <c r="V34" s="463"/>
      <c r="W34" s="463"/>
      <c r="X34" s="464"/>
      <c r="Y34" s="465"/>
      <c r="Z34" s="463"/>
      <c r="AA34" s="463"/>
      <c r="AB34" s="463"/>
      <c r="AC34" s="463"/>
      <c r="AD34" s="464"/>
      <c r="AE34" s="465"/>
      <c r="AF34" s="463"/>
      <c r="AG34" s="463"/>
      <c r="AH34" s="463"/>
      <c r="AI34" s="463"/>
      <c r="AJ34" s="464"/>
      <c r="AK34" s="465"/>
      <c r="AL34" s="463"/>
      <c r="AM34" s="463"/>
      <c r="AN34" s="463"/>
      <c r="AO34" s="463"/>
      <c r="AP34" s="464"/>
      <c r="AQ34" s="465"/>
      <c r="AR34" s="463"/>
      <c r="AS34" s="463"/>
      <c r="AT34" s="463"/>
      <c r="AU34" s="463"/>
      <c r="AV34" s="464"/>
      <c r="AW34" s="465"/>
      <c r="AX34" s="463"/>
      <c r="AY34" s="463"/>
      <c r="AZ34" s="463"/>
      <c r="BA34" s="463"/>
      <c r="BB34" s="464"/>
      <c r="BC34" s="465"/>
      <c r="BD34" s="463"/>
      <c r="BE34" s="463"/>
      <c r="BF34" s="463"/>
      <c r="BG34" s="463"/>
      <c r="BH34" s="464"/>
      <c r="BI34" s="465"/>
      <c r="BJ34" s="463"/>
      <c r="BK34" s="463"/>
      <c r="BL34" s="463"/>
      <c r="BM34" s="463"/>
      <c r="BN34" s="464"/>
      <c r="BO34" s="465"/>
      <c r="BP34" s="463"/>
      <c r="BQ34" s="463"/>
      <c r="BR34" s="463"/>
      <c r="BS34" s="463"/>
      <c r="BT34" s="464"/>
      <c r="BU34" s="465"/>
      <c r="BV34" s="463"/>
      <c r="BW34" s="463"/>
      <c r="BX34" s="463"/>
      <c r="BY34" s="463"/>
      <c r="BZ34" s="464"/>
      <c r="CA34" s="465"/>
      <c r="CB34" s="463"/>
      <c r="CC34" s="463"/>
      <c r="CD34" s="463"/>
      <c r="CE34" s="463"/>
      <c r="CF34" s="464"/>
      <c r="CG34" s="465"/>
      <c r="CH34" s="463"/>
      <c r="CI34" s="463"/>
      <c r="CJ34" s="463"/>
      <c r="CK34" s="463"/>
      <c r="CL34" s="464"/>
      <c r="CM34" s="465"/>
      <c r="CN34" s="463"/>
      <c r="CO34" s="463"/>
      <c r="CP34" s="463"/>
      <c r="CQ34" s="463"/>
      <c r="CR34" s="464"/>
      <c r="CS34" s="465"/>
      <c r="CT34" s="463"/>
      <c r="CU34" s="463"/>
      <c r="CV34" s="463"/>
      <c r="CW34" s="463"/>
      <c r="CX34" s="464"/>
      <c r="CY34" s="465"/>
      <c r="CZ34" s="463"/>
      <c r="DA34" s="463"/>
      <c r="DB34" s="463"/>
      <c r="DC34" s="463"/>
      <c r="DD34" s="464"/>
      <c r="DE34" s="465"/>
      <c r="DF34" s="463"/>
      <c r="DG34" s="463"/>
      <c r="DH34" s="463"/>
      <c r="DI34" s="463"/>
      <c r="DJ34" s="464"/>
      <c r="DK34" s="465"/>
      <c r="DL34" s="463"/>
      <c r="DM34" s="463"/>
      <c r="DN34" s="463"/>
      <c r="DO34" s="463"/>
      <c r="DP34" s="464"/>
      <c r="DQ34" s="465"/>
      <c r="DR34" s="463"/>
      <c r="DS34" s="463"/>
      <c r="DT34" s="463"/>
      <c r="DU34" s="463"/>
      <c r="DV34" s="464"/>
      <c r="DW34" s="465"/>
      <c r="DX34" s="463"/>
      <c r="DY34" s="463"/>
      <c r="DZ34" s="463"/>
      <c r="EA34" s="463"/>
      <c r="EB34" s="464"/>
      <c r="EC34" s="465"/>
      <c r="ED34" s="463"/>
      <c r="EE34" s="463"/>
      <c r="EF34" s="463"/>
      <c r="EG34" s="463"/>
      <c r="EH34" s="464"/>
      <c r="EI34" s="465"/>
      <c r="EJ34" s="463"/>
      <c r="EK34" s="463"/>
      <c r="EL34" s="463"/>
      <c r="EM34" s="463"/>
      <c r="EN34" s="464"/>
      <c r="EO34" s="465"/>
      <c r="EP34" s="463"/>
      <c r="EQ34" s="463"/>
      <c r="ER34" s="463"/>
      <c r="ES34" s="463"/>
      <c r="ET34" s="464"/>
      <c r="EU34" s="465"/>
      <c r="EV34" s="463"/>
      <c r="EW34" s="463"/>
      <c r="EX34" s="463"/>
      <c r="EY34" s="463"/>
      <c r="EZ34" s="464"/>
      <c r="FA34" s="465"/>
      <c r="FB34" s="463"/>
      <c r="FC34" s="463"/>
      <c r="FD34" s="463"/>
      <c r="FE34" s="463"/>
      <c r="FF34" s="464"/>
      <c r="FG34" s="465"/>
      <c r="FH34" s="463"/>
      <c r="FI34" s="463"/>
      <c r="FJ34" s="463"/>
      <c r="FK34" s="463"/>
      <c r="FL34" s="464"/>
      <c r="FM34" s="465"/>
      <c r="FN34" s="463"/>
      <c r="FO34" s="463"/>
      <c r="FP34" s="463"/>
      <c r="FQ34" s="463"/>
      <c r="FR34" s="464"/>
      <c r="FS34" s="465"/>
      <c r="FT34" s="463"/>
      <c r="FU34" s="463"/>
      <c r="FV34" s="463"/>
      <c r="FW34" s="463"/>
      <c r="FX34" s="464"/>
      <c r="FY34" s="465"/>
      <c r="FZ34" s="463"/>
      <c r="GA34" s="463"/>
      <c r="GB34" s="463"/>
      <c r="GC34" s="463"/>
      <c r="GD34" s="464"/>
      <c r="GE34" s="465"/>
      <c r="GF34" s="463"/>
      <c r="GG34" s="463"/>
      <c r="GH34" s="463"/>
      <c r="GI34" s="463"/>
      <c r="GJ34" s="464"/>
      <c r="GK34" s="465"/>
      <c r="GL34" s="463"/>
      <c r="GM34" s="463"/>
      <c r="GN34" s="463"/>
      <c r="GO34" s="463"/>
      <c r="GP34" s="464"/>
      <c r="GQ34" s="465"/>
      <c r="GR34" s="463"/>
      <c r="GS34" s="463"/>
      <c r="GT34" s="463"/>
      <c r="GU34" s="463"/>
      <c r="GV34" s="464"/>
      <c r="GW34" s="465"/>
      <c r="GX34" s="463"/>
      <c r="GY34" s="463"/>
      <c r="GZ34" s="463"/>
      <c r="HA34" s="463"/>
      <c r="HB34" s="464"/>
      <c r="HC34" s="465"/>
      <c r="HD34" s="463"/>
      <c r="HE34" s="463"/>
      <c r="HF34" s="463"/>
      <c r="HG34" s="463"/>
      <c r="HH34" s="464"/>
      <c r="HI34" s="465"/>
      <c r="HJ34" s="463"/>
      <c r="HK34" s="463"/>
      <c r="HL34" s="463"/>
      <c r="HM34" s="463"/>
      <c r="HN34" s="464"/>
      <c r="HO34" s="465"/>
      <c r="HP34" s="463"/>
      <c r="HQ34" s="463"/>
      <c r="HR34" s="463"/>
      <c r="HS34" s="463"/>
      <c r="HT34" s="464"/>
      <c r="HU34" s="465"/>
      <c r="HV34" s="463"/>
      <c r="HW34" s="463"/>
      <c r="HX34" s="463"/>
      <c r="HY34" s="463"/>
      <c r="HZ34" s="464"/>
      <c r="IA34" s="465"/>
      <c r="IB34" s="463"/>
      <c r="IC34" s="463"/>
      <c r="ID34" s="463"/>
      <c r="IE34" s="463"/>
      <c r="IF34" s="464"/>
      <c r="IG34" s="465"/>
      <c r="IH34" s="463"/>
      <c r="II34" s="463"/>
      <c r="IJ34" s="463"/>
    </row>
    <row r="35" spans="2:244" ht="16.5" customHeight="1" x14ac:dyDescent="0.3">
      <c r="B35" s="1267"/>
      <c r="C35" s="1269"/>
      <c r="D35" s="679">
        <v>2</v>
      </c>
      <c r="E35" s="680" t="s">
        <v>352</v>
      </c>
      <c r="F35" s="681">
        <v>1.954</v>
      </c>
      <c r="G35" s="679">
        <v>4</v>
      </c>
      <c r="H35" s="680" t="s">
        <v>352</v>
      </c>
      <c r="I35" s="681">
        <v>9.3569999999999993</v>
      </c>
      <c r="J35" s="682">
        <f t="shared" si="0"/>
        <v>47.4</v>
      </c>
      <c r="K35" s="682">
        <v>0</v>
      </c>
      <c r="L35" s="684">
        <f t="shared" si="1"/>
        <v>0</v>
      </c>
      <c r="M35" s="682">
        <v>3.5</v>
      </c>
      <c r="N35" s="684">
        <f t="shared" si="2"/>
        <v>165.9</v>
      </c>
      <c r="O35" s="684">
        <f t="shared" si="3"/>
        <v>165.9</v>
      </c>
      <c r="P35" s="463"/>
      <c r="T35" s="463"/>
      <c r="U35" s="463"/>
      <c r="V35" s="463"/>
      <c r="W35" s="463"/>
      <c r="X35" s="464"/>
      <c r="Y35" s="465"/>
      <c r="Z35" s="463"/>
      <c r="AA35" s="463"/>
      <c r="AB35" s="463"/>
      <c r="AC35" s="463"/>
      <c r="AD35" s="464"/>
      <c r="AE35" s="465"/>
      <c r="AF35" s="463"/>
      <c r="AG35" s="463"/>
      <c r="AH35" s="463"/>
      <c r="AI35" s="463"/>
      <c r="AJ35" s="464"/>
      <c r="AK35" s="465"/>
      <c r="AL35" s="463"/>
      <c r="AM35" s="463"/>
      <c r="AN35" s="463"/>
      <c r="AO35" s="463"/>
      <c r="AP35" s="464"/>
      <c r="AQ35" s="465"/>
      <c r="AR35" s="463"/>
      <c r="AS35" s="463"/>
      <c r="AT35" s="463"/>
      <c r="AU35" s="463"/>
      <c r="AV35" s="464"/>
      <c r="AW35" s="465"/>
      <c r="AX35" s="463"/>
      <c r="AY35" s="463"/>
      <c r="AZ35" s="463"/>
      <c r="BA35" s="463"/>
      <c r="BB35" s="464"/>
      <c r="BC35" s="465"/>
      <c r="BD35" s="463"/>
      <c r="BE35" s="463"/>
      <c r="BF35" s="463"/>
      <c r="BG35" s="463"/>
      <c r="BH35" s="464"/>
      <c r="BI35" s="465"/>
      <c r="BJ35" s="463"/>
      <c r="BK35" s="463"/>
      <c r="BL35" s="463"/>
      <c r="BM35" s="463"/>
      <c r="BN35" s="464"/>
      <c r="BO35" s="465"/>
      <c r="BP35" s="463"/>
      <c r="BQ35" s="463"/>
      <c r="BR35" s="463"/>
      <c r="BS35" s="463"/>
      <c r="BT35" s="464"/>
      <c r="BU35" s="465"/>
      <c r="BV35" s="463"/>
      <c r="BW35" s="463"/>
      <c r="BX35" s="463"/>
      <c r="BY35" s="463"/>
      <c r="BZ35" s="464"/>
      <c r="CA35" s="465"/>
      <c r="CB35" s="463"/>
      <c r="CC35" s="463"/>
      <c r="CD35" s="463"/>
      <c r="CE35" s="463"/>
      <c r="CF35" s="464"/>
      <c r="CG35" s="465"/>
      <c r="CH35" s="463"/>
      <c r="CI35" s="463"/>
      <c r="CJ35" s="463"/>
      <c r="CK35" s="463"/>
      <c r="CL35" s="464"/>
      <c r="CM35" s="465"/>
      <c r="CN35" s="463"/>
      <c r="CO35" s="463"/>
      <c r="CP35" s="463"/>
      <c r="CQ35" s="463"/>
      <c r="CR35" s="464"/>
      <c r="CS35" s="465"/>
      <c r="CT35" s="463"/>
      <c r="CU35" s="463"/>
      <c r="CV35" s="463"/>
      <c r="CW35" s="463"/>
      <c r="CX35" s="464"/>
      <c r="CY35" s="465"/>
      <c r="CZ35" s="463"/>
      <c r="DA35" s="463"/>
      <c r="DB35" s="463"/>
      <c r="DC35" s="463"/>
      <c r="DD35" s="464"/>
      <c r="DE35" s="465"/>
      <c r="DF35" s="463"/>
      <c r="DG35" s="463"/>
      <c r="DH35" s="463"/>
      <c r="DI35" s="463"/>
      <c r="DJ35" s="464"/>
      <c r="DK35" s="465"/>
      <c r="DL35" s="463"/>
      <c r="DM35" s="463"/>
      <c r="DN35" s="463"/>
      <c r="DO35" s="463"/>
      <c r="DP35" s="464"/>
      <c r="DQ35" s="465"/>
      <c r="DR35" s="463"/>
      <c r="DS35" s="463"/>
      <c r="DT35" s="463"/>
      <c r="DU35" s="463"/>
      <c r="DV35" s="464"/>
      <c r="DW35" s="465"/>
      <c r="DX35" s="463"/>
      <c r="DY35" s="463"/>
      <c r="DZ35" s="463"/>
      <c r="EA35" s="463"/>
      <c r="EB35" s="464"/>
      <c r="EC35" s="465"/>
      <c r="ED35" s="463"/>
      <c r="EE35" s="463"/>
      <c r="EF35" s="463"/>
      <c r="EG35" s="463"/>
      <c r="EH35" s="464"/>
      <c r="EI35" s="465"/>
      <c r="EJ35" s="463"/>
      <c r="EK35" s="463"/>
      <c r="EL35" s="463"/>
      <c r="EM35" s="463"/>
      <c r="EN35" s="464"/>
      <c r="EO35" s="465"/>
      <c r="EP35" s="463"/>
      <c r="EQ35" s="463"/>
      <c r="ER35" s="463"/>
      <c r="ES35" s="463"/>
      <c r="ET35" s="464"/>
      <c r="EU35" s="465"/>
      <c r="EV35" s="463"/>
      <c r="EW35" s="463"/>
      <c r="EX35" s="463"/>
      <c r="EY35" s="463"/>
      <c r="EZ35" s="464"/>
      <c r="FA35" s="465"/>
      <c r="FB35" s="463"/>
      <c r="FC35" s="463"/>
      <c r="FD35" s="463"/>
      <c r="FE35" s="463"/>
      <c r="FF35" s="464"/>
      <c r="FG35" s="465"/>
      <c r="FH35" s="463"/>
      <c r="FI35" s="463"/>
      <c r="FJ35" s="463"/>
      <c r="FK35" s="463"/>
      <c r="FL35" s="464"/>
      <c r="FM35" s="465"/>
      <c r="FN35" s="463"/>
      <c r="FO35" s="463"/>
      <c r="FP35" s="463"/>
      <c r="FQ35" s="463"/>
      <c r="FR35" s="464"/>
      <c r="FS35" s="465"/>
      <c r="FT35" s="463"/>
      <c r="FU35" s="463"/>
      <c r="FV35" s="463"/>
      <c r="FW35" s="463"/>
      <c r="FX35" s="464"/>
      <c r="FY35" s="465"/>
      <c r="FZ35" s="463"/>
      <c r="GA35" s="463"/>
      <c r="GB35" s="463"/>
      <c r="GC35" s="463"/>
      <c r="GD35" s="464"/>
      <c r="GE35" s="465"/>
      <c r="GF35" s="463"/>
      <c r="GG35" s="463"/>
      <c r="GH35" s="463"/>
      <c r="GI35" s="463"/>
      <c r="GJ35" s="464"/>
      <c r="GK35" s="465"/>
      <c r="GL35" s="463"/>
      <c r="GM35" s="463"/>
      <c r="GN35" s="463"/>
      <c r="GO35" s="463"/>
      <c r="GP35" s="464"/>
      <c r="GQ35" s="465"/>
      <c r="GR35" s="463"/>
      <c r="GS35" s="463"/>
      <c r="GT35" s="463"/>
      <c r="GU35" s="463"/>
      <c r="GV35" s="464"/>
      <c r="GW35" s="465"/>
      <c r="GX35" s="463"/>
      <c r="GY35" s="463"/>
      <c r="GZ35" s="463"/>
      <c r="HA35" s="463"/>
      <c r="HB35" s="464"/>
      <c r="HC35" s="465"/>
      <c r="HD35" s="463"/>
      <c r="HE35" s="463"/>
      <c r="HF35" s="463"/>
      <c r="HG35" s="463"/>
      <c r="HH35" s="464"/>
      <c r="HI35" s="465"/>
      <c r="HJ35" s="463"/>
      <c r="HK35" s="463"/>
      <c r="HL35" s="463"/>
      <c r="HM35" s="463"/>
      <c r="HN35" s="464"/>
      <c r="HO35" s="465"/>
      <c r="HP35" s="463"/>
      <c r="HQ35" s="463"/>
      <c r="HR35" s="463"/>
      <c r="HS35" s="463"/>
      <c r="HT35" s="464"/>
      <c r="HU35" s="465"/>
      <c r="HV35" s="463"/>
      <c r="HW35" s="463"/>
      <c r="HX35" s="463"/>
      <c r="HY35" s="463"/>
      <c r="HZ35" s="464"/>
      <c r="IA35" s="465"/>
      <c r="IB35" s="463"/>
      <c r="IC35" s="463"/>
      <c r="ID35" s="463"/>
      <c r="IE35" s="463"/>
      <c r="IF35" s="464"/>
      <c r="IG35" s="465"/>
      <c r="IH35" s="463"/>
      <c r="II35" s="463"/>
      <c r="IJ35" s="463"/>
    </row>
    <row r="36" spans="2:244" ht="15" x14ac:dyDescent="0.25">
      <c r="B36" s="457">
        <v>16</v>
      </c>
      <c r="C36" s="704" t="str">
        <f>RUAS!B26</f>
        <v>RUA COLORADO - T1</v>
      </c>
      <c r="D36" s="679">
        <v>2</v>
      </c>
      <c r="E36" s="680" t="s">
        <v>352</v>
      </c>
      <c r="F36" s="681">
        <v>2.702</v>
      </c>
      <c r="G36" s="679">
        <v>4</v>
      </c>
      <c r="H36" s="680" t="s">
        <v>352</v>
      </c>
      <c r="I36" s="681">
        <v>9.0090000000000003</v>
      </c>
      <c r="J36" s="682">
        <f t="shared" si="0"/>
        <v>46.3</v>
      </c>
      <c r="K36" s="682">
        <v>4.5</v>
      </c>
      <c r="L36" s="684">
        <f t="shared" si="1"/>
        <v>208.35</v>
      </c>
      <c r="M36" s="682">
        <v>0</v>
      </c>
      <c r="N36" s="684">
        <f t="shared" si="2"/>
        <v>0</v>
      </c>
      <c r="O36" s="684">
        <f t="shared" si="3"/>
        <v>208.35</v>
      </c>
      <c r="P36" s="463"/>
      <c r="T36" s="463"/>
      <c r="U36" s="463"/>
      <c r="V36" s="463"/>
      <c r="W36" s="463"/>
      <c r="X36" s="464"/>
      <c r="Y36" s="465"/>
      <c r="Z36" s="463"/>
      <c r="AA36" s="463"/>
      <c r="AB36" s="463"/>
      <c r="AC36" s="463"/>
      <c r="AD36" s="464"/>
      <c r="AE36" s="465"/>
      <c r="AF36" s="463"/>
      <c r="AG36" s="463"/>
      <c r="AH36" s="463"/>
      <c r="AI36" s="463"/>
      <c r="AJ36" s="464"/>
      <c r="AK36" s="465"/>
      <c r="AL36" s="463"/>
      <c r="AM36" s="463"/>
      <c r="AN36" s="463"/>
      <c r="AO36" s="463"/>
      <c r="AP36" s="464"/>
      <c r="AQ36" s="465"/>
      <c r="AR36" s="463"/>
      <c r="AS36" s="463"/>
      <c r="AT36" s="463"/>
      <c r="AU36" s="463"/>
      <c r="AV36" s="464"/>
      <c r="AW36" s="465"/>
      <c r="AX36" s="463"/>
      <c r="AY36" s="463"/>
      <c r="AZ36" s="463"/>
      <c r="BA36" s="463"/>
      <c r="BB36" s="464"/>
      <c r="BC36" s="465"/>
      <c r="BD36" s="463"/>
      <c r="BE36" s="463"/>
      <c r="BF36" s="463"/>
      <c r="BG36" s="463"/>
      <c r="BH36" s="464"/>
      <c r="BI36" s="465"/>
      <c r="BJ36" s="463"/>
      <c r="BK36" s="463"/>
      <c r="BL36" s="463"/>
      <c r="BM36" s="463"/>
      <c r="BN36" s="464"/>
      <c r="BO36" s="465"/>
      <c r="BP36" s="463"/>
      <c r="BQ36" s="463"/>
      <c r="BR36" s="463"/>
      <c r="BS36" s="463"/>
      <c r="BT36" s="464"/>
      <c r="BU36" s="465"/>
      <c r="BV36" s="463"/>
      <c r="BW36" s="463"/>
      <c r="BX36" s="463"/>
      <c r="BY36" s="463"/>
      <c r="BZ36" s="464"/>
      <c r="CA36" s="465"/>
      <c r="CB36" s="463"/>
      <c r="CC36" s="463"/>
      <c r="CD36" s="463"/>
      <c r="CE36" s="463"/>
      <c r="CF36" s="464"/>
      <c r="CG36" s="465"/>
      <c r="CH36" s="463"/>
      <c r="CI36" s="463"/>
      <c r="CJ36" s="463"/>
      <c r="CK36" s="463"/>
      <c r="CL36" s="464"/>
      <c r="CM36" s="465"/>
      <c r="CN36" s="463"/>
      <c r="CO36" s="463"/>
      <c r="CP36" s="463"/>
      <c r="CQ36" s="463"/>
      <c r="CR36" s="464"/>
      <c r="CS36" s="465"/>
      <c r="CT36" s="463"/>
      <c r="CU36" s="463"/>
      <c r="CV36" s="463"/>
      <c r="CW36" s="463"/>
      <c r="CX36" s="464"/>
      <c r="CY36" s="465"/>
      <c r="CZ36" s="463"/>
      <c r="DA36" s="463"/>
      <c r="DB36" s="463"/>
      <c r="DC36" s="463"/>
      <c r="DD36" s="464"/>
      <c r="DE36" s="465"/>
      <c r="DF36" s="463"/>
      <c r="DG36" s="463"/>
      <c r="DH36" s="463"/>
      <c r="DI36" s="463"/>
      <c r="DJ36" s="464"/>
      <c r="DK36" s="465"/>
      <c r="DL36" s="463"/>
      <c r="DM36" s="463"/>
      <c r="DN36" s="463"/>
      <c r="DO36" s="463"/>
      <c r="DP36" s="464"/>
      <c r="DQ36" s="465"/>
      <c r="DR36" s="463"/>
      <c r="DS36" s="463"/>
      <c r="DT36" s="463"/>
      <c r="DU36" s="463"/>
      <c r="DV36" s="464"/>
      <c r="DW36" s="465"/>
      <c r="DX36" s="463"/>
      <c r="DY36" s="463"/>
      <c r="DZ36" s="463"/>
      <c r="EA36" s="463"/>
      <c r="EB36" s="464"/>
      <c r="EC36" s="465"/>
      <c r="ED36" s="463"/>
      <c r="EE36" s="463"/>
      <c r="EF36" s="463"/>
      <c r="EG36" s="463"/>
      <c r="EH36" s="464"/>
      <c r="EI36" s="465"/>
      <c r="EJ36" s="463"/>
      <c r="EK36" s="463"/>
      <c r="EL36" s="463"/>
      <c r="EM36" s="463"/>
      <c r="EN36" s="464"/>
      <c r="EO36" s="465"/>
      <c r="EP36" s="463"/>
      <c r="EQ36" s="463"/>
      <c r="ER36" s="463"/>
      <c r="ES36" s="463"/>
      <c r="ET36" s="464"/>
      <c r="EU36" s="465"/>
      <c r="EV36" s="463"/>
      <c r="EW36" s="463"/>
      <c r="EX36" s="463"/>
      <c r="EY36" s="463"/>
      <c r="EZ36" s="464"/>
      <c r="FA36" s="465"/>
      <c r="FB36" s="463"/>
      <c r="FC36" s="463"/>
      <c r="FD36" s="463"/>
      <c r="FE36" s="463"/>
      <c r="FF36" s="464"/>
      <c r="FG36" s="465"/>
      <c r="FH36" s="463"/>
      <c r="FI36" s="463"/>
      <c r="FJ36" s="463"/>
      <c r="FK36" s="463"/>
      <c r="FL36" s="464"/>
      <c r="FM36" s="465"/>
      <c r="FN36" s="463"/>
      <c r="FO36" s="463"/>
      <c r="FP36" s="463"/>
      <c r="FQ36" s="463"/>
      <c r="FR36" s="464"/>
      <c r="FS36" s="465"/>
      <c r="FT36" s="463"/>
      <c r="FU36" s="463"/>
      <c r="FV36" s="463"/>
      <c r="FW36" s="463"/>
      <c r="FX36" s="464"/>
      <c r="FY36" s="465"/>
      <c r="FZ36" s="463"/>
      <c r="GA36" s="463"/>
      <c r="GB36" s="463"/>
      <c r="GC36" s="463"/>
      <c r="GD36" s="464"/>
      <c r="GE36" s="465"/>
      <c r="GF36" s="463"/>
      <c r="GG36" s="463"/>
      <c r="GH36" s="463"/>
      <c r="GI36" s="463"/>
      <c r="GJ36" s="464"/>
      <c r="GK36" s="465"/>
      <c r="GL36" s="463"/>
      <c r="GM36" s="463"/>
      <c r="GN36" s="463"/>
      <c r="GO36" s="463"/>
      <c r="GP36" s="464"/>
      <c r="GQ36" s="465"/>
      <c r="GR36" s="463"/>
      <c r="GS36" s="463"/>
      <c r="GT36" s="463"/>
      <c r="GU36" s="463"/>
      <c r="GV36" s="464"/>
      <c r="GW36" s="465"/>
      <c r="GX36" s="463"/>
      <c r="GY36" s="463"/>
      <c r="GZ36" s="463"/>
      <c r="HA36" s="463"/>
      <c r="HB36" s="464"/>
      <c r="HC36" s="465"/>
      <c r="HD36" s="463"/>
      <c r="HE36" s="463"/>
      <c r="HF36" s="463"/>
      <c r="HG36" s="463"/>
      <c r="HH36" s="464"/>
      <c r="HI36" s="465"/>
      <c r="HJ36" s="463"/>
      <c r="HK36" s="463"/>
      <c r="HL36" s="463"/>
      <c r="HM36" s="463"/>
      <c r="HN36" s="464"/>
      <c r="HO36" s="465"/>
      <c r="HP36" s="463"/>
      <c r="HQ36" s="463"/>
      <c r="HR36" s="463"/>
      <c r="HS36" s="463"/>
      <c r="HT36" s="464"/>
      <c r="HU36" s="465"/>
      <c r="HV36" s="463"/>
      <c r="HW36" s="463"/>
      <c r="HX36" s="463"/>
      <c r="HY36" s="463"/>
      <c r="HZ36" s="464"/>
      <c r="IA36" s="465"/>
      <c r="IB36" s="463"/>
      <c r="IC36" s="463"/>
      <c r="ID36" s="463"/>
      <c r="IE36" s="463"/>
      <c r="IF36" s="464"/>
      <c r="IG36" s="465"/>
      <c r="IH36" s="463"/>
      <c r="II36" s="463"/>
      <c r="IJ36" s="463"/>
    </row>
    <row r="37" spans="2:244" ht="16.5" customHeight="1" x14ac:dyDescent="0.3">
      <c r="B37" s="1266">
        <v>17</v>
      </c>
      <c r="C37" s="1268" t="str">
        <f>RUAS!B27</f>
        <v>RUA COLORADO - T2</v>
      </c>
      <c r="D37" s="679">
        <v>0</v>
      </c>
      <c r="E37" s="680" t="s">
        <v>352</v>
      </c>
      <c r="F37" s="681">
        <v>0</v>
      </c>
      <c r="G37" s="679">
        <v>4</v>
      </c>
      <c r="H37" s="680" t="s">
        <v>352</v>
      </c>
      <c r="I37" s="681">
        <v>2.8250000000000002</v>
      </c>
      <c r="J37" s="682">
        <f t="shared" si="0"/>
        <v>82.82</v>
      </c>
      <c r="K37" s="682">
        <v>4</v>
      </c>
      <c r="L37" s="684">
        <f t="shared" si="1"/>
        <v>331.28</v>
      </c>
      <c r="M37" s="682">
        <v>0</v>
      </c>
      <c r="N37" s="684">
        <f t="shared" si="2"/>
        <v>0</v>
      </c>
      <c r="O37" s="684">
        <f t="shared" si="3"/>
        <v>331.28</v>
      </c>
      <c r="P37" s="463"/>
      <c r="T37" s="463"/>
      <c r="U37" s="463"/>
      <c r="V37" s="463"/>
      <c r="W37" s="463"/>
      <c r="X37" s="464"/>
      <c r="Y37" s="465"/>
      <c r="Z37" s="463"/>
      <c r="AA37" s="463"/>
      <c r="AB37" s="463"/>
      <c r="AC37" s="463"/>
      <c r="AD37" s="464"/>
      <c r="AE37" s="465"/>
      <c r="AF37" s="463"/>
      <c r="AG37" s="463"/>
      <c r="AH37" s="463"/>
      <c r="AI37" s="463"/>
      <c r="AJ37" s="464"/>
      <c r="AK37" s="465"/>
      <c r="AL37" s="463"/>
      <c r="AM37" s="463"/>
      <c r="AN37" s="463"/>
      <c r="AO37" s="463"/>
      <c r="AP37" s="464"/>
      <c r="AQ37" s="465"/>
      <c r="AR37" s="463"/>
      <c r="AS37" s="463"/>
      <c r="AT37" s="463"/>
      <c r="AU37" s="463"/>
      <c r="AV37" s="464"/>
      <c r="AW37" s="465"/>
      <c r="AX37" s="463"/>
      <c r="AY37" s="463"/>
      <c r="AZ37" s="463"/>
      <c r="BA37" s="463"/>
      <c r="BB37" s="464"/>
      <c r="BC37" s="465"/>
      <c r="BD37" s="463"/>
      <c r="BE37" s="463"/>
      <c r="BF37" s="463"/>
      <c r="BG37" s="463"/>
      <c r="BH37" s="464"/>
      <c r="BI37" s="465"/>
      <c r="BJ37" s="463"/>
      <c r="BK37" s="463"/>
      <c r="BL37" s="463"/>
      <c r="BM37" s="463"/>
      <c r="BN37" s="464"/>
      <c r="BO37" s="465"/>
      <c r="BP37" s="463"/>
      <c r="BQ37" s="463"/>
      <c r="BR37" s="463"/>
      <c r="BS37" s="463"/>
      <c r="BT37" s="464"/>
      <c r="BU37" s="465"/>
      <c r="BV37" s="463"/>
      <c r="BW37" s="463"/>
      <c r="BX37" s="463"/>
      <c r="BY37" s="463"/>
      <c r="BZ37" s="464"/>
      <c r="CA37" s="465"/>
      <c r="CB37" s="463"/>
      <c r="CC37" s="463"/>
      <c r="CD37" s="463"/>
      <c r="CE37" s="463"/>
      <c r="CF37" s="464"/>
      <c r="CG37" s="465"/>
      <c r="CH37" s="463"/>
      <c r="CI37" s="463"/>
      <c r="CJ37" s="463"/>
      <c r="CK37" s="463"/>
      <c r="CL37" s="464"/>
      <c r="CM37" s="465"/>
      <c r="CN37" s="463"/>
      <c r="CO37" s="463"/>
      <c r="CP37" s="463"/>
      <c r="CQ37" s="463"/>
      <c r="CR37" s="464"/>
      <c r="CS37" s="465"/>
      <c r="CT37" s="463"/>
      <c r="CU37" s="463"/>
      <c r="CV37" s="463"/>
      <c r="CW37" s="463"/>
      <c r="CX37" s="464"/>
      <c r="CY37" s="465"/>
      <c r="CZ37" s="463"/>
      <c r="DA37" s="463"/>
      <c r="DB37" s="463"/>
      <c r="DC37" s="463"/>
      <c r="DD37" s="464"/>
      <c r="DE37" s="465"/>
      <c r="DF37" s="463"/>
      <c r="DG37" s="463"/>
      <c r="DH37" s="463"/>
      <c r="DI37" s="463"/>
      <c r="DJ37" s="464"/>
      <c r="DK37" s="465"/>
      <c r="DL37" s="463"/>
      <c r="DM37" s="463"/>
      <c r="DN37" s="463"/>
      <c r="DO37" s="463"/>
      <c r="DP37" s="464"/>
      <c r="DQ37" s="465"/>
      <c r="DR37" s="463"/>
      <c r="DS37" s="463"/>
      <c r="DT37" s="463"/>
      <c r="DU37" s="463"/>
      <c r="DV37" s="464"/>
      <c r="DW37" s="465"/>
      <c r="DX37" s="463"/>
      <c r="DY37" s="463"/>
      <c r="DZ37" s="463"/>
      <c r="EA37" s="463"/>
      <c r="EB37" s="464"/>
      <c r="EC37" s="465"/>
      <c r="ED37" s="463"/>
      <c r="EE37" s="463"/>
      <c r="EF37" s="463"/>
      <c r="EG37" s="463"/>
      <c r="EH37" s="464"/>
      <c r="EI37" s="465"/>
      <c r="EJ37" s="463"/>
      <c r="EK37" s="463"/>
      <c r="EL37" s="463"/>
      <c r="EM37" s="463"/>
      <c r="EN37" s="464"/>
      <c r="EO37" s="465"/>
      <c r="EP37" s="463"/>
      <c r="EQ37" s="463"/>
      <c r="ER37" s="463"/>
      <c r="ES37" s="463"/>
      <c r="ET37" s="464"/>
      <c r="EU37" s="465"/>
      <c r="EV37" s="463"/>
      <c r="EW37" s="463"/>
      <c r="EX37" s="463"/>
      <c r="EY37" s="463"/>
      <c r="EZ37" s="464"/>
      <c r="FA37" s="465"/>
      <c r="FB37" s="463"/>
      <c r="FC37" s="463"/>
      <c r="FD37" s="463"/>
      <c r="FE37" s="463"/>
      <c r="FF37" s="464"/>
      <c r="FG37" s="465"/>
      <c r="FH37" s="463"/>
      <c r="FI37" s="463"/>
      <c r="FJ37" s="463"/>
      <c r="FK37" s="463"/>
      <c r="FL37" s="464"/>
      <c r="FM37" s="465"/>
      <c r="FN37" s="463"/>
      <c r="FO37" s="463"/>
      <c r="FP37" s="463"/>
      <c r="FQ37" s="463"/>
      <c r="FR37" s="464"/>
      <c r="FS37" s="465"/>
      <c r="FT37" s="463"/>
      <c r="FU37" s="463"/>
      <c r="FV37" s="463"/>
      <c r="FW37" s="463"/>
      <c r="FX37" s="464"/>
      <c r="FY37" s="465"/>
      <c r="FZ37" s="463"/>
      <c r="GA37" s="463"/>
      <c r="GB37" s="463"/>
      <c r="GC37" s="463"/>
      <c r="GD37" s="464"/>
      <c r="GE37" s="465"/>
      <c r="GF37" s="463"/>
      <c r="GG37" s="463"/>
      <c r="GH37" s="463"/>
      <c r="GI37" s="463"/>
      <c r="GJ37" s="464"/>
      <c r="GK37" s="465"/>
      <c r="GL37" s="463"/>
      <c r="GM37" s="463"/>
      <c r="GN37" s="463"/>
      <c r="GO37" s="463"/>
      <c r="GP37" s="464"/>
      <c r="GQ37" s="465"/>
      <c r="GR37" s="463"/>
      <c r="GS37" s="463"/>
      <c r="GT37" s="463"/>
      <c r="GU37" s="463"/>
      <c r="GV37" s="464"/>
      <c r="GW37" s="465"/>
      <c r="GX37" s="463"/>
      <c r="GY37" s="463"/>
      <c r="GZ37" s="463"/>
      <c r="HA37" s="463"/>
      <c r="HB37" s="464"/>
      <c r="HC37" s="465"/>
      <c r="HD37" s="463"/>
      <c r="HE37" s="463"/>
      <c r="HF37" s="463"/>
      <c r="HG37" s="463"/>
      <c r="HH37" s="464"/>
      <c r="HI37" s="465"/>
      <c r="HJ37" s="463"/>
      <c r="HK37" s="463"/>
      <c r="HL37" s="463"/>
      <c r="HM37" s="463"/>
      <c r="HN37" s="464"/>
      <c r="HO37" s="465"/>
      <c r="HP37" s="463"/>
      <c r="HQ37" s="463"/>
      <c r="HR37" s="463"/>
      <c r="HS37" s="463"/>
      <c r="HT37" s="464"/>
      <c r="HU37" s="465"/>
      <c r="HV37" s="463"/>
      <c r="HW37" s="463"/>
      <c r="HX37" s="463"/>
      <c r="HY37" s="463"/>
      <c r="HZ37" s="464"/>
      <c r="IA37" s="465"/>
      <c r="IB37" s="463"/>
      <c r="IC37" s="463"/>
      <c r="ID37" s="463"/>
      <c r="IE37" s="463"/>
      <c r="IF37" s="464"/>
      <c r="IG37" s="465"/>
      <c r="IH37" s="463"/>
      <c r="II37" s="463"/>
      <c r="IJ37" s="463"/>
    </row>
    <row r="38" spans="2:244" ht="16.5" customHeight="1" x14ac:dyDescent="0.3">
      <c r="B38" s="1267"/>
      <c r="C38" s="1269"/>
      <c r="D38" s="679">
        <v>2</v>
      </c>
      <c r="E38" s="680" t="s">
        <v>352</v>
      </c>
      <c r="F38" s="681">
        <v>0</v>
      </c>
      <c r="G38" s="679">
        <v>2</v>
      </c>
      <c r="H38" s="680" t="s">
        <v>352</v>
      </c>
      <c r="I38" s="681">
        <v>11.064</v>
      </c>
      <c r="J38" s="682">
        <f t="shared" si="0"/>
        <v>11.06</v>
      </c>
      <c r="K38" s="682">
        <v>0</v>
      </c>
      <c r="L38" s="684">
        <f t="shared" si="1"/>
        <v>0</v>
      </c>
      <c r="M38" s="682">
        <v>3</v>
      </c>
      <c r="N38" s="684">
        <f t="shared" si="2"/>
        <v>33.18</v>
      </c>
      <c r="O38" s="684">
        <f t="shared" si="3"/>
        <v>33.18</v>
      </c>
      <c r="P38" s="463"/>
      <c r="T38" s="463"/>
      <c r="U38" s="463"/>
      <c r="V38" s="463"/>
      <c r="W38" s="463"/>
      <c r="X38" s="464"/>
      <c r="Y38" s="465"/>
      <c r="Z38" s="463"/>
      <c r="AA38" s="463"/>
      <c r="AB38" s="463"/>
      <c r="AC38" s="463"/>
      <c r="AD38" s="464"/>
      <c r="AE38" s="465"/>
      <c r="AF38" s="463"/>
      <c r="AG38" s="463"/>
      <c r="AH38" s="463"/>
      <c r="AI38" s="463"/>
      <c r="AJ38" s="464"/>
      <c r="AK38" s="465"/>
      <c r="AL38" s="463"/>
      <c r="AM38" s="463"/>
      <c r="AN38" s="463"/>
      <c r="AO38" s="463"/>
      <c r="AP38" s="464"/>
      <c r="AQ38" s="465"/>
      <c r="AR38" s="463"/>
      <c r="AS38" s="463"/>
      <c r="AT38" s="463"/>
      <c r="AU38" s="463"/>
      <c r="AV38" s="464"/>
      <c r="AW38" s="465"/>
      <c r="AX38" s="463"/>
      <c r="AY38" s="463"/>
      <c r="AZ38" s="463"/>
      <c r="BA38" s="463"/>
      <c r="BB38" s="464"/>
      <c r="BC38" s="465"/>
      <c r="BD38" s="463"/>
      <c r="BE38" s="463"/>
      <c r="BF38" s="463"/>
      <c r="BG38" s="463"/>
      <c r="BH38" s="464"/>
      <c r="BI38" s="465"/>
      <c r="BJ38" s="463"/>
      <c r="BK38" s="463"/>
      <c r="BL38" s="463"/>
      <c r="BM38" s="463"/>
      <c r="BN38" s="464"/>
      <c r="BO38" s="465"/>
      <c r="BP38" s="463"/>
      <c r="BQ38" s="463"/>
      <c r="BR38" s="463"/>
      <c r="BS38" s="463"/>
      <c r="BT38" s="464"/>
      <c r="BU38" s="465"/>
      <c r="BV38" s="463"/>
      <c r="BW38" s="463"/>
      <c r="BX38" s="463"/>
      <c r="BY38" s="463"/>
      <c r="BZ38" s="464"/>
      <c r="CA38" s="465"/>
      <c r="CB38" s="463"/>
      <c r="CC38" s="463"/>
      <c r="CD38" s="463"/>
      <c r="CE38" s="463"/>
      <c r="CF38" s="464"/>
      <c r="CG38" s="465"/>
      <c r="CH38" s="463"/>
      <c r="CI38" s="463"/>
      <c r="CJ38" s="463"/>
      <c r="CK38" s="463"/>
      <c r="CL38" s="464"/>
      <c r="CM38" s="465"/>
      <c r="CN38" s="463"/>
      <c r="CO38" s="463"/>
      <c r="CP38" s="463"/>
      <c r="CQ38" s="463"/>
      <c r="CR38" s="464"/>
      <c r="CS38" s="465"/>
      <c r="CT38" s="463"/>
      <c r="CU38" s="463"/>
      <c r="CV38" s="463"/>
      <c r="CW38" s="463"/>
      <c r="CX38" s="464"/>
      <c r="CY38" s="465"/>
      <c r="CZ38" s="463"/>
      <c r="DA38" s="463"/>
      <c r="DB38" s="463"/>
      <c r="DC38" s="463"/>
      <c r="DD38" s="464"/>
      <c r="DE38" s="465"/>
      <c r="DF38" s="463"/>
      <c r="DG38" s="463"/>
      <c r="DH38" s="463"/>
      <c r="DI38" s="463"/>
      <c r="DJ38" s="464"/>
      <c r="DK38" s="465"/>
      <c r="DL38" s="463"/>
      <c r="DM38" s="463"/>
      <c r="DN38" s="463"/>
      <c r="DO38" s="463"/>
      <c r="DP38" s="464"/>
      <c r="DQ38" s="465"/>
      <c r="DR38" s="463"/>
      <c r="DS38" s="463"/>
      <c r="DT38" s="463"/>
      <c r="DU38" s="463"/>
      <c r="DV38" s="464"/>
      <c r="DW38" s="465"/>
      <c r="DX38" s="463"/>
      <c r="DY38" s="463"/>
      <c r="DZ38" s="463"/>
      <c r="EA38" s="463"/>
      <c r="EB38" s="464"/>
      <c r="EC38" s="465"/>
      <c r="ED38" s="463"/>
      <c r="EE38" s="463"/>
      <c r="EF38" s="463"/>
      <c r="EG38" s="463"/>
      <c r="EH38" s="464"/>
      <c r="EI38" s="465"/>
      <c r="EJ38" s="463"/>
      <c r="EK38" s="463"/>
      <c r="EL38" s="463"/>
      <c r="EM38" s="463"/>
      <c r="EN38" s="464"/>
      <c r="EO38" s="465"/>
      <c r="EP38" s="463"/>
      <c r="EQ38" s="463"/>
      <c r="ER38" s="463"/>
      <c r="ES38" s="463"/>
      <c r="ET38" s="464"/>
      <c r="EU38" s="465"/>
      <c r="EV38" s="463"/>
      <c r="EW38" s="463"/>
      <c r="EX38" s="463"/>
      <c r="EY38" s="463"/>
      <c r="EZ38" s="464"/>
      <c r="FA38" s="465"/>
      <c r="FB38" s="463"/>
      <c r="FC38" s="463"/>
      <c r="FD38" s="463"/>
      <c r="FE38" s="463"/>
      <c r="FF38" s="464"/>
      <c r="FG38" s="465"/>
      <c r="FH38" s="463"/>
      <c r="FI38" s="463"/>
      <c r="FJ38" s="463"/>
      <c r="FK38" s="463"/>
      <c r="FL38" s="464"/>
      <c r="FM38" s="465"/>
      <c r="FN38" s="463"/>
      <c r="FO38" s="463"/>
      <c r="FP38" s="463"/>
      <c r="FQ38" s="463"/>
      <c r="FR38" s="464"/>
      <c r="FS38" s="465"/>
      <c r="FT38" s="463"/>
      <c r="FU38" s="463"/>
      <c r="FV38" s="463"/>
      <c r="FW38" s="463"/>
      <c r="FX38" s="464"/>
      <c r="FY38" s="465"/>
      <c r="FZ38" s="463"/>
      <c r="GA38" s="463"/>
      <c r="GB38" s="463"/>
      <c r="GC38" s="463"/>
      <c r="GD38" s="464"/>
      <c r="GE38" s="465"/>
      <c r="GF38" s="463"/>
      <c r="GG38" s="463"/>
      <c r="GH38" s="463"/>
      <c r="GI38" s="463"/>
      <c r="GJ38" s="464"/>
      <c r="GK38" s="465"/>
      <c r="GL38" s="463"/>
      <c r="GM38" s="463"/>
      <c r="GN38" s="463"/>
      <c r="GO38" s="463"/>
      <c r="GP38" s="464"/>
      <c r="GQ38" s="465"/>
      <c r="GR38" s="463"/>
      <c r="GS38" s="463"/>
      <c r="GT38" s="463"/>
      <c r="GU38" s="463"/>
      <c r="GV38" s="464"/>
      <c r="GW38" s="465"/>
      <c r="GX38" s="463"/>
      <c r="GY38" s="463"/>
      <c r="GZ38" s="463"/>
      <c r="HA38" s="463"/>
      <c r="HB38" s="464"/>
      <c r="HC38" s="465"/>
      <c r="HD38" s="463"/>
      <c r="HE38" s="463"/>
      <c r="HF38" s="463"/>
      <c r="HG38" s="463"/>
      <c r="HH38" s="464"/>
      <c r="HI38" s="465"/>
      <c r="HJ38" s="463"/>
      <c r="HK38" s="463"/>
      <c r="HL38" s="463"/>
      <c r="HM38" s="463"/>
      <c r="HN38" s="464"/>
      <c r="HO38" s="465"/>
      <c r="HP38" s="463"/>
      <c r="HQ38" s="463"/>
      <c r="HR38" s="463"/>
      <c r="HS38" s="463"/>
      <c r="HT38" s="464"/>
      <c r="HU38" s="465"/>
      <c r="HV38" s="463"/>
      <c r="HW38" s="463"/>
      <c r="HX38" s="463"/>
      <c r="HY38" s="463"/>
      <c r="HZ38" s="464"/>
      <c r="IA38" s="465"/>
      <c r="IB38" s="463"/>
      <c r="IC38" s="463"/>
      <c r="ID38" s="463"/>
      <c r="IE38" s="463"/>
      <c r="IF38" s="464"/>
      <c r="IG38" s="465"/>
      <c r="IH38" s="463"/>
      <c r="II38" s="463"/>
      <c r="IJ38" s="463"/>
    </row>
    <row r="39" spans="2:244" ht="16.5" customHeight="1" x14ac:dyDescent="0.3">
      <c r="B39" s="1266">
        <v>18</v>
      </c>
      <c r="C39" s="1268" t="str">
        <f>RUAS!B28</f>
        <v>RUA COLORADO - T3</v>
      </c>
      <c r="D39" s="679">
        <v>0</v>
      </c>
      <c r="E39" s="680" t="s">
        <v>352</v>
      </c>
      <c r="F39" s="681">
        <v>0</v>
      </c>
      <c r="G39" s="679">
        <v>0</v>
      </c>
      <c r="H39" s="680" t="s">
        <v>352</v>
      </c>
      <c r="I39" s="681">
        <v>15.161</v>
      </c>
      <c r="J39" s="682">
        <f t="shared" si="0"/>
        <v>15.16</v>
      </c>
      <c r="K39" s="682">
        <v>0</v>
      </c>
      <c r="L39" s="684">
        <f t="shared" si="1"/>
        <v>0</v>
      </c>
      <c r="M39" s="682">
        <v>3.5</v>
      </c>
      <c r="N39" s="684">
        <f t="shared" si="2"/>
        <v>53.06</v>
      </c>
      <c r="O39" s="684">
        <f t="shared" si="3"/>
        <v>53.06</v>
      </c>
      <c r="P39" s="463"/>
      <c r="T39" s="463"/>
      <c r="U39" s="463"/>
      <c r="V39" s="463"/>
      <c r="W39" s="463"/>
      <c r="X39" s="464"/>
      <c r="Y39" s="465"/>
      <c r="Z39" s="463"/>
      <c r="AA39" s="463"/>
      <c r="AB39" s="463"/>
      <c r="AC39" s="463"/>
      <c r="AD39" s="464"/>
      <c r="AE39" s="465"/>
      <c r="AF39" s="463"/>
      <c r="AG39" s="463"/>
      <c r="AH39" s="463"/>
      <c r="AI39" s="463"/>
      <c r="AJ39" s="464"/>
      <c r="AK39" s="465"/>
      <c r="AL39" s="463"/>
      <c r="AM39" s="463"/>
      <c r="AN39" s="463"/>
      <c r="AO39" s="463"/>
      <c r="AP39" s="464"/>
      <c r="AQ39" s="465"/>
      <c r="AR39" s="463"/>
      <c r="AS39" s="463"/>
      <c r="AT39" s="463"/>
      <c r="AU39" s="463"/>
      <c r="AV39" s="464"/>
      <c r="AW39" s="465"/>
      <c r="AX39" s="463"/>
      <c r="AY39" s="463"/>
      <c r="AZ39" s="463"/>
      <c r="BA39" s="463"/>
      <c r="BB39" s="464"/>
      <c r="BC39" s="465"/>
      <c r="BD39" s="463"/>
      <c r="BE39" s="463"/>
      <c r="BF39" s="463"/>
      <c r="BG39" s="463"/>
      <c r="BH39" s="464"/>
      <c r="BI39" s="465"/>
      <c r="BJ39" s="463"/>
      <c r="BK39" s="463"/>
      <c r="BL39" s="463"/>
      <c r="BM39" s="463"/>
      <c r="BN39" s="464"/>
      <c r="BO39" s="465"/>
      <c r="BP39" s="463"/>
      <c r="BQ39" s="463"/>
      <c r="BR39" s="463"/>
      <c r="BS39" s="463"/>
      <c r="BT39" s="464"/>
      <c r="BU39" s="465"/>
      <c r="BV39" s="463"/>
      <c r="BW39" s="463"/>
      <c r="BX39" s="463"/>
      <c r="BY39" s="463"/>
      <c r="BZ39" s="464"/>
      <c r="CA39" s="465"/>
      <c r="CB39" s="463"/>
      <c r="CC39" s="463"/>
      <c r="CD39" s="463"/>
      <c r="CE39" s="463"/>
      <c r="CF39" s="464"/>
      <c r="CG39" s="465"/>
      <c r="CH39" s="463"/>
      <c r="CI39" s="463"/>
      <c r="CJ39" s="463"/>
      <c r="CK39" s="463"/>
      <c r="CL39" s="464"/>
      <c r="CM39" s="465"/>
      <c r="CN39" s="463"/>
      <c r="CO39" s="463"/>
      <c r="CP39" s="463"/>
      <c r="CQ39" s="463"/>
      <c r="CR39" s="464"/>
      <c r="CS39" s="465"/>
      <c r="CT39" s="463"/>
      <c r="CU39" s="463"/>
      <c r="CV39" s="463"/>
      <c r="CW39" s="463"/>
      <c r="CX39" s="464"/>
      <c r="CY39" s="465"/>
      <c r="CZ39" s="463"/>
      <c r="DA39" s="463"/>
      <c r="DB39" s="463"/>
      <c r="DC39" s="463"/>
      <c r="DD39" s="464"/>
      <c r="DE39" s="465"/>
      <c r="DF39" s="463"/>
      <c r="DG39" s="463"/>
      <c r="DH39" s="463"/>
      <c r="DI39" s="463"/>
      <c r="DJ39" s="464"/>
      <c r="DK39" s="465"/>
      <c r="DL39" s="463"/>
      <c r="DM39" s="463"/>
      <c r="DN39" s="463"/>
      <c r="DO39" s="463"/>
      <c r="DP39" s="464"/>
      <c r="DQ39" s="465"/>
      <c r="DR39" s="463"/>
      <c r="DS39" s="463"/>
      <c r="DT39" s="463"/>
      <c r="DU39" s="463"/>
      <c r="DV39" s="464"/>
      <c r="DW39" s="465"/>
      <c r="DX39" s="463"/>
      <c r="DY39" s="463"/>
      <c r="DZ39" s="463"/>
      <c r="EA39" s="463"/>
      <c r="EB39" s="464"/>
      <c r="EC39" s="465"/>
      <c r="ED39" s="463"/>
      <c r="EE39" s="463"/>
      <c r="EF39" s="463"/>
      <c r="EG39" s="463"/>
      <c r="EH39" s="464"/>
      <c r="EI39" s="465"/>
      <c r="EJ39" s="463"/>
      <c r="EK39" s="463"/>
      <c r="EL39" s="463"/>
      <c r="EM39" s="463"/>
      <c r="EN39" s="464"/>
      <c r="EO39" s="465"/>
      <c r="EP39" s="463"/>
      <c r="EQ39" s="463"/>
      <c r="ER39" s="463"/>
      <c r="ES39" s="463"/>
      <c r="ET39" s="464"/>
      <c r="EU39" s="465"/>
      <c r="EV39" s="463"/>
      <c r="EW39" s="463"/>
      <c r="EX39" s="463"/>
      <c r="EY39" s="463"/>
      <c r="EZ39" s="464"/>
      <c r="FA39" s="465"/>
      <c r="FB39" s="463"/>
      <c r="FC39" s="463"/>
      <c r="FD39" s="463"/>
      <c r="FE39" s="463"/>
      <c r="FF39" s="464"/>
      <c r="FG39" s="465"/>
      <c r="FH39" s="463"/>
      <c r="FI39" s="463"/>
      <c r="FJ39" s="463"/>
      <c r="FK39" s="463"/>
      <c r="FL39" s="464"/>
      <c r="FM39" s="465"/>
      <c r="FN39" s="463"/>
      <c r="FO39" s="463"/>
      <c r="FP39" s="463"/>
      <c r="FQ39" s="463"/>
      <c r="FR39" s="464"/>
      <c r="FS39" s="465"/>
      <c r="FT39" s="463"/>
      <c r="FU39" s="463"/>
      <c r="FV39" s="463"/>
      <c r="FW39" s="463"/>
      <c r="FX39" s="464"/>
      <c r="FY39" s="465"/>
      <c r="FZ39" s="463"/>
      <c r="GA39" s="463"/>
      <c r="GB39" s="463"/>
      <c r="GC39" s="463"/>
      <c r="GD39" s="464"/>
      <c r="GE39" s="465"/>
      <c r="GF39" s="463"/>
      <c r="GG39" s="463"/>
      <c r="GH39" s="463"/>
      <c r="GI39" s="463"/>
      <c r="GJ39" s="464"/>
      <c r="GK39" s="465"/>
      <c r="GL39" s="463"/>
      <c r="GM39" s="463"/>
      <c r="GN39" s="463"/>
      <c r="GO39" s="463"/>
      <c r="GP39" s="464"/>
      <c r="GQ39" s="465"/>
      <c r="GR39" s="463"/>
      <c r="GS39" s="463"/>
      <c r="GT39" s="463"/>
      <c r="GU39" s="463"/>
      <c r="GV39" s="464"/>
      <c r="GW39" s="465"/>
      <c r="GX39" s="463"/>
      <c r="GY39" s="463"/>
      <c r="GZ39" s="463"/>
      <c r="HA39" s="463"/>
      <c r="HB39" s="464"/>
      <c r="HC39" s="465"/>
      <c r="HD39" s="463"/>
      <c r="HE39" s="463"/>
      <c r="HF39" s="463"/>
      <c r="HG39" s="463"/>
      <c r="HH39" s="464"/>
      <c r="HI39" s="465"/>
      <c r="HJ39" s="463"/>
      <c r="HK39" s="463"/>
      <c r="HL39" s="463"/>
      <c r="HM39" s="463"/>
      <c r="HN39" s="464"/>
      <c r="HO39" s="465"/>
      <c r="HP39" s="463"/>
      <c r="HQ39" s="463"/>
      <c r="HR39" s="463"/>
      <c r="HS39" s="463"/>
      <c r="HT39" s="464"/>
      <c r="HU39" s="465"/>
      <c r="HV39" s="463"/>
      <c r="HW39" s="463"/>
      <c r="HX39" s="463"/>
      <c r="HY39" s="463"/>
      <c r="HZ39" s="464"/>
      <c r="IA39" s="465"/>
      <c r="IB39" s="463"/>
      <c r="IC39" s="463"/>
      <c r="ID39" s="463"/>
      <c r="IE39" s="463"/>
      <c r="IF39" s="464"/>
      <c r="IG39" s="465"/>
      <c r="IH39" s="463"/>
      <c r="II39" s="463"/>
      <c r="IJ39" s="463"/>
    </row>
    <row r="40" spans="2:244" ht="16.5" customHeight="1" x14ac:dyDescent="0.3">
      <c r="B40" s="1267"/>
      <c r="C40" s="1269"/>
      <c r="D40" s="690">
        <v>2</v>
      </c>
      <c r="E40" s="691" t="s">
        <v>352</v>
      </c>
      <c r="F40" s="692">
        <v>2.8980000000000001</v>
      </c>
      <c r="G40" s="690">
        <v>4</v>
      </c>
      <c r="H40" s="691" t="s">
        <v>352</v>
      </c>
      <c r="I40" s="692">
        <v>7.617</v>
      </c>
      <c r="J40" s="693">
        <f t="shared" si="0"/>
        <v>44.71</v>
      </c>
      <c r="K40" s="693">
        <v>0</v>
      </c>
      <c r="L40" s="707">
        <f t="shared" si="1"/>
        <v>0</v>
      </c>
      <c r="M40" s="693">
        <v>3</v>
      </c>
      <c r="N40" s="707">
        <f t="shared" si="2"/>
        <v>134.13</v>
      </c>
      <c r="O40" s="707">
        <f t="shared" si="3"/>
        <v>134.13</v>
      </c>
      <c r="P40" s="463"/>
      <c r="T40" s="463"/>
      <c r="U40" s="463"/>
      <c r="V40" s="463"/>
      <c r="W40" s="463"/>
      <c r="X40" s="464"/>
      <c r="Y40" s="465"/>
      <c r="Z40" s="463"/>
      <c r="AA40" s="463"/>
      <c r="AB40" s="463"/>
      <c r="AC40" s="463"/>
      <c r="AD40" s="464"/>
      <c r="AE40" s="465"/>
      <c r="AF40" s="463"/>
      <c r="AG40" s="463"/>
      <c r="AH40" s="463"/>
      <c r="AI40" s="463"/>
      <c r="AJ40" s="464"/>
      <c r="AK40" s="465"/>
      <c r="AL40" s="463"/>
      <c r="AM40" s="463"/>
      <c r="AN40" s="463"/>
      <c r="AO40" s="463"/>
      <c r="AP40" s="464"/>
      <c r="AQ40" s="465"/>
      <c r="AR40" s="463"/>
      <c r="AS40" s="463"/>
      <c r="AT40" s="463"/>
      <c r="AU40" s="463"/>
      <c r="AV40" s="464"/>
      <c r="AW40" s="465"/>
      <c r="AX40" s="463"/>
      <c r="AY40" s="463"/>
      <c r="AZ40" s="463"/>
      <c r="BA40" s="463"/>
      <c r="BB40" s="464"/>
      <c r="BC40" s="465"/>
      <c r="BD40" s="463"/>
      <c r="BE40" s="463"/>
      <c r="BF40" s="463"/>
      <c r="BG40" s="463"/>
      <c r="BH40" s="464"/>
      <c r="BI40" s="465"/>
      <c r="BJ40" s="463"/>
      <c r="BK40" s="463"/>
      <c r="BL40" s="463"/>
      <c r="BM40" s="463"/>
      <c r="BN40" s="464"/>
      <c r="BO40" s="465"/>
      <c r="BP40" s="463"/>
      <c r="BQ40" s="463"/>
      <c r="BR40" s="463"/>
      <c r="BS40" s="463"/>
      <c r="BT40" s="464"/>
      <c r="BU40" s="465"/>
      <c r="BV40" s="463"/>
      <c r="BW40" s="463"/>
      <c r="BX40" s="463"/>
      <c r="BY40" s="463"/>
      <c r="BZ40" s="464"/>
      <c r="CA40" s="465"/>
      <c r="CB40" s="463"/>
      <c r="CC40" s="463"/>
      <c r="CD40" s="463"/>
      <c r="CE40" s="463"/>
      <c r="CF40" s="464"/>
      <c r="CG40" s="465"/>
      <c r="CH40" s="463"/>
      <c r="CI40" s="463"/>
      <c r="CJ40" s="463"/>
      <c r="CK40" s="463"/>
      <c r="CL40" s="464"/>
      <c r="CM40" s="465"/>
      <c r="CN40" s="463"/>
      <c r="CO40" s="463"/>
      <c r="CP40" s="463"/>
      <c r="CQ40" s="463"/>
      <c r="CR40" s="464"/>
      <c r="CS40" s="465"/>
      <c r="CT40" s="463"/>
      <c r="CU40" s="463"/>
      <c r="CV40" s="463"/>
      <c r="CW40" s="463"/>
      <c r="CX40" s="464"/>
      <c r="CY40" s="465"/>
      <c r="CZ40" s="463"/>
      <c r="DA40" s="463"/>
      <c r="DB40" s="463"/>
      <c r="DC40" s="463"/>
      <c r="DD40" s="464"/>
      <c r="DE40" s="465"/>
      <c r="DF40" s="463"/>
      <c r="DG40" s="463"/>
      <c r="DH40" s="463"/>
      <c r="DI40" s="463"/>
      <c r="DJ40" s="464"/>
      <c r="DK40" s="465"/>
      <c r="DL40" s="463"/>
      <c r="DM40" s="463"/>
      <c r="DN40" s="463"/>
      <c r="DO40" s="463"/>
      <c r="DP40" s="464"/>
      <c r="DQ40" s="465"/>
      <c r="DR40" s="463"/>
      <c r="DS40" s="463"/>
      <c r="DT40" s="463"/>
      <c r="DU40" s="463"/>
      <c r="DV40" s="464"/>
      <c r="DW40" s="465"/>
      <c r="DX40" s="463"/>
      <c r="DY40" s="463"/>
      <c r="DZ40" s="463"/>
      <c r="EA40" s="463"/>
      <c r="EB40" s="464"/>
      <c r="EC40" s="465"/>
      <c r="ED40" s="463"/>
      <c r="EE40" s="463"/>
      <c r="EF40" s="463"/>
      <c r="EG40" s="463"/>
      <c r="EH40" s="464"/>
      <c r="EI40" s="465"/>
      <c r="EJ40" s="463"/>
      <c r="EK40" s="463"/>
      <c r="EL40" s="463"/>
      <c r="EM40" s="463"/>
      <c r="EN40" s="464"/>
      <c r="EO40" s="465"/>
      <c r="EP40" s="463"/>
      <c r="EQ40" s="463"/>
      <c r="ER40" s="463"/>
      <c r="ES40" s="463"/>
      <c r="ET40" s="464"/>
      <c r="EU40" s="465"/>
      <c r="EV40" s="463"/>
      <c r="EW40" s="463"/>
      <c r="EX40" s="463"/>
      <c r="EY40" s="463"/>
      <c r="EZ40" s="464"/>
      <c r="FA40" s="465"/>
      <c r="FB40" s="463"/>
      <c r="FC40" s="463"/>
      <c r="FD40" s="463"/>
      <c r="FE40" s="463"/>
      <c r="FF40" s="464"/>
      <c r="FG40" s="465"/>
      <c r="FH40" s="463"/>
      <c r="FI40" s="463"/>
      <c r="FJ40" s="463"/>
      <c r="FK40" s="463"/>
      <c r="FL40" s="464"/>
      <c r="FM40" s="465"/>
      <c r="FN40" s="463"/>
      <c r="FO40" s="463"/>
      <c r="FP40" s="463"/>
      <c r="FQ40" s="463"/>
      <c r="FR40" s="464"/>
      <c r="FS40" s="465"/>
      <c r="FT40" s="463"/>
      <c r="FU40" s="463"/>
      <c r="FV40" s="463"/>
      <c r="FW40" s="463"/>
      <c r="FX40" s="464"/>
      <c r="FY40" s="465"/>
      <c r="FZ40" s="463"/>
      <c r="GA40" s="463"/>
      <c r="GB40" s="463"/>
      <c r="GC40" s="463"/>
      <c r="GD40" s="464"/>
      <c r="GE40" s="465"/>
      <c r="GF40" s="463"/>
      <c r="GG40" s="463"/>
      <c r="GH40" s="463"/>
      <c r="GI40" s="463"/>
      <c r="GJ40" s="464"/>
      <c r="GK40" s="465"/>
      <c r="GL40" s="463"/>
      <c r="GM40" s="463"/>
      <c r="GN40" s="463"/>
      <c r="GO40" s="463"/>
      <c r="GP40" s="464"/>
      <c r="GQ40" s="465"/>
      <c r="GR40" s="463"/>
      <c r="GS40" s="463"/>
      <c r="GT40" s="463"/>
      <c r="GU40" s="463"/>
      <c r="GV40" s="464"/>
      <c r="GW40" s="465"/>
      <c r="GX40" s="463"/>
      <c r="GY40" s="463"/>
      <c r="GZ40" s="463"/>
      <c r="HA40" s="463"/>
      <c r="HB40" s="464"/>
      <c r="HC40" s="465"/>
      <c r="HD40" s="463"/>
      <c r="HE40" s="463"/>
      <c r="HF40" s="463"/>
      <c r="HG40" s="463"/>
      <c r="HH40" s="464"/>
      <c r="HI40" s="465"/>
      <c r="HJ40" s="463"/>
      <c r="HK40" s="463"/>
      <c r="HL40" s="463"/>
      <c r="HM40" s="463"/>
      <c r="HN40" s="464"/>
      <c r="HO40" s="465"/>
      <c r="HP40" s="463"/>
      <c r="HQ40" s="463"/>
      <c r="HR40" s="463"/>
      <c r="HS40" s="463"/>
      <c r="HT40" s="464"/>
      <c r="HU40" s="465"/>
      <c r="HV40" s="463"/>
      <c r="HW40" s="463"/>
      <c r="HX40" s="463"/>
      <c r="HY40" s="463"/>
      <c r="HZ40" s="464"/>
      <c r="IA40" s="465"/>
      <c r="IB40" s="463"/>
      <c r="IC40" s="463"/>
      <c r="ID40" s="463"/>
      <c r="IE40" s="463"/>
      <c r="IF40" s="464"/>
      <c r="IG40" s="465"/>
      <c r="IH40" s="463"/>
      <c r="II40" s="463"/>
      <c r="IJ40" s="463"/>
    </row>
    <row r="41" spans="2:244" x14ac:dyDescent="0.3">
      <c r="B41" s="457">
        <v>19</v>
      </c>
      <c r="C41" s="704" t="str">
        <f>RUAS!B30</f>
        <v>RUA FOZ DO IGUAÇU - T2</v>
      </c>
      <c r="D41" s="690">
        <v>2</v>
      </c>
      <c r="E41" s="691" t="s">
        <v>352</v>
      </c>
      <c r="F41" s="692">
        <v>14.829000000000001</v>
      </c>
      <c r="G41" s="690">
        <v>4</v>
      </c>
      <c r="H41" s="691" t="s">
        <v>352</v>
      </c>
      <c r="I41" s="692">
        <v>10.135999999999999</v>
      </c>
      <c r="J41" s="693">
        <f t="shared" si="0"/>
        <v>35.299999999999997</v>
      </c>
      <c r="K41" s="693">
        <v>0</v>
      </c>
      <c r="L41" s="707">
        <f t="shared" si="1"/>
        <v>0</v>
      </c>
      <c r="M41" s="693">
        <v>3</v>
      </c>
      <c r="N41" s="707">
        <f t="shared" si="2"/>
        <v>105.9</v>
      </c>
      <c r="O41" s="707">
        <f t="shared" si="3"/>
        <v>105.9</v>
      </c>
      <c r="P41" s="463"/>
      <c r="T41" s="463"/>
      <c r="U41" s="463"/>
      <c r="V41" s="463"/>
      <c r="W41" s="463"/>
      <c r="X41" s="464"/>
      <c r="Y41" s="465"/>
      <c r="Z41" s="463"/>
      <c r="AA41" s="463"/>
      <c r="AB41" s="463"/>
      <c r="AC41" s="463"/>
      <c r="AD41" s="464"/>
      <c r="AE41" s="465"/>
      <c r="AF41" s="463"/>
      <c r="AG41" s="463"/>
      <c r="AH41" s="463"/>
      <c r="AI41" s="463"/>
      <c r="AJ41" s="464"/>
      <c r="AK41" s="465"/>
      <c r="AL41" s="463"/>
      <c r="AM41" s="463"/>
      <c r="AN41" s="463"/>
      <c r="AO41" s="463"/>
      <c r="AP41" s="464"/>
      <c r="AQ41" s="465"/>
      <c r="AR41" s="463"/>
      <c r="AS41" s="463"/>
      <c r="AT41" s="463"/>
      <c r="AU41" s="463"/>
      <c r="AV41" s="464"/>
      <c r="AW41" s="465"/>
      <c r="AX41" s="463"/>
      <c r="AY41" s="463"/>
      <c r="AZ41" s="463"/>
      <c r="BA41" s="463"/>
      <c r="BB41" s="464"/>
      <c r="BC41" s="465"/>
      <c r="BD41" s="463"/>
      <c r="BE41" s="463"/>
      <c r="BF41" s="463"/>
      <c r="BG41" s="463"/>
      <c r="BH41" s="464"/>
      <c r="BI41" s="465"/>
      <c r="BJ41" s="463"/>
      <c r="BK41" s="463"/>
      <c r="BL41" s="463"/>
      <c r="BM41" s="463"/>
      <c r="BN41" s="464"/>
      <c r="BO41" s="465"/>
      <c r="BP41" s="463"/>
      <c r="BQ41" s="463"/>
      <c r="BR41" s="463"/>
      <c r="BS41" s="463"/>
      <c r="BT41" s="464"/>
      <c r="BU41" s="465"/>
      <c r="BV41" s="463"/>
      <c r="BW41" s="463"/>
      <c r="BX41" s="463"/>
      <c r="BY41" s="463"/>
      <c r="BZ41" s="464"/>
      <c r="CA41" s="465"/>
      <c r="CB41" s="463"/>
      <c r="CC41" s="463"/>
      <c r="CD41" s="463"/>
      <c r="CE41" s="463"/>
      <c r="CF41" s="464"/>
      <c r="CG41" s="465"/>
      <c r="CH41" s="463"/>
      <c r="CI41" s="463"/>
      <c r="CJ41" s="463"/>
      <c r="CK41" s="463"/>
      <c r="CL41" s="464"/>
      <c r="CM41" s="465"/>
      <c r="CN41" s="463"/>
      <c r="CO41" s="463"/>
      <c r="CP41" s="463"/>
      <c r="CQ41" s="463"/>
      <c r="CR41" s="464"/>
      <c r="CS41" s="465"/>
      <c r="CT41" s="463"/>
      <c r="CU41" s="463"/>
      <c r="CV41" s="463"/>
      <c r="CW41" s="463"/>
      <c r="CX41" s="464"/>
      <c r="CY41" s="465"/>
      <c r="CZ41" s="463"/>
      <c r="DA41" s="463"/>
      <c r="DB41" s="463"/>
      <c r="DC41" s="463"/>
      <c r="DD41" s="464"/>
      <c r="DE41" s="465"/>
      <c r="DF41" s="463"/>
      <c r="DG41" s="463"/>
      <c r="DH41" s="463"/>
      <c r="DI41" s="463"/>
      <c r="DJ41" s="464"/>
      <c r="DK41" s="465"/>
      <c r="DL41" s="463"/>
      <c r="DM41" s="463"/>
      <c r="DN41" s="463"/>
      <c r="DO41" s="463"/>
      <c r="DP41" s="464"/>
      <c r="DQ41" s="465"/>
      <c r="DR41" s="463"/>
      <c r="DS41" s="463"/>
      <c r="DT41" s="463"/>
      <c r="DU41" s="463"/>
      <c r="DV41" s="464"/>
      <c r="DW41" s="465"/>
      <c r="DX41" s="463"/>
      <c r="DY41" s="463"/>
      <c r="DZ41" s="463"/>
      <c r="EA41" s="463"/>
      <c r="EB41" s="464"/>
      <c r="EC41" s="465"/>
      <c r="ED41" s="463"/>
      <c r="EE41" s="463"/>
      <c r="EF41" s="463"/>
      <c r="EG41" s="463"/>
      <c r="EH41" s="464"/>
      <c r="EI41" s="465"/>
      <c r="EJ41" s="463"/>
      <c r="EK41" s="463"/>
      <c r="EL41" s="463"/>
      <c r="EM41" s="463"/>
      <c r="EN41" s="464"/>
      <c r="EO41" s="465"/>
      <c r="EP41" s="463"/>
      <c r="EQ41" s="463"/>
      <c r="ER41" s="463"/>
      <c r="ES41" s="463"/>
      <c r="ET41" s="464"/>
      <c r="EU41" s="465"/>
      <c r="EV41" s="463"/>
      <c r="EW41" s="463"/>
      <c r="EX41" s="463"/>
      <c r="EY41" s="463"/>
      <c r="EZ41" s="464"/>
      <c r="FA41" s="465"/>
      <c r="FB41" s="463"/>
      <c r="FC41" s="463"/>
      <c r="FD41" s="463"/>
      <c r="FE41" s="463"/>
      <c r="FF41" s="464"/>
      <c r="FG41" s="465"/>
      <c r="FH41" s="463"/>
      <c r="FI41" s="463"/>
      <c r="FJ41" s="463"/>
      <c r="FK41" s="463"/>
      <c r="FL41" s="464"/>
      <c r="FM41" s="465"/>
      <c r="FN41" s="463"/>
      <c r="FO41" s="463"/>
      <c r="FP41" s="463"/>
      <c r="FQ41" s="463"/>
      <c r="FR41" s="464"/>
      <c r="FS41" s="465"/>
      <c r="FT41" s="463"/>
      <c r="FU41" s="463"/>
      <c r="FV41" s="463"/>
      <c r="FW41" s="463"/>
      <c r="FX41" s="464"/>
      <c r="FY41" s="465"/>
      <c r="FZ41" s="463"/>
      <c r="GA41" s="463"/>
      <c r="GB41" s="463"/>
      <c r="GC41" s="463"/>
      <c r="GD41" s="464"/>
      <c r="GE41" s="465"/>
      <c r="GF41" s="463"/>
      <c r="GG41" s="463"/>
      <c r="GH41" s="463"/>
      <c r="GI41" s="463"/>
      <c r="GJ41" s="464"/>
      <c r="GK41" s="465"/>
      <c r="GL41" s="463"/>
      <c r="GM41" s="463"/>
      <c r="GN41" s="463"/>
      <c r="GO41" s="463"/>
      <c r="GP41" s="464"/>
      <c r="GQ41" s="465"/>
      <c r="GR41" s="463"/>
      <c r="GS41" s="463"/>
      <c r="GT41" s="463"/>
      <c r="GU41" s="463"/>
      <c r="GV41" s="464"/>
      <c r="GW41" s="465"/>
      <c r="GX41" s="463"/>
      <c r="GY41" s="463"/>
      <c r="GZ41" s="463"/>
      <c r="HA41" s="463"/>
      <c r="HB41" s="464"/>
      <c r="HC41" s="465"/>
      <c r="HD41" s="463"/>
      <c r="HE41" s="463"/>
      <c r="HF41" s="463"/>
      <c r="HG41" s="463"/>
      <c r="HH41" s="464"/>
      <c r="HI41" s="465"/>
      <c r="HJ41" s="463"/>
      <c r="HK41" s="463"/>
      <c r="HL41" s="463"/>
      <c r="HM41" s="463"/>
      <c r="HN41" s="464"/>
      <c r="HO41" s="465"/>
      <c r="HP41" s="463"/>
      <c r="HQ41" s="463"/>
      <c r="HR41" s="463"/>
      <c r="HS41" s="463"/>
      <c r="HT41" s="464"/>
      <c r="HU41" s="465"/>
      <c r="HV41" s="463"/>
      <c r="HW41" s="463"/>
      <c r="HX41" s="463"/>
      <c r="HY41" s="463"/>
      <c r="HZ41" s="464"/>
      <c r="IA41" s="465"/>
      <c r="IB41" s="463"/>
      <c r="IC41" s="463"/>
      <c r="ID41" s="463"/>
      <c r="IE41" s="463"/>
      <c r="IF41" s="464"/>
      <c r="IG41" s="465"/>
      <c r="IH41" s="463"/>
      <c r="II41" s="463"/>
      <c r="IJ41" s="463"/>
    </row>
    <row r="42" spans="2:244" ht="16.5" customHeight="1" x14ac:dyDescent="0.3">
      <c r="B42" s="1266">
        <v>20</v>
      </c>
      <c r="C42" s="1268" t="str">
        <f>RUAS!B31</f>
        <v>RUA FOZ DO IGUAÇU - T3</v>
      </c>
      <c r="D42" s="690">
        <v>0</v>
      </c>
      <c r="E42" s="691" t="s">
        <v>352</v>
      </c>
      <c r="F42" s="692">
        <v>0.97799999999999998</v>
      </c>
      <c r="G42" s="690">
        <v>0</v>
      </c>
      <c r="H42" s="691" t="s">
        <v>352</v>
      </c>
      <c r="I42" s="692">
        <v>15.41</v>
      </c>
      <c r="J42" s="693">
        <f t="shared" si="0"/>
        <v>14.43</v>
      </c>
      <c r="K42" s="693">
        <v>0</v>
      </c>
      <c r="L42" s="707">
        <f t="shared" si="1"/>
        <v>0</v>
      </c>
      <c r="M42" s="693">
        <v>3</v>
      </c>
      <c r="N42" s="707">
        <f t="shared" si="2"/>
        <v>43.29</v>
      </c>
      <c r="O42" s="707">
        <f t="shared" si="3"/>
        <v>43.29</v>
      </c>
      <c r="P42" s="463"/>
      <c r="T42" s="463"/>
      <c r="U42" s="463"/>
      <c r="V42" s="463"/>
      <c r="W42" s="463"/>
      <c r="X42" s="464"/>
      <c r="Y42" s="465"/>
      <c r="Z42" s="463"/>
      <c r="AA42" s="463"/>
      <c r="AB42" s="463"/>
      <c r="AC42" s="463"/>
      <c r="AD42" s="464"/>
      <c r="AE42" s="465"/>
      <c r="AF42" s="463"/>
      <c r="AG42" s="463"/>
      <c r="AH42" s="463"/>
      <c r="AI42" s="463"/>
      <c r="AJ42" s="464"/>
      <c r="AK42" s="465"/>
      <c r="AL42" s="463"/>
      <c r="AM42" s="463"/>
      <c r="AN42" s="463"/>
      <c r="AO42" s="463"/>
      <c r="AP42" s="464"/>
      <c r="AQ42" s="465"/>
      <c r="AR42" s="463"/>
      <c r="AS42" s="463"/>
      <c r="AT42" s="463"/>
      <c r="AU42" s="463"/>
      <c r="AV42" s="464"/>
      <c r="AW42" s="465"/>
      <c r="AX42" s="463"/>
      <c r="AY42" s="463"/>
      <c r="AZ42" s="463"/>
      <c r="BA42" s="463"/>
      <c r="BB42" s="464"/>
      <c r="BC42" s="465"/>
      <c r="BD42" s="463"/>
      <c r="BE42" s="463"/>
      <c r="BF42" s="463"/>
      <c r="BG42" s="463"/>
      <c r="BH42" s="464"/>
      <c r="BI42" s="465"/>
      <c r="BJ42" s="463"/>
      <c r="BK42" s="463"/>
      <c r="BL42" s="463"/>
      <c r="BM42" s="463"/>
      <c r="BN42" s="464"/>
      <c r="BO42" s="465"/>
      <c r="BP42" s="463"/>
      <c r="BQ42" s="463"/>
      <c r="BR42" s="463"/>
      <c r="BS42" s="463"/>
      <c r="BT42" s="464"/>
      <c r="BU42" s="465"/>
      <c r="BV42" s="463"/>
      <c r="BW42" s="463"/>
      <c r="BX42" s="463"/>
      <c r="BY42" s="463"/>
      <c r="BZ42" s="464"/>
      <c r="CA42" s="465"/>
      <c r="CB42" s="463"/>
      <c r="CC42" s="463"/>
      <c r="CD42" s="463"/>
      <c r="CE42" s="463"/>
      <c r="CF42" s="464"/>
      <c r="CG42" s="465"/>
      <c r="CH42" s="463"/>
      <c r="CI42" s="463"/>
      <c r="CJ42" s="463"/>
      <c r="CK42" s="463"/>
      <c r="CL42" s="464"/>
      <c r="CM42" s="465"/>
      <c r="CN42" s="463"/>
      <c r="CO42" s="463"/>
      <c r="CP42" s="463"/>
      <c r="CQ42" s="463"/>
      <c r="CR42" s="464"/>
      <c r="CS42" s="465"/>
      <c r="CT42" s="463"/>
      <c r="CU42" s="463"/>
      <c r="CV42" s="463"/>
      <c r="CW42" s="463"/>
      <c r="CX42" s="464"/>
      <c r="CY42" s="465"/>
      <c r="CZ42" s="463"/>
      <c r="DA42" s="463"/>
      <c r="DB42" s="463"/>
      <c r="DC42" s="463"/>
      <c r="DD42" s="464"/>
      <c r="DE42" s="465"/>
      <c r="DF42" s="463"/>
      <c r="DG42" s="463"/>
      <c r="DH42" s="463"/>
      <c r="DI42" s="463"/>
      <c r="DJ42" s="464"/>
      <c r="DK42" s="465"/>
      <c r="DL42" s="463"/>
      <c r="DM42" s="463"/>
      <c r="DN42" s="463"/>
      <c r="DO42" s="463"/>
      <c r="DP42" s="464"/>
      <c r="DQ42" s="465"/>
      <c r="DR42" s="463"/>
      <c r="DS42" s="463"/>
      <c r="DT42" s="463"/>
      <c r="DU42" s="463"/>
      <c r="DV42" s="464"/>
      <c r="DW42" s="465"/>
      <c r="DX42" s="463"/>
      <c r="DY42" s="463"/>
      <c r="DZ42" s="463"/>
      <c r="EA42" s="463"/>
      <c r="EB42" s="464"/>
      <c r="EC42" s="465"/>
      <c r="ED42" s="463"/>
      <c r="EE42" s="463"/>
      <c r="EF42" s="463"/>
      <c r="EG42" s="463"/>
      <c r="EH42" s="464"/>
      <c r="EI42" s="465"/>
      <c r="EJ42" s="463"/>
      <c r="EK42" s="463"/>
      <c r="EL42" s="463"/>
      <c r="EM42" s="463"/>
      <c r="EN42" s="464"/>
      <c r="EO42" s="465"/>
      <c r="EP42" s="463"/>
      <c r="EQ42" s="463"/>
      <c r="ER42" s="463"/>
      <c r="ES42" s="463"/>
      <c r="ET42" s="464"/>
      <c r="EU42" s="465"/>
      <c r="EV42" s="463"/>
      <c r="EW42" s="463"/>
      <c r="EX42" s="463"/>
      <c r="EY42" s="463"/>
      <c r="EZ42" s="464"/>
      <c r="FA42" s="465"/>
      <c r="FB42" s="463"/>
      <c r="FC42" s="463"/>
      <c r="FD42" s="463"/>
      <c r="FE42" s="463"/>
      <c r="FF42" s="464"/>
      <c r="FG42" s="465"/>
      <c r="FH42" s="463"/>
      <c r="FI42" s="463"/>
      <c r="FJ42" s="463"/>
      <c r="FK42" s="463"/>
      <c r="FL42" s="464"/>
      <c r="FM42" s="465"/>
      <c r="FN42" s="463"/>
      <c r="FO42" s="463"/>
      <c r="FP42" s="463"/>
      <c r="FQ42" s="463"/>
      <c r="FR42" s="464"/>
      <c r="FS42" s="465"/>
      <c r="FT42" s="463"/>
      <c r="FU42" s="463"/>
      <c r="FV42" s="463"/>
      <c r="FW42" s="463"/>
      <c r="FX42" s="464"/>
      <c r="FY42" s="465"/>
      <c r="FZ42" s="463"/>
      <c r="GA42" s="463"/>
      <c r="GB42" s="463"/>
      <c r="GC42" s="463"/>
      <c r="GD42" s="464"/>
      <c r="GE42" s="465"/>
      <c r="GF42" s="463"/>
      <c r="GG42" s="463"/>
      <c r="GH42" s="463"/>
      <c r="GI42" s="463"/>
      <c r="GJ42" s="464"/>
      <c r="GK42" s="465"/>
      <c r="GL42" s="463"/>
      <c r="GM42" s="463"/>
      <c r="GN42" s="463"/>
      <c r="GO42" s="463"/>
      <c r="GP42" s="464"/>
      <c r="GQ42" s="465"/>
      <c r="GR42" s="463"/>
      <c r="GS42" s="463"/>
      <c r="GT42" s="463"/>
      <c r="GU42" s="463"/>
      <c r="GV42" s="464"/>
      <c r="GW42" s="465"/>
      <c r="GX42" s="463"/>
      <c r="GY42" s="463"/>
      <c r="GZ42" s="463"/>
      <c r="HA42" s="463"/>
      <c r="HB42" s="464"/>
      <c r="HC42" s="465"/>
      <c r="HD42" s="463"/>
      <c r="HE42" s="463"/>
      <c r="HF42" s="463"/>
      <c r="HG42" s="463"/>
      <c r="HH42" s="464"/>
      <c r="HI42" s="465"/>
      <c r="HJ42" s="463"/>
      <c r="HK42" s="463"/>
      <c r="HL42" s="463"/>
      <c r="HM42" s="463"/>
      <c r="HN42" s="464"/>
      <c r="HO42" s="465"/>
      <c r="HP42" s="463"/>
      <c r="HQ42" s="463"/>
      <c r="HR42" s="463"/>
      <c r="HS42" s="463"/>
      <c r="HT42" s="464"/>
      <c r="HU42" s="465"/>
      <c r="HV42" s="463"/>
      <c r="HW42" s="463"/>
      <c r="HX42" s="463"/>
      <c r="HY42" s="463"/>
      <c r="HZ42" s="464"/>
      <c r="IA42" s="465"/>
      <c r="IB42" s="463"/>
      <c r="IC42" s="463"/>
      <c r="ID42" s="463"/>
      <c r="IE42" s="463"/>
      <c r="IF42" s="464"/>
      <c r="IG42" s="465"/>
      <c r="IH42" s="463"/>
      <c r="II42" s="463"/>
      <c r="IJ42" s="463"/>
    </row>
    <row r="43" spans="2:244" ht="16.5" customHeight="1" x14ac:dyDescent="0.3">
      <c r="B43" s="1267"/>
      <c r="C43" s="1269"/>
      <c r="D43" s="690">
        <v>3</v>
      </c>
      <c r="E43" s="691" t="s">
        <v>352</v>
      </c>
      <c r="F43" s="692">
        <v>11.57</v>
      </c>
      <c r="G43" s="690">
        <v>4</v>
      </c>
      <c r="H43" s="691" t="s">
        <v>352</v>
      </c>
      <c r="I43" s="692">
        <v>1.8320000000000001</v>
      </c>
      <c r="J43" s="693">
        <f t="shared" si="0"/>
        <v>10.26</v>
      </c>
      <c r="K43" s="693">
        <v>0</v>
      </c>
      <c r="L43" s="707">
        <f t="shared" si="1"/>
        <v>0</v>
      </c>
      <c r="M43" s="693">
        <v>2</v>
      </c>
      <c r="N43" s="707">
        <f t="shared" si="2"/>
        <v>20.52</v>
      </c>
      <c r="O43" s="707">
        <f t="shared" si="3"/>
        <v>20.52</v>
      </c>
      <c r="P43" s="463"/>
      <c r="T43" s="463"/>
      <c r="U43" s="463"/>
      <c r="V43" s="463"/>
      <c r="W43" s="463"/>
      <c r="X43" s="464"/>
      <c r="Y43" s="465"/>
      <c r="Z43" s="463"/>
      <c r="AA43" s="463"/>
      <c r="AB43" s="463"/>
      <c r="AC43" s="463"/>
      <c r="AD43" s="464"/>
      <c r="AE43" s="465"/>
      <c r="AF43" s="463"/>
      <c r="AG43" s="463"/>
      <c r="AH43" s="463"/>
      <c r="AI43" s="463"/>
      <c r="AJ43" s="464"/>
      <c r="AK43" s="465"/>
      <c r="AL43" s="463"/>
      <c r="AM43" s="463"/>
      <c r="AN43" s="463"/>
      <c r="AO43" s="463"/>
      <c r="AP43" s="464"/>
      <c r="AQ43" s="465"/>
      <c r="AR43" s="463"/>
      <c r="AS43" s="463"/>
      <c r="AT43" s="463"/>
      <c r="AU43" s="463"/>
      <c r="AV43" s="464"/>
      <c r="AW43" s="465"/>
      <c r="AX43" s="463"/>
      <c r="AY43" s="463"/>
      <c r="AZ43" s="463"/>
      <c r="BA43" s="463"/>
      <c r="BB43" s="464"/>
      <c r="BC43" s="465"/>
      <c r="BD43" s="463"/>
      <c r="BE43" s="463"/>
      <c r="BF43" s="463"/>
      <c r="BG43" s="463"/>
      <c r="BH43" s="464"/>
      <c r="BI43" s="465"/>
      <c r="BJ43" s="463"/>
      <c r="BK43" s="463"/>
      <c r="BL43" s="463"/>
      <c r="BM43" s="463"/>
      <c r="BN43" s="464"/>
      <c r="BO43" s="465"/>
      <c r="BP43" s="463"/>
      <c r="BQ43" s="463"/>
      <c r="BR43" s="463"/>
      <c r="BS43" s="463"/>
      <c r="BT43" s="464"/>
      <c r="BU43" s="465"/>
      <c r="BV43" s="463"/>
      <c r="BW43" s="463"/>
      <c r="BX43" s="463"/>
      <c r="BY43" s="463"/>
      <c r="BZ43" s="464"/>
      <c r="CA43" s="465"/>
      <c r="CB43" s="463"/>
      <c r="CC43" s="463"/>
      <c r="CD43" s="463"/>
      <c r="CE43" s="463"/>
      <c r="CF43" s="464"/>
      <c r="CG43" s="465"/>
      <c r="CH43" s="463"/>
      <c r="CI43" s="463"/>
      <c r="CJ43" s="463"/>
      <c r="CK43" s="463"/>
      <c r="CL43" s="464"/>
      <c r="CM43" s="465"/>
      <c r="CN43" s="463"/>
      <c r="CO43" s="463"/>
      <c r="CP43" s="463"/>
      <c r="CQ43" s="463"/>
      <c r="CR43" s="464"/>
      <c r="CS43" s="465"/>
      <c r="CT43" s="463"/>
      <c r="CU43" s="463"/>
      <c r="CV43" s="463"/>
      <c r="CW43" s="463"/>
      <c r="CX43" s="464"/>
      <c r="CY43" s="465"/>
      <c r="CZ43" s="463"/>
      <c r="DA43" s="463"/>
      <c r="DB43" s="463"/>
      <c r="DC43" s="463"/>
      <c r="DD43" s="464"/>
      <c r="DE43" s="465"/>
      <c r="DF43" s="463"/>
      <c r="DG43" s="463"/>
      <c r="DH43" s="463"/>
      <c r="DI43" s="463"/>
      <c r="DJ43" s="464"/>
      <c r="DK43" s="465"/>
      <c r="DL43" s="463"/>
      <c r="DM43" s="463"/>
      <c r="DN43" s="463"/>
      <c r="DO43" s="463"/>
      <c r="DP43" s="464"/>
      <c r="DQ43" s="465"/>
      <c r="DR43" s="463"/>
      <c r="DS43" s="463"/>
      <c r="DT43" s="463"/>
      <c r="DU43" s="463"/>
      <c r="DV43" s="464"/>
      <c r="DW43" s="465"/>
      <c r="DX43" s="463"/>
      <c r="DY43" s="463"/>
      <c r="DZ43" s="463"/>
      <c r="EA43" s="463"/>
      <c r="EB43" s="464"/>
      <c r="EC43" s="465"/>
      <c r="ED43" s="463"/>
      <c r="EE43" s="463"/>
      <c r="EF43" s="463"/>
      <c r="EG43" s="463"/>
      <c r="EH43" s="464"/>
      <c r="EI43" s="465"/>
      <c r="EJ43" s="463"/>
      <c r="EK43" s="463"/>
      <c r="EL43" s="463"/>
      <c r="EM43" s="463"/>
      <c r="EN43" s="464"/>
      <c r="EO43" s="465"/>
      <c r="EP43" s="463"/>
      <c r="EQ43" s="463"/>
      <c r="ER43" s="463"/>
      <c r="ES43" s="463"/>
      <c r="ET43" s="464"/>
      <c r="EU43" s="465"/>
      <c r="EV43" s="463"/>
      <c r="EW43" s="463"/>
      <c r="EX43" s="463"/>
      <c r="EY43" s="463"/>
      <c r="EZ43" s="464"/>
      <c r="FA43" s="465"/>
      <c r="FB43" s="463"/>
      <c r="FC43" s="463"/>
      <c r="FD43" s="463"/>
      <c r="FE43" s="463"/>
      <c r="FF43" s="464"/>
      <c r="FG43" s="465"/>
      <c r="FH43" s="463"/>
      <c r="FI43" s="463"/>
      <c r="FJ43" s="463"/>
      <c r="FK43" s="463"/>
      <c r="FL43" s="464"/>
      <c r="FM43" s="465"/>
      <c r="FN43" s="463"/>
      <c r="FO43" s="463"/>
      <c r="FP43" s="463"/>
      <c r="FQ43" s="463"/>
      <c r="FR43" s="464"/>
      <c r="FS43" s="465"/>
      <c r="FT43" s="463"/>
      <c r="FU43" s="463"/>
      <c r="FV43" s="463"/>
      <c r="FW43" s="463"/>
      <c r="FX43" s="464"/>
      <c r="FY43" s="465"/>
      <c r="FZ43" s="463"/>
      <c r="GA43" s="463"/>
      <c r="GB43" s="463"/>
      <c r="GC43" s="463"/>
      <c r="GD43" s="464"/>
      <c r="GE43" s="465"/>
      <c r="GF43" s="463"/>
      <c r="GG43" s="463"/>
      <c r="GH43" s="463"/>
      <c r="GI43" s="463"/>
      <c r="GJ43" s="464"/>
      <c r="GK43" s="465"/>
      <c r="GL43" s="463"/>
      <c r="GM43" s="463"/>
      <c r="GN43" s="463"/>
      <c r="GO43" s="463"/>
      <c r="GP43" s="464"/>
      <c r="GQ43" s="465"/>
      <c r="GR43" s="463"/>
      <c r="GS43" s="463"/>
      <c r="GT43" s="463"/>
      <c r="GU43" s="463"/>
      <c r="GV43" s="464"/>
      <c r="GW43" s="465"/>
      <c r="GX43" s="463"/>
      <c r="GY43" s="463"/>
      <c r="GZ43" s="463"/>
      <c r="HA43" s="463"/>
      <c r="HB43" s="464"/>
      <c r="HC43" s="465"/>
      <c r="HD43" s="463"/>
      <c r="HE43" s="463"/>
      <c r="HF43" s="463"/>
      <c r="HG43" s="463"/>
      <c r="HH43" s="464"/>
      <c r="HI43" s="465"/>
      <c r="HJ43" s="463"/>
      <c r="HK43" s="463"/>
      <c r="HL43" s="463"/>
      <c r="HM43" s="463"/>
      <c r="HN43" s="464"/>
      <c r="HO43" s="465"/>
      <c r="HP43" s="463"/>
      <c r="HQ43" s="463"/>
      <c r="HR43" s="463"/>
      <c r="HS43" s="463"/>
      <c r="HT43" s="464"/>
      <c r="HU43" s="465"/>
      <c r="HV43" s="463"/>
      <c r="HW43" s="463"/>
      <c r="HX43" s="463"/>
      <c r="HY43" s="463"/>
      <c r="HZ43" s="464"/>
      <c r="IA43" s="465"/>
      <c r="IB43" s="463"/>
      <c r="IC43" s="463"/>
      <c r="ID43" s="463"/>
      <c r="IE43" s="463"/>
      <c r="IF43" s="464"/>
      <c r="IG43" s="465"/>
      <c r="IH43" s="463"/>
      <c r="II43" s="463"/>
      <c r="IJ43" s="463"/>
    </row>
    <row r="44" spans="2:244" x14ac:dyDescent="0.3">
      <c r="B44" s="457">
        <v>21</v>
      </c>
      <c r="C44" s="704" t="str">
        <f>RUAS!B33</f>
        <v>RUA CARAZINHO</v>
      </c>
      <c r="D44" s="690">
        <v>2</v>
      </c>
      <c r="E44" s="691" t="s">
        <v>352</v>
      </c>
      <c r="F44" s="692">
        <v>0</v>
      </c>
      <c r="G44" s="690">
        <v>3</v>
      </c>
      <c r="H44" s="691" t="s">
        <v>352</v>
      </c>
      <c r="I44" s="692">
        <v>11.622</v>
      </c>
      <c r="J44" s="693">
        <f t="shared" si="0"/>
        <v>31.62</v>
      </c>
      <c r="K44" s="693">
        <v>0</v>
      </c>
      <c r="L44" s="707">
        <f t="shared" si="1"/>
        <v>0</v>
      </c>
      <c r="M44" s="693">
        <v>2</v>
      </c>
      <c r="N44" s="707">
        <f t="shared" si="2"/>
        <v>63.24</v>
      </c>
      <c r="O44" s="707">
        <f t="shared" si="3"/>
        <v>63.24</v>
      </c>
      <c r="P44" s="463"/>
      <c r="T44" s="463"/>
      <c r="U44" s="463"/>
      <c r="V44" s="463"/>
      <c r="W44" s="463"/>
      <c r="X44" s="464"/>
      <c r="Y44" s="465"/>
      <c r="Z44" s="463"/>
      <c r="AA44" s="463"/>
      <c r="AB44" s="463"/>
      <c r="AC44" s="463"/>
      <c r="AD44" s="464"/>
      <c r="AE44" s="465"/>
      <c r="AF44" s="463"/>
      <c r="AG44" s="463"/>
      <c r="AH44" s="463"/>
      <c r="AI44" s="463"/>
      <c r="AJ44" s="464"/>
      <c r="AK44" s="465"/>
      <c r="AL44" s="463"/>
      <c r="AM44" s="463"/>
      <c r="AN44" s="463"/>
      <c r="AO44" s="463"/>
      <c r="AP44" s="464"/>
      <c r="AQ44" s="465"/>
      <c r="AR44" s="463"/>
      <c r="AS44" s="463"/>
      <c r="AT44" s="463"/>
      <c r="AU44" s="463"/>
      <c r="AV44" s="464"/>
      <c r="AW44" s="465"/>
      <c r="AX44" s="463"/>
      <c r="AY44" s="463"/>
      <c r="AZ44" s="463"/>
      <c r="BA44" s="463"/>
      <c r="BB44" s="464"/>
      <c r="BC44" s="465"/>
      <c r="BD44" s="463"/>
      <c r="BE44" s="463"/>
      <c r="BF44" s="463"/>
      <c r="BG44" s="463"/>
      <c r="BH44" s="464"/>
      <c r="BI44" s="465"/>
      <c r="BJ44" s="463"/>
      <c r="BK44" s="463"/>
      <c r="BL44" s="463"/>
      <c r="BM44" s="463"/>
      <c r="BN44" s="464"/>
      <c r="BO44" s="465"/>
      <c r="BP44" s="463"/>
      <c r="BQ44" s="463"/>
      <c r="BR44" s="463"/>
      <c r="BS44" s="463"/>
      <c r="BT44" s="464"/>
      <c r="BU44" s="465"/>
      <c r="BV44" s="463"/>
      <c r="BW44" s="463"/>
      <c r="BX44" s="463"/>
      <c r="BY44" s="463"/>
      <c r="BZ44" s="464"/>
      <c r="CA44" s="465"/>
      <c r="CB44" s="463"/>
      <c r="CC44" s="463"/>
      <c r="CD44" s="463"/>
      <c r="CE44" s="463"/>
      <c r="CF44" s="464"/>
      <c r="CG44" s="465"/>
      <c r="CH44" s="463"/>
      <c r="CI44" s="463"/>
      <c r="CJ44" s="463"/>
      <c r="CK44" s="463"/>
      <c r="CL44" s="464"/>
      <c r="CM44" s="465"/>
      <c r="CN44" s="463"/>
      <c r="CO44" s="463"/>
      <c r="CP44" s="463"/>
      <c r="CQ44" s="463"/>
      <c r="CR44" s="464"/>
      <c r="CS44" s="465"/>
      <c r="CT44" s="463"/>
      <c r="CU44" s="463"/>
      <c r="CV44" s="463"/>
      <c r="CW44" s="463"/>
      <c r="CX44" s="464"/>
      <c r="CY44" s="465"/>
      <c r="CZ44" s="463"/>
      <c r="DA44" s="463"/>
      <c r="DB44" s="463"/>
      <c r="DC44" s="463"/>
      <c r="DD44" s="464"/>
      <c r="DE44" s="465"/>
      <c r="DF44" s="463"/>
      <c r="DG44" s="463"/>
      <c r="DH44" s="463"/>
      <c r="DI44" s="463"/>
      <c r="DJ44" s="464"/>
      <c r="DK44" s="465"/>
      <c r="DL44" s="463"/>
      <c r="DM44" s="463"/>
      <c r="DN44" s="463"/>
      <c r="DO44" s="463"/>
      <c r="DP44" s="464"/>
      <c r="DQ44" s="465"/>
      <c r="DR44" s="463"/>
      <c r="DS44" s="463"/>
      <c r="DT44" s="463"/>
      <c r="DU44" s="463"/>
      <c r="DV44" s="464"/>
      <c r="DW44" s="465"/>
      <c r="DX44" s="463"/>
      <c r="DY44" s="463"/>
      <c r="DZ44" s="463"/>
      <c r="EA44" s="463"/>
      <c r="EB44" s="464"/>
      <c r="EC44" s="465"/>
      <c r="ED44" s="463"/>
      <c r="EE44" s="463"/>
      <c r="EF44" s="463"/>
      <c r="EG44" s="463"/>
      <c r="EH44" s="464"/>
      <c r="EI44" s="465"/>
      <c r="EJ44" s="463"/>
      <c r="EK44" s="463"/>
      <c r="EL44" s="463"/>
      <c r="EM44" s="463"/>
      <c r="EN44" s="464"/>
      <c r="EO44" s="465"/>
      <c r="EP44" s="463"/>
      <c r="EQ44" s="463"/>
      <c r="ER44" s="463"/>
      <c r="ES44" s="463"/>
      <c r="ET44" s="464"/>
      <c r="EU44" s="465"/>
      <c r="EV44" s="463"/>
      <c r="EW44" s="463"/>
      <c r="EX44" s="463"/>
      <c r="EY44" s="463"/>
      <c r="EZ44" s="464"/>
      <c r="FA44" s="465"/>
      <c r="FB44" s="463"/>
      <c r="FC44" s="463"/>
      <c r="FD44" s="463"/>
      <c r="FE44" s="463"/>
      <c r="FF44" s="464"/>
      <c r="FG44" s="465"/>
      <c r="FH44" s="463"/>
      <c r="FI44" s="463"/>
      <c r="FJ44" s="463"/>
      <c r="FK44" s="463"/>
      <c r="FL44" s="464"/>
      <c r="FM44" s="465"/>
      <c r="FN44" s="463"/>
      <c r="FO44" s="463"/>
      <c r="FP44" s="463"/>
      <c r="FQ44" s="463"/>
      <c r="FR44" s="464"/>
      <c r="FS44" s="465"/>
      <c r="FT44" s="463"/>
      <c r="FU44" s="463"/>
      <c r="FV44" s="463"/>
      <c r="FW44" s="463"/>
      <c r="FX44" s="464"/>
      <c r="FY44" s="465"/>
      <c r="FZ44" s="463"/>
      <c r="GA44" s="463"/>
      <c r="GB44" s="463"/>
      <c r="GC44" s="463"/>
      <c r="GD44" s="464"/>
      <c r="GE44" s="465"/>
      <c r="GF44" s="463"/>
      <c r="GG44" s="463"/>
      <c r="GH44" s="463"/>
      <c r="GI44" s="463"/>
      <c r="GJ44" s="464"/>
      <c r="GK44" s="465"/>
      <c r="GL44" s="463"/>
      <c r="GM44" s="463"/>
      <c r="GN44" s="463"/>
      <c r="GO44" s="463"/>
      <c r="GP44" s="464"/>
      <c r="GQ44" s="465"/>
      <c r="GR44" s="463"/>
      <c r="GS44" s="463"/>
      <c r="GT44" s="463"/>
      <c r="GU44" s="463"/>
      <c r="GV44" s="464"/>
      <c r="GW44" s="465"/>
      <c r="GX44" s="463"/>
      <c r="GY44" s="463"/>
      <c r="GZ44" s="463"/>
      <c r="HA44" s="463"/>
      <c r="HB44" s="464"/>
      <c r="HC44" s="465"/>
      <c r="HD44" s="463"/>
      <c r="HE44" s="463"/>
      <c r="HF44" s="463"/>
      <c r="HG44" s="463"/>
      <c r="HH44" s="464"/>
      <c r="HI44" s="465"/>
      <c r="HJ44" s="463"/>
      <c r="HK44" s="463"/>
      <c r="HL44" s="463"/>
      <c r="HM44" s="463"/>
      <c r="HN44" s="464"/>
      <c r="HO44" s="465"/>
      <c r="HP44" s="463"/>
      <c r="HQ44" s="463"/>
      <c r="HR44" s="463"/>
      <c r="HS44" s="463"/>
      <c r="HT44" s="464"/>
      <c r="HU44" s="465"/>
      <c r="HV44" s="463"/>
      <c r="HW44" s="463"/>
      <c r="HX44" s="463"/>
      <c r="HY44" s="463"/>
      <c r="HZ44" s="464"/>
      <c r="IA44" s="465"/>
      <c r="IB44" s="463"/>
      <c r="IC44" s="463"/>
      <c r="ID44" s="463"/>
      <c r="IE44" s="463"/>
      <c r="IF44" s="464"/>
      <c r="IG44" s="465"/>
      <c r="IH44" s="463"/>
      <c r="II44" s="463"/>
      <c r="IJ44" s="463"/>
    </row>
    <row r="45" spans="2:244" x14ac:dyDescent="0.3">
      <c r="B45" s="1266">
        <v>22</v>
      </c>
      <c r="C45" s="1268" t="str">
        <f>RUAS!B34</f>
        <v>RUA LONDRINA</v>
      </c>
      <c r="D45" s="690">
        <v>6</v>
      </c>
      <c r="E45" s="691" t="s">
        <v>352</v>
      </c>
      <c r="F45" s="692">
        <v>4.2720000000000002</v>
      </c>
      <c r="G45" s="690">
        <v>8</v>
      </c>
      <c r="H45" s="691" t="s">
        <v>352</v>
      </c>
      <c r="I45" s="692">
        <v>6.6219999999999999</v>
      </c>
      <c r="J45" s="693">
        <f t="shared" si="0"/>
        <v>42.35</v>
      </c>
      <c r="K45" s="693">
        <v>1.5</v>
      </c>
      <c r="L45" s="707">
        <f t="shared" si="1"/>
        <v>63.52</v>
      </c>
      <c r="M45" s="693">
        <v>0</v>
      </c>
      <c r="N45" s="707">
        <f t="shared" si="2"/>
        <v>0</v>
      </c>
      <c r="O45" s="707">
        <f t="shared" si="3"/>
        <v>63.52</v>
      </c>
      <c r="P45" s="463"/>
      <c r="T45" s="463"/>
      <c r="U45" s="463"/>
      <c r="V45" s="463"/>
      <c r="W45" s="463"/>
      <c r="X45" s="464"/>
      <c r="Y45" s="465"/>
      <c r="Z45" s="463"/>
      <c r="AA45" s="463"/>
      <c r="AB45" s="463"/>
      <c r="AC45" s="463"/>
      <c r="AD45" s="464"/>
      <c r="AE45" s="465"/>
      <c r="AF45" s="463"/>
      <c r="AG45" s="463"/>
      <c r="AH45" s="463"/>
      <c r="AI45" s="463"/>
      <c r="AJ45" s="464"/>
      <c r="AK45" s="465"/>
      <c r="AL45" s="463"/>
      <c r="AM45" s="463"/>
      <c r="AN45" s="463"/>
      <c r="AO45" s="463"/>
      <c r="AP45" s="464"/>
      <c r="AQ45" s="465"/>
      <c r="AR45" s="463"/>
      <c r="AS45" s="463"/>
      <c r="AT45" s="463"/>
      <c r="AU45" s="463"/>
      <c r="AV45" s="464"/>
      <c r="AW45" s="465"/>
      <c r="AX45" s="463"/>
      <c r="AY45" s="463"/>
      <c r="AZ45" s="463"/>
      <c r="BA45" s="463"/>
      <c r="BB45" s="464"/>
      <c r="BC45" s="465"/>
      <c r="BD45" s="463"/>
      <c r="BE45" s="463"/>
      <c r="BF45" s="463"/>
      <c r="BG45" s="463"/>
      <c r="BH45" s="464"/>
      <c r="BI45" s="465"/>
      <c r="BJ45" s="463"/>
      <c r="BK45" s="463"/>
      <c r="BL45" s="463"/>
      <c r="BM45" s="463"/>
      <c r="BN45" s="464"/>
      <c r="BO45" s="465"/>
      <c r="BP45" s="463"/>
      <c r="BQ45" s="463"/>
      <c r="BR45" s="463"/>
      <c r="BS45" s="463"/>
      <c r="BT45" s="464"/>
      <c r="BU45" s="465"/>
      <c r="BV45" s="463"/>
      <c r="BW45" s="463"/>
      <c r="BX45" s="463"/>
      <c r="BY45" s="463"/>
      <c r="BZ45" s="464"/>
      <c r="CA45" s="465"/>
      <c r="CB45" s="463"/>
      <c r="CC45" s="463"/>
      <c r="CD45" s="463"/>
      <c r="CE45" s="463"/>
      <c r="CF45" s="464"/>
      <c r="CG45" s="465"/>
      <c r="CH45" s="463"/>
      <c r="CI45" s="463"/>
      <c r="CJ45" s="463"/>
      <c r="CK45" s="463"/>
      <c r="CL45" s="464"/>
      <c r="CM45" s="465"/>
      <c r="CN45" s="463"/>
      <c r="CO45" s="463"/>
      <c r="CP45" s="463"/>
      <c r="CQ45" s="463"/>
      <c r="CR45" s="464"/>
      <c r="CS45" s="465"/>
      <c r="CT45" s="463"/>
      <c r="CU45" s="463"/>
      <c r="CV45" s="463"/>
      <c r="CW45" s="463"/>
      <c r="CX45" s="464"/>
      <c r="CY45" s="465"/>
      <c r="CZ45" s="463"/>
      <c r="DA45" s="463"/>
      <c r="DB45" s="463"/>
      <c r="DC45" s="463"/>
      <c r="DD45" s="464"/>
      <c r="DE45" s="465"/>
      <c r="DF45" s="463"/>
      <c r="DG45" s="463"/>
      <c r="DH45" s="463"/>
      <c r="DI45" s="463"/>
      <c r="DJ45" s="464"/>
      <c r="DK45" s="465"/>
      <c r="DL45" s="463"/>
      <c r="DM45" s="463"/>
      <c r="DN45" s="463"/>
      <c r="DO45" s="463"/>
      <c r="DP45" s="464"/>
      <c r="DQ45" s="465"/>
      <c r="DR45" s="463"/>
      <c r="DS45" s="463"/>
      <c r="DT45" s="463"/>
      <c r="DU45" s="463"/>
      <c r="DV45" s="464"/>
      <c r="DW45" s="465"/>
      <c r="DX45" s="463"/>
      <c r="DY45" s="463"/>
      <c r="DZ45" s="463"/>
      <c r="EA45" s="463"/>
      <c r="EB45" s="464"/>
      <c r="EC45" s="465"/>
      <c r="ED45" s="463"/>
      <c r="EE45" s="463"/>
      <c r="EF45" s="463"/>
      <c r="EG45" s="463"/>
      <c r="EH45" s="464"/>
      <c r="EI45" s="465"/>
      <c r="EJ45" s="463"/>
      <c r="EK45" s="463"/>
      <c r="EL45" s="463"/>
      <c r="EM45" s="463"/>
      <c r="EN45" s="464"/>
      <c r="EO45" s="465"/>
      <c r="EP45" s="463"/>
      <c r="EQ45" s="463"/>
      <c r="ER45" s="463"/>
      <c r="ES45" s="463"/>
      <c r="ET45" s="464"/>
      <c r="EU45" s="465"/>
      <c r="EV45" s="463"/>
      <c r="EW45" s="463"/>
      <c r="EX45" s="463"/>
      <c r="EY45" s="463"/>
      <c r="EZ45" s="464"/>
      <c r="FA45" s="465"/>
      <c r="FB45" s="463"/>
      <c r="FC45" s="463"/>
      <c r="FD45" s="463"/>
      <c r="FE45" s="463"/>
      <c r="FF45" s="464"/>
      <c r="FG45" s="465"/>
      <c r="FH45" s="463"/>
      <c r="FI45" s="463"/>
      <c r="FJ45" s="463"/>
      <c r="FK45" s="463"/>
      <c r="FL45" s="464"/>
      <c r="FM45" s="465"/>
      <c r="FN45" s="463"/>
      <c r="FO45" s="463"/>
      <c r="FP45" s="463"/>
      <c r="FQ45" s="463"/>
      <c r="FR45" s="464"/>
      <c r="FS45" s="465"/>
      <c r="FT45" s="463"/>
      <c r="FU45" s="463"/>
      <c r="FV45" s="463"/>
      <c r="FW45" s="463"/>
      <c r="FX45" s="464"/>
      <c r="FY45" s="465"/>
      <c r="FZ45" s="463"/>
      <c r="GA45" s="463"/>
      <c r="GB45" s="463"/>
      <c r="GC45" s="463"/>
      <c r="GD45" s="464"/>
      <c r="GE45" s="465"/>
      <c r="GF45" s="463"/>
      <c r="GG45" s="463"/>
      <c r="GH45" s="463"/>
      <c r="GI45" s="463"/>
      <c r="GJ45" s="464"/>
      <c r="GK45" s="465"/>
      <c r="GL45" s="463"/>
      <c r="GM45" s="463"/>
      <c r="GN45" s="463"/>
      <c r="GO45" s="463"/>
      <c r="GP45" s="464"/>
      <c r="GQ45" s="465"/>
      <c r="GR45" s="463"/>
      <c r="GS45" s="463"/>
      <c r="GT45" s="463"/>
      <c r="GU45" s="463"/>
      <c r="GV45" s="464"/>
      <c r="GW45" s="465"/>
      <c r="GX45" s="463"/>
      <c r="GY45" s="463"/>
      <c r="GZ45" s="463"/>
      <c r="HA45" s="463"/>
      <c r="HB45" s="464"/>
      <c r="HC45" s="465"/>
      <c r="HD45" s="463"/>
      <c r="HE45" s="463"/>
      <c r="HF45" s="463"/>
      <c r="HG45" s="463"/>
      <c r="HH45" s="464"/>
      <c r="HI45" s="465"/>
      <c r="HJ45" s="463"/>
      <c r="HK45" s="463"/>
      <c r="HL45" s="463"/>
      <c r="HM45" s="463"/>
      <c r="HN45" s="464"/>
      <c r="HO45" s="465"/>
      <c r="HP45" s="463"/>
      <c r="HQ45" s="463"/>
      <c r="HR45" s="463"/>
      <c r="HS45" s="463"/>
      <c r="HT45" s="464"/>
      <c r="HU45" s="465"/>
      <c r="HV45" s="463"/>
      <c r="HW45" s="463"/>
      <c r="HX45" s="463"/>
      <c r="HY45" s="463"/>
      <c r="HZ45" s="464"/>
      <c r="IA45" s="465"/>
      <c r="IB45" s="463"/>
      <c r="IC45" s="463"/>
      <c r="ID45" s="463"/>
      <c r="IE45" s="463"/>
      <c r="IF45" s="464"/>
      <c r="IG45" s="465"/>
      <c r="IH45" s="463"/>
      <c r="II45" s="463"/>
      <c r="IJ45" s="463"/>
    </row>
    <row r="46" spans="2:244" x14ac:dyDescent="0.3">
      <c r="B46" s="1267"/>
      <c r="C46" s="1269"/>
      <c r="D46" s="690">
        <v>0</v>
      </c>
      <c r="E46" s="691" t="s">
        <v>352</v>
      </c>
      <c r="F46" s="692">
        <v>5.26</v>
      </c>
      <c r="G46" s="690">
        <v>2</v>
      </c>
      <c r="H46" s="691" t="s">
        <v>352</v>
      </c>
      <c r="I46" s="692">
        <v>14.384</v>
      </c>
      <c r="J46" s="693">
        <f t="shared" si="0"/>
        <v>49.12</v>
      </c>
      <c r="K46" s="693">
        <v>2</v>
      </c>
      <c r="L46" s="707">
        <f t="shared" si="1"/>
        <v>98.24</v>
      </c>
      <c r="M46" s="693">
        <v>0</v>
      </c>
      <c r="N46" s="707">
        <f t="shared" si="2"/>
        <v>0</v>
      </c>
      <c r="O46" s="707">
        <f t="shared" si="3"/>
        <v>98.24</v>
      </c>
      <c r="P46" s="463"/>
      <c r="T46" s="463"/>
      <c r="U46" s="463"/>
      <c r="V46" s="463"/>
      <c r="W46" s="463"/>
      <c r="X46" s="464"/>
      <c r="Y46" s="465"/>
      <c r="Z46" s="463"/>
      <c r="AA46" s="463"/>
      <c r="AB46" s="463"/>
      <c r="AC46" s="463"/>
      <c r="AD46" s="464"/>
      <c r="AE46" s="465"/>
      <c r="AF46" s="463"/>
      <c r="AG46" s="463"/>
      <c r="AH46" s="463"/>
      <c r="AI46" s="463"/>
      <c r="AJ46" s="464"/>
      <c r="AK46" s="465"/>
      <c r="AL46" s="463"/>
      <c r="AM46" s="463"/>
      <c r="AN46" s="463"/>
      <c r="AO46" s="463"/>
      <c r="AP46" s="464"/>
      <c r="AQ46" s="465"/>
      <c r="AR46" s="463"/>
      <c r="AS46" s="463"/>
      <c r="AT46" s="463"/>
      <c r="AU46" s="463"/>
      <c r="AV46" s="464"/>
      <c r="AW46" s="465"/>
      <c r="AX46" s="463"/>
      <c r="AY46" s="463"/>
      <c r="AZ46" s="463"/>
      <c r="BA46" s="463"/>
      <c r="BB46" s="464"/>
      <c r="BC46" s="465"/>
      <c r="BD46" s="463"/>
      <c r="BE46" s="463"/>
      <c r="BF46" s="463"/>
      <c r="BG46" s="463"/>
      <c r="BH46" s="464"/>
      <c r="BI46" s="465"/>
      <c r="BJ46" s="463"/>
      <c r="BK46" s="463"/>
      <c r="BL46" s="463"/>
      <c r="BM46" s="463"/>
      <c r="BN46" s="464"/>
      <c r="BO46" s="465"/>
      <c r="BP46" s="463"/>
      <c r="BQ46" s="463"/>
      <c r="BR46" s="463"/>
      <c r="BS46" s="463"/>
      <c r="BT46" s="464"/>
      <c r="BU46" s="465"/>
      <c r="BV46" s="463"/>
      <c r="BW46" s="463"/>
      <c r="BX46" s="463"/>
      <c r="BY46" s="463"/>
      <c r="BZ46" s="464"/>
      <c r="CA46" s="465"/>
      <c r="CB46" s="463"/>
      <c r="CC46" s="463"/>
      <c r="CD46" s="463"/>
      <c r="CE46" s="463"/>
      <c r="CF46" s="464"/>
      <c r="CG46" s="465"/>
      <c r="CH46" s="463"/>
      <c r="CI46" s="463"/>
      <c r="CJ46" s="463"/>
      <c r="CK46" s="463"/>
      <c r="CL46" s="464"/>
      <c r="CM46" s="465"/>
      <c r="CN46" s="463"/>
      <c r="CO46" s="463"/>
      <c r="CP46" s="463"/>
      <c r="CQ46" s="463"/>
      <c r="CR46" s="464"/>
      <c r="CS46" s="465"/>
      <c r="CT46" s="463"/>
      <c r="CU46" s="463"/>
      <c r="CV46" s="463"/>
      <c r="CW46" s="463"/>
      <c r="CX46" s="464"/>
      <c r="CY46" s="465"/>
      <c r="CZ46" s="463"/>
      <c r="DA46" s="463"/>
      <c r="DB46" s="463"/>
      <c r="DC46" s="463"/>
      <c r="DD46" s="464"/>
      <c r="DE46" s="465"/>
      <c r="DF46" s="463"/>
      <c r="DG46" s="463"/>
      <c r="DH46" s="463"/>
      <c r="DI46" s="463"/>
      <c r="DJ46" s="464"/>
      <c r="DK46" s="465"/>
      <c r="DL46" s="463"/>
      <c r="DM46" s="463"/>
      <c r="DN46" s="463"/>
      <c r="DO46" s="463"/>
      <c r="DP46" s="464"/>
      <c r="DQ46" s="465"/>
      <c r="DR46" s="463"/>
      <c r="DS46" s="463"/>
      <c r="DT46" s="463"/>
      <c r="DU46" s="463"/>
      <c r="DV46" s="464"/>
      <c r="DW46" s="465"/>
      <c r="DX46" s="463"/>
      <c r="DY46" s="463"/>
      <c r="DZ46" s="463"/>
      <c r="EA46" s="463"/>
      <c r="EB46" s="464"/>
      <c r="EC46" s="465"/>
      <c r="ED46" s="463"/>
      <c r="EE46" s="463"/>
      <c r="EF46" s="463"/>
      <c r="EG46" s="463"/>
      <c r="EH46" s="464"/>
      <c r="EI46" s="465"/>
      <c r="EJ46" s="463"/>
      <c r="EK46" s="463"/>
      <c r="EL46" s="463"/>
      <c r="EM46" s="463"/>
      <c r="EN46" s="464"/>
      <c r="EO46" s="465"/>
      <c r="EP46" s="463"/>
      <c r="EQ46" s="463"/>
      <c r="ER46" s="463"/>
      <c r="ES46" s="463"/>
      <c r="ET46" s="464"/>
      <c r="EU46" s="465"/>
      <c r="EV46" s="463"/>
      <c r="EW46" s="463"/>
      <c r="EX46" s="463"/>
      <c r="EY46" s="463"/>
      <c r="EZ46" s="464"/>
      <c r="FA46" s="465"/>
      <c r="FB46" s="463"/>
      <c r="FC46" s="463"/>
      <c r="FD46" s="463"/>
      <c r="FE46" s="463"/>
      <c r="FF46" s="464"/>
      <c r="FG46" s="465"/>
      <c r="FH46" s="463"/>
      <c r="FI46" s="463"/>
      <c r="FJ46" s="463"/>
      <c r="FK46" s="463"/>
      <c r="FL46" s="464"/>
      <c r="FM46" s="465"/>
      <c r="FN46" s="463"/>
      <c r="FO46" s="463"/>
      <c r="FP46" s="463"/>
      <c r="FQ46" s="463"/>
      <c r="FR46" s="464"/>
      <c r="FS46" s="465"/>
      <c r="FT46" s="463"/>
      <c r="FU46" s="463"/>
      <c r="FV46" s="463"/>
      <c r="FW46" s="463"/>
      <c r="FX46" s="464"/>
      <c r="FY46" s="465"/>
      <c r="FZ46" s="463"/>
      <c r="GA46" s="463"/>
      <c r="GB46" s="463"/>
      <c r="GC46" s="463"/>
      <c r="GD46" s="464"/>
      <c r="GE46" s="465"/>
      <c r="GF46" s="463"/>
      <c r="GG46" s="463"/>
      <c r="GH46" s="463"/>
      <c r="GI46" s="463"/>
      <c r="GJ46" s="464"/>
      <c r="GK46" s="465"/>
      <c r="GL46" s="463"/>
      <c r="GM46" s="463"/>
      <c r="GN46" s="463"/>
      <c r="GO46" s="463"/>
      <c r="GP46" s="464"/>
      <c r="GQ46" s="465"/>
      <c r="GR46" s="463"/>
      <c r="GS46" s="463"/>
      <c r="GT46" s="463"/>
      <c r="GU46" s="463"/>
      <c r="GV46" s="464"/>
      <c r="GW46" s="465"/>
      <c r="GX46" s="463"/>
      <c r="GY46" s="463"/>
      <c r="GZ46" s="463"/>
      <c r="HA46" s="463"/>
      <c r="HB46" s="464"/>
      <c r="HC46" s="465"/>
      <c r="HD46" s="463"/>
      <c r="HE46" s="463"/>
      <c r="HF46" s="463"/>
      <c r="HG46" s="463"/>
      <c r="HH46" s="464"/>
      <c r="HI46" s="465"/>
      <c r="HJ46" s="463"/>
      <c r="HK46" s="463"/>
      <c r="HL46" s="463"/>
      <c r="HM46" s="463"/>
      <c r="HN46" s="464"/>
      <c r="HO46" s="465"/>
      <c r="HP46" s="463"/>
      <c r="HQ46" s="463"/>
      <c r="HR46" s="463"/>
      <c r="HS46" s="463"/>
      <c r="HT46" s="464"/>
      <c r="HU46" s="465"/>
      <c r="HV46" s="463"/>
      <c r="HW46" s="463"/>
      <c r="HX46" s="463"/>
      <c r="HY46" s="463"/>
      <c r="HZ46" s="464"/>
      <c r="IA46" s="465"/>
      <c r="IB46" s="463"/>
      <c r="IC46" s="463"/>
      <c r="ID46" s="463"/>
      <c r="IE46" s="463"/>
      <c r="IF46" s="464"/>
      <c r="IG46" s="465"/>
      <c r="IH46" s="463"/>
      <c r="II46" s="463"/>
      <c r="IJ46" s="463"/>
    </row>
    <row r="47" spans="2:244" ht="16.5" customHeight="1" x14ac:dyDescent="0.3">
      <c r="B47" s="1266">
        <v>23</v>
      </c>
      <c r="C47" s="1268" t="str">
        <f>RUAS!B37</f>
        <v>RUA MARIALVA - T1</v>
      </c>
      <c r="D47" s="690">
        <v>1</v>
      </c>
      <c r="E47" s="691" t="s">
        <v>352</v>
      </c>
      <c r="F47" s="692">
        <v>1.8360000000000001</v>
      </c>
      <c r="G47" s="690">
        <v>2</v>
      </c>
      <c r="H47" s="691" t="s">
        <v>352</v>
      </c>
      <c r="I47" s="692">
        <v>12.762</v>
      </c>
      <c r="J47" s="693">
        <f t="shared" si="0"/>
        <v>30.92</v>
      </c>
      <c r="K47" s="693">
        <v>0</v>
      </c>
      <c r="L47" s="707">
        <f t="shared" si="1"/>
        <v>0</v>
      </c>
      <c r="M47" s="693">
        <v>2</v>
      </c>
      <c r="N47" s="707">
        <f t="shared" si="2"/>
        <v>61.84</v>
      </c>
      <c r="O47" s="707">
        <f t="shared" si="3"/>
        <v>61.84</v>
      </c>
      <c r="P47" s="463"/>
      <c r="T47" s="463"/>
      <c r="U47" s="463"/>
      <c r="V47" s="463"/>
      <c r="W47" s="463"/>
      <c r="X47" s="464"/>
      <c r="Y47" s="465"/>
      <c r="Z47" s="463"/>
      <c r="AA47" s="463"/>
      <c r="AB47" s="463"/>
      <c r="AC47" s="463"/>
      <c r="AD47" s="464"/>
      <c r="AE47" s="465"/>
      <c r="AF47" s="463"/>
      <c r="AG47" s="463"/>
      <c r="AH47" s="463"/>
      <c r="AI47" s="463"/>
      <c r="AJ47" s="464"/>
      <c r="AK47" s="465"/>
      <c r="AL47" s="463"/>
      <c r="AM47" s="463"/>
      <c r="AN47" s="463"/>
      <c r="AO47" s="463"/>
      <c r="AP47" s="464"/>
      <c r="AQ47" s="465"/>
      <c r="AR47" s="463"/>
      <c r="AS47" s="463"/>
      <c r="AT47" s="463"/>
      <c r="AU47" s="463"/>
      <c r="AV47" s="464"/>
      <c r="AW47" s="465"/>
      <c r="AX47" s="463"/>
      <c r="AY47" s="463"/>
      <c r="AZ47" s="463"/>
      <c r="BA47" s="463"/>
      <c r="BB47" s="464"/>
      <c r="BC47" s="465"/>
      <c r="BD47" s="463"/>
      <c r="BE47" s="463"/>
      <c r="BF47" s="463"/>
      <c r="BG47" s="463"/>
      <c r="BH47" s="464"/>
      <c r="BI47" s="465"/>
      <c r="BJ47" s="463"/>
      <c r="BK47" s="463"/>
      <c r="BL47" s="463"/>
      <c r="BM47" s="463"/>
      <c r="BN47" s="464"/>
      <c r="BO47" s="465"/>
      <c r="BP47" s="463"/>
      <c r="BQ47" s="463"/>
      <c r="BR47" s="463"/>
      <c r="BS47" s="463"/>
      <c r="BT47" s="464"/>
      <c r="BU47" s="465"/>
      <c r="BV47" s="463"/>
      <c r="BW47" s="463"/>
      <c r="BX47" s="463"/>
      <c r="BY47" s="463"/>
      <c r="BZ47" s="464"/>
      <c r="CA47" s="465"/>
      <c r="CB47" s="463"/>
      <c r="CC47" s="463"/>
      <c r="CD47" s="463"/>
      <c r="CE47" s="463"/>
      <c r="CF47" s="464"/>
      <c r="CG47" s="465"/>
      <c r="CH47" s="463"/>
      <c r="CI47" s="463"/>
      <c r="CJ47" s="463"/>
      <c r="CK47" s="463"/>
      <c r="CL47" s="464"/>
      <c r="CM47" s="465"/>
      <c r="CN47" s="463"/>
      <c r="CO47" s="463"/>
      <c r="CP47" s="463"/>
      <c r="CQ47" s="463"/>
      <c r="CR47" s="464"/>
      <c r="CS47" s="465"/>
      <c r="CT47" s="463"/>
      <c r="CU47" s="463"/>
      <c r="CV47" s="463"/>
      <c r="CW47" s="463"/>
      <c r="CX47" s="464"/>
      <c r="CY47" s="465"/>
      <c r="CZ47" s="463"/>
      <c r="DA47" s="463"/>
      <c r="DB47" s="463"/>
      <c r="DC47" s="463"/>
      <c r="DD47" s="464"/>
      <c r="DE47" s="465"/>
      <c r="DF47" s="463"/>
      <c r="DG47" s="463"/>
      <c r="DH47" s="463"/>
      <c r="DI47" s="463"/>
      <c r="DJ47" s="464"/>
      <c r="DK47" s="465"/>
      <c r="DL47" s="463"/>
      <c r="DM47" s="463"/>
      <c r="DN47" s="463"/>
      <c r="DO47" s="463"/>
      <c r="DP47" s="464"/>
      <c r="DQ47" s="465"/>
      <c r="DR47" s="463"/>
      <c r="DS47" s="463"/>
      <c r="DT47" s="463"/>
      <c r="DU47" s="463"/>
      <c r="DV47" s="464"/>
      <c r="DW47" s="465"/>
      <c r="DX47" s="463"/>
      <c r="DY47" s="463"/>
      <c r="DZ47" s="463"/>
      <c r="EA47" s="463"/>
      <c r="EB47" s="464"/>
      <c r="EC47" s="465"/>
      <c r="ED47" s="463"/>
      <c r="EE47" s="463"/>
      <c r="EF47" s="463"/>
      <c r="EG47" s="463"/>
      <c r="EH47" s="464"/>
      <c r="EI47" s="465"/>
      <c r="EJ47" s="463"/>
      <c r="EK47" s="463"/>
      <c r="EL47" s="463"/>
      <c r="EM47" s="463"/>
      <c r="EN47" s="464"/>
      <c r="EO47" s="465"/>
      <c r="EP47" s="463"/>
      <c r="EQ47" s="463"/>
      <c r="ER47" s="463"/>
      <c r="ES47" s="463"/>
      <c r="ET47" s="464"/>
      <c r="EU47" s="465"/>
      <c r="EV47" s="463"/>
      <c r="EW47" s="463"/>
      <c r="EX47" s="463"/>
      <c r="EY47" s="463"/>
      <c r="EZ47" s="464"/>
      <c r="FA47" s="465"/>
      <c r="FB47" s="463"/>
      <c r="FC47" s="463"/>
      <c r="FD47" s="463"/>
      <c r="FE47" s="463"/>
      <c r="FF47" s="464"/>
      <c r="FG47" s="465"/>
      <c r="FH47" s="463"/>
      <c r="FI47" s="463"/>
      <c r="FJ47" s="463"/>
      <c r="FK47" s="463"/>
      <c r="FL47" s="464"/>
      <c r="FM47" s="465"/>
      <c r="FN47" s="463"/>
      <c r="FO47" s="463"/>
      <c r="FP47" s="463"/>
      <c r="FQ47" s="463"/>
      <c r="FR47" s="464"/>
      <c r="FS47" s="465"/>
      <c r="FT47" s="463"/>
      <c r="FU47" s="463"/>
      <c r="FV47" s="463"/>
      <c r="FW47" s="463"/>
      <c r="FX47" s="464"/>
      <c r="FY47" s="465"/>
      <c r="FZ47" s="463"/>
      <c r="GA47" s="463"/>
      <c r="GB47" s="463"/>
      <c r="GC47" s="463"/>
      <c r="GD47" s="464"/>
      <c r="GE47" s="465"/>
      <c r="GF47" s="463"/>
      <c r="GG47" s="463"/>
      <c r="GH47" s="463"/>
      <c r="GI47" s="463"/>
      <c r="GJ47" s="464"/>
      <c r="GK47" s="465"/>
      <c r="GL47" s="463"/>
      <c r="GM47" s="463"/>
      <c r="GN47" s="463"/>
      <c r="GO47" s="463"/>
      <c r="GP47" s="464"/>
      <c r="GQ47" s="465"/>
      <c r="GR47" s="463"/>
      <c r="GS47" s="463"/>
      <c r="GT47" s="463"/>
      <c r="GU47" s="463"/>
      <c r="GV47" s="464"/>
      <c r="GW47" s="465"/>
      <c r="GX47" s="463"/>
      <c r="GY47" s="463"/>
      <c r="GZ47" s="463"/>
      <c r="HA47" s="463"/>
      <c r="HB47" s="464"/>
      <c r="HC47" s="465"/>
      <c r="HD47" s="463"/>
      <c r="HE47" s="463"/>
      <c r="HF47" s="463"/>
      <c r="HG47" s="463"/>
      <c r="HH47" s="464"/>
      <c r="HI47" s="465"/>
      <c r="HJ47" s="463"/>
      <c r="HK47" s="463"/>
      <c r="HL47" s="463"/>
      <c r="HM47" s="463"/>
      <c r="HN47" s="464"/>
      <c r="HO47" s="465"/>
      <c r="HP47" s="463"/>
      <c r="HQ47" s="463"/>
      <c r="HR47" s="463"/>
      <c r="HS47" s="463"/>
      <c r="HT47" s="464"/>
      <c r="HU47" s="465"/>
      <c r="HV47" s="463"/>
      <c r="HW47" s="463"/>
      <c r="HX47" s="463"/>
      <c r="HY47" s="463"/>
      <c r="HZ47" s="464"/>
      <c r="IA47" s="465"/>
      <c r="IB47" s="463"/>
      <c r="IC47" s="463"/>
      <c r="ID47" s="463"/>
      <c r="IE47" s="463"/>
      <c r="IF47" s="464"/>
      <c r="IG47" s="465"/>
      <c r="IH47" s="463"/>
      <c r="II47" s="463"/>
      <c r="IJ47" s="463"/>
    </row>
    <row r="48" spans="2:244" ht="16.5" customHeight="1" x14ac:dyDescent="0.3">
      <c r="B48" s="1270"/>
      <c r="C48" s="1271"/>
      <c r="D48" s="690">
        <v>3</v>
      </c>
      <c r="E48" s="691" t="s">
        <v>352</v>
      </c>
      <c r="F48" s="692">
        <v>3.5350000000000001</v>
      </c>
      <c r="G48" s="690">
        <v>4</v>
      </c>
      <c r="H48" s="691" t="s">
        <v>352</v>
      </c>
      <c r="I48" s="692">
        <v>5.6740000000000004</v>
      </c>
      <c r="J48" s="693">
        <f t="shared" si="0"/>
        <v>22.13</v>
      </c>
      <c r="K48" s="693">
        <v>0</v>
      </c>
      <c r="L48" s="707">
        <f t="shared" si="1"/>
        <v>0</v>
      </c>
      <c r="M48" s="693">
        <v>2</v>
      </c>
      <c r="N48" s="707">
        <f t="shared" si="2"/>
        <v>44.26</v>
      </c>
      <c r="O48" s="707">
        <f t="shared" si="3"/>
        <v>44.26</v>
      </c>
      <c r="P48" s="463"/>
      <c r="T48" s="463"/>
      <c r="U48" s="463"/>
      <c r="V48" s="463"/>
      <c r="W48" s="463"/>
      <c r="X48" s="464"/>
      <c r="Y48" s="465"/>
      <c r="Z48" s="463"/>
      <c r="AA48" s="463"/>
      <c r="AB48" s="463"/>
      <c r="AC48" s="463"/>
      <c r="AD48" s="464"/>
      <c r="AE48" s="465"/>
      <c r="AF48" s="463"/>
      <c r="AG48" s="463"/>
      <c r="AH48" s="463"/>
      <c r="AI48" s="463"/>
      <c r="AJ48" s="464"/>
      <c r="AK48" s="465"/>
      <c r="AL48" s="463"/>
      <c r="AM48" s="463"/>
      <c r="AN48" s="463"/>
      <c r="AO48" s="463"/>
      <c r="AP48" s="464"/>
      <c r="AQ48" s="465"/>
      <c r="AR48" s="463"/>
      <c r="AS48" s="463"/>
      <c r="AT48" s="463"/>
      <c r="AU48" s="463"/>
      <c r="AV48" s="464"/>
      <c r="AW48" s="465"/>
      <c r="AX48" s="463"/>
      <c r="AY48" s="463"/>
      <c r="AZ48" s="463"/>
      <c r="BA48" s="463"/>
      <c r="BB48" s="464"/>
      <c r="BC48" s="465"/>
      <c r="BD48" s="463"/>
      <c r="BE48" s="463"/>
      <c r="BF48" s="463"/>
      <c r="BG48" s="463"/>
      <c r="BH48" s="464"/>
      <c r="BI48" s="465"/>
      <c r="BJ48" s="463"/>
      <c r="BK48" s="463"/>
      <c r="BL48" s="463"/>
      <c r="BM48" s="463"/>
      <c r="BN48" s="464"/>
      <c r="BO48" s="465"/>
      <c r="BP48" s="463"/>
      <c r="BQ48" s="463"/>
      <c r="BR48" s="463"/>
      <c r="BS48" s="463"/>
      <c r="BT48" s="464"/>
      <c r="BU48" s="465"/>
      <c r="BV48" s="463"/>
      <c r="BW48" s="463"/>
      <c r="BX48" s="463"/>
      <c r="BY48" s="463"/>
      <c r="BZ48" s="464"/>
      <c r="CA48" s="465"/>
      <c r="CB48" s="463"/>
      <c r="CC48" s="463"/>
      <c r="CD48" s="463"/>
      <c r="CE48" s="463"/>
      <c r="CF48" s="464"/>
      <c r="CG48" s="465"/>
      <c r="CH48" s="463"/>
      <c r="CI48" s="463"/>
      <c r="CJ48" s="463"/>
      <c r="CK48" s="463"/>
      <c r="CL48" s="464"/>
      <c r="CM48" s="465"/>
      <c r="CN48" s="463"/>
      <c r="CO48" s="463"/>
      <c r="CP48" s="463"/>
      <c r="CQ48" s="463"/>
      <c r="CR48" s="464"/>
      <c r="CS48" s="465"/>
      <c r="CT48" s="463"/>
      <c r="CU48" s="463"/>
      <c r="CV48" s="463"/>
      <c r="CW48" s="463"/>
      <c r="CX48" s="464"/>
      <c r="CY48" s="465"/>
      <c r="CZ48" s="463"/>
      <c r="DA48" s="463"/>
      <c r="DB48" s="463"/>
      <c r="DC48" s="463"/>
      <c r="DD48" s="464"/>
      <c r="DE48" s="465"/>
      <c r="DF48" s="463"/>
      <c r="DG48" s="463"/>
      <c r="DH48" s="463"/>
      <c r="DI48" s="463"/>
      <c r="DJ48" s="464"/>
      <c r="DK48" s="465"/>
      <c r="DL48" s="463"/>
      <c r="DM48" s="463"/>
      <c r="DN48" s="463"/>
      <c r="DO48" s="463"/>
      <c r="DP48" s="464"/>
      <c r="DQ48" s="465"/>
      <c r="DR48" s="463"/>
      <c r="DS48" s="463"/>
      <c r="DT48" s="463"/>
      <c r="DU48" s="463"/>
      <c r="DV48" s="464"/>
      <c r="DW48" s="465"/>
      <c r="DX48" s="463"/>
      <c r="DY48" s="463"/>
      <c r="DZ48" s="463"/>
      <c r="EA48" s="463"/>
      <c r="EB48" s="464"/>
      <c r="EC48" s="465"/>
      <c r="ED48" s="463"/>
      <c r="EE48" s="463"/>
      <c r="EF48" s="463"/>
      <c r="EG48" s="463"/>
      <c r="EH48" s="464"/>
      <c r="EI48" s="465"/>
      <c r="EJ48" s="463"/>
      <c r="EK48" s="463"/>
      <c r="EL48" s="463"/>
      <c r="EM48" s="463"/>
      <c r="EN48" s="464"/>
      <c r="EO48" s="465"/>
      <c r="EP48" s="463"/>
      <c r="EQ48" s="463"/>
      <c r="ER48" s="463"/>
      <c r="ES48" s="463"/>
      <c r="ET48" s="464"/>
      <c r="EU48" s="465"/>
      <c r="EV48" s="463"/>
      <c r="EW48" s="463"/>
      <c r="EX48" s="463"/>
      <c r="EY48" s="463"/>
      <c r="EZ48" s="464"/>
      <c r="FA48" s="465"/>
      <c r="FB48" s="463"/>
      <c r="FC48" s="463"/>
      <c r="FD48" s="463"/>
      <c r="FE48" s="463"/>
      <c r="FF48" s="464"/>
      <c r="FG48" s="465"/>
      <c r="FH48" s="463"/>
      <c r="FI48" s="463"/>
      <c r="FJ48" s="463"/>
      <c r="FK48" s="463"/>
      <c r="FL48" s="464"/>
      <c r="FM48" s="465"/>
      <c r="FN48" s="463"/>
      <c r="FO48" s="463"/>
      <c r="FP48" s="463"/>
      <c r="FQ48" s="463"/>
      <c r="FR48" s="464"/>
      <c r="FS48" s="465"/>
      <c r="FT48" s="463"/>
      <c r="FU48" s="463"/>
      <c r="FV48" s="463"/>
      <c r="FW48" s="463"/>
      <c r="FX48" s="464"/>
      <c r="FY48" s="465"/>
      <c r="FZ48" s="463"/>
      <c r="GA48" s="463"/>
      <c r="GB48" s="463"/>
      <c r="GC48" s="463"/>
      <c r="GD48" s="464"/>
      <c r="GE48" s="465"/>
      <c r="GF48" s="463"/>
      <c r="GG48" s="463"/>
      <c r="GH48" s="463"/>
      <c r="GI48" s="463"/>
      <c r="GJ48" s="464"/>
      <c r="GK48" s="465"/>
      <c r="GL48" s="463"/>
      <c r="GM48" s="463"/>
      <c r="GN48" s="463"/>
      <c r="GO48" s="463"/>
      <c r="GP48" s="464"/>
      <c r="GQ48" s="465"/>
      <c r="GR48" s="463"/>
      <c r="GS48" s="463"/>
      <c r="GT48" s="463"/>
      <c r="GU48" s="463"/>
      <c r="GV48" s="464"/>
      <c r="GW48" s="465"/>
      <c r="GX48" s="463"/>
      <c r="GY48" s="463"/>
      <c r="GZ48" s="463"/>
      <c r="HA48" s="463"/>
      <c r="HB48" s="464"/>
      <c r="HC48" s="465"/>
      <c r="HD48" s="463"/>
      <c r="HE48" s="463"/>
      <c r="HF48" s="463"/>
      <c r="HG48" s="463"/>
      <c r="HH48" s="464"/>
      <c r="HI48" s="465"/>
      <c r="HJ48" s="463"/>
      <c r="HK48" s="463"/>
      <c r="HL48" s="463"/>
      <c r="HM48" s="463"/>
      <c r="HN48" s="464"/>
      <c r="HO48" s="465"/>
      <c r="HP48" s="463"/>
      <c r="HQ48" s="463"/>
      <c r="HR48" s="463"/>
      <c r="HS48" s="463"/>
      <c r="HT48" s="464"/>
      <c r="HU48" s="465"/>
      <c r="HV48" s="463"/>
      <c r="HW48" s="463"/>
      <c r="HX48" s="463"/>
      <c r="HY48" s="463"/>
      <c r="HZ48" s="464"/>
      <c r="IA48" s="465"/>
      <c r="IB48" s="463"/>
      <c r="IC48" s="463"/>
      <c r="ID48" s="463"/>
      <c r="IE48" s="463"/>
      <c r="IF48" s="464"/>
      <c r="IG48" s="465"/>
      <c r="IH48" s="463"/>
      <c r="II48" s="463"/>
      <c r="IJ48" s="463"/>
    </row>
    <row r="49" spans="2:244" ht="16.5" customHeight="1" x14ac:dyDescent="0.3">
      <c r="B49" s="1270"/>
      <c r="C49" s="1271"/>
      <c r="D49" s="690">
        <v>3</v>
      </c>
      <c r="E49" s="691" t="s">
        <v>352</v>
      </c>
      <c r="F49" s="692">
        <v>1.768</v>
      </c>
      <c r="G49" s="690">
        <v>5</v>
      </c>
      <c r="H49" s="691" t="s">
        <v>352</v>
      </c>
      <c r="I49" s="692">
        <v>9.4550000000000001</v>
      </c>
      <c r="J49" s="693">
        <f t="shared" si="0"/>
        <v>47.68</v>
      </c>
      <c r="K49" s="693">
        <v>2</v>
      </c>
      <c r="L49" s="707">
        <f t="shared" si="1"/>
        <v>95.36</v>
      </c>
      <c r="M49" s="693">
        <v>0</v>
      </c>
      <c r="N49" s="707">
        <f t="shared" si="2"/>
        <v>0</v>
      </c>
      <c r="O49" s="707">
        <f t="shared" si="3"/>
        <v>95.36</v>
      </c>
      <c r="P49" s="463"/>
      <c r="T49" s="463"/>
      <c r="U49" s="463"/>
      <c r="V49" s="463"/>
      <c r="W49" s="463"/>
      <c r="X49" s="464"/>
      <c r="Y49" s="465"/>
      <c r="Z49" s="463"/>
      <c r="AA49" s="463"/>
      <c r="AB49" s="463"/>
      <c r="AC49" s="463"/>
      <c r="AD49" s="464"/>
      <c r="AE49" s="465"/>
      <c r="AF49" s="463"/>
      <c r="AG49" s="463"/>
      <c r="AH49" s="463"/>
      <c r="AI49" s="463"/>
      <c r="AJ49" s="464"/>
      <c r="AK49" s="465"/>
      <c r="AL49" s="463"/>
      <c r="AM49" s="463"/>
      <c r="AN49" s="463"/>
      <c r="AO49" s="463"/>
      <c r="AP49" s="464"/>
      <c r="AQ49" s="465"/>
      <c r="AR49" s="463"/>
      <c r="AS49" s="463"/>
      <c r="AT49" s="463"/>
      <c r="AU49" s="463"/>
      <c r="AV49" s="464"/>
      <c r="AW49" s="465"/>
      <c r="AX49" s="463"/>
      <c r="AY49" s="463"/>
      <c r="AZ49" s="463"/>
      <c r="BA49" s="463"/>
      <c r="BB49" s="464"/>
      <c r="BC49" s="465"/>
      <c r="BD49" s="463"/>
      <c r="BE49" s="463"/>
      <c r="BF49" s="463"/>
      <c r="BG49" s="463"/>
      <c r="BH49" s="464"/>
      <c r="BI49" s="465"/>
      <c r="BJ49" s="463"/>
      <c r="BK49" s="463"/>
      <c r="BL49" s="463"/>
      <c r="BM49" s="463"/>
      <c r="BN49" s="464"/>
      <c r="BO49" s="465"/>
      <c r="BP49" s="463"/>
      <c r="BQ49" s="463"/>
      <c r="BR49" s="463"/>
      <c r="BS49" s="463"/>
      <c r="BT49" s="464"/>
      <c r="BU49" s="465"/>
      <c r="BV49" s="463"/>
      <c r="BW49" s="463"/>
      <c r="BX49" s="463"/>
      <c r="BY49" s="463"/>
      <c r="BZ49" s="464"/>
      <c r="CA49" s="465"/>
      <c r="CB49" s="463"/>
      <c r="CC49" s="463"/>
      <c r="CD49" s="463"/>
      <c r="CE49" s="463"/>
      <c r="CF49" s="464"/>
      <c r="CG49" s="465"/>
      <c r="CH49" s="463"/>
      <c r="CI49" s="463"/>
      <c r="CJ49" s="463"/>
      <c r="CK49" s="463"/>
      <c r="CL49" s="464"/>
      <c r="CM49" s="465"/>
      <c r="CN49" s="463"/>
      <c r="CO49" s="463"/>
      <c r="CP49" s="463"/>
      <c r="CQ49" s="463"/>
      <c r="CR49" s="464"/>
      <c r="CS49" s="465"/>
      <c r="CT49" s="463"/>
      <c r="CU49" s="463"/>
      <c r="CV49" s="463"/>
      <c r="CW49" s="463"/>
      <c r="CX49" s="464"/>
      <c r="CY49" s="465"/>
      <c r="CZ49" s="463"/>
      <c r="DA49" s="463"/>
      <c r="DB49" s="463"/>
      <c r="DC49" s="463"/>
      <c r="DD49" s="464"/>
      <c r="DE49" s="465"/>
      <c r="DF49" s="463"/>
      <c r="DG49" s="463"/>
      <c r="DH49" s="463"/>
      <c r="DI49" s="463"/>
      <c r="DJ49" s="464"/>
      <c r="DK49" s="465"/>
      <c r="DL49" s="463"/>
      <c r="DM49" s="463"/>
      <c r="DN49" s="463"/>
      <c r="DO49" s="463"/>
      <c r="DP49" s="464"/>
      <c r="DQ49" s="465"/>
      <c r="DR49" s="463"/>
      <c r="DS49" s="463"/>
      <c r="DT49" s="463"/>
      <c r="DU49" s="463"/>
      <c r="DV49" s="464"/>
      <c r="DW49" s="465"/>
      <c r="DX49" s="463"/>
      <c r="DY49" s="463"/>
      <c r="DZ49" s="463"/>
      <c r="EA49" s="463"/>
      <c r="EB49" s="464"/>
      <c r="EC49" s="465"/>
      <c r="ED49" s="463"/>
      <c r="EE49" s="463"/>
      <c r="EF49" s="463"/>
      <c r="EG49" s="463"/>
      <c r="EH49" s="464"/>
      <c r="EI49" s="465"/>
      <c r="EJ49" s="463"/>
      <c r="EK49" s="463"/>
      <c r="EL49" s="463"/>
      <c r="EM49" s="463"/>
      <c r="EN49" s="464"/>
      <c r="EO49" s="465"/>
      <c r="EP49" s="463"/>
      <c r="EQ49" s="463"/>
      <c r="ER49" s="463"/>
      <c r="ES49" s="463"/>
      <c r="ET49" s="464"/>
      <c r="EU49" s="465"/>
      <c r="EV49" s="463"/>
      <c r="EW49" s="463"/>
      <c r="EX49" s="463"/>
      <c r="EY49" s="463"/>
      <c r="EZ49" s="464"/>
      <c r="FA49" s="465"/>
      <c r="FB49" s="463"/>
      <c r="FC49" s="463"/>
      <c r="FD49" s="463"/>
      <c r="FE49" s="463"/>
      <c r="FF49" s="464"/>
      <c r="FG49" s="465"/>
      <c r="FH49" s="463"/>
      <c r="FI49" s="463"/>
      <c r="FJ49" s="463"/>
      <c r="FK49" s="463"/>
      <c r="FL49" s="464"/>
      <c r="FM49" s="465"/>
      <c r="FN49" s="463"/>
      <c r="FO49" s="463"/>
      <c r="FP49" s="463"/>
      <c r="FQ49" s="463"/>
      <c r="FR49" s="464"/>
      <c r="FS49" s="465"/>
      <c r="FT49" s="463"/>
      <c r="FU49" s="463"/>
      <c r="FV49" s="463"/>
      <c r="FW49" s="463"/>
      <c r="FX49" s="464"/>
      <c r="FY49" s="465"/>
      <c r="FZ49" s="463"/>
      <c r="GA49" s="463"/>
      <c r="GB49" s="463"/>
      <c r="GC49" s="463"/>
      <c r="GD49" s="464"/>
      <c r="GE49" s="465"/>
      <c r="GF49" s="463"/>
      <c r="GG49" s="463"/>
      <c r="GH49" s="463"/>
      <c r="GI49" s="463"/>
      <c r="GJ49" s="464"/>
      <c r="GK49" s="465"/>
      <c r="GL49" s="463"/>
      <c r="GM49" s="463"/>
      <c r="GN49" s="463"/>
      <c r="GO49" s="463"/>
      <c r="GP49" s="464"/>
      <c r="GQ49" s="465"/>
      <c r="GR49" s="463"/>
      <c r="GS49" s="463"/>
      <c r="GT49" s="463"/>
      <c r="GU49" s="463"/>
      <c r="GV49" s="464"/>
      <c r="GW49" s="465"/>
      <c r="GX49" s="463"/>
      <c r="GY49" s="463"/>
      <c r="GZ49" s="463"/>
      <c r="HA49" s="463"/>
      <c r="HB49" s="464"/>
      <c r="HC49" s="465"/>
      <c r="HD49" s="463"/>
      <c r="HE49" s="463"/>
      <c r="HF49" s="463"/>
      <c r="HG49" s="463"/>
      <c r="HH49" s="464"/>
      <c r="HI49" s="465"/>
      <c r="HJ49" s="463"/>
      <c r="HK49" s="463"/>
      <c r="HL49" s="463"/>
      <c r="HM49" s="463"/>
      <c r="HN49" s="464"/>
      <c r="HO49" s="465"/>
      <c r="HP49" s="463"/>
      <c r="HQ49" s="463"/>
      <c r="HR49" s="463"/>
      <c r="HS49" s="463"/>
      <c r="HT49" s="464"/>
      <c r="HU49" s="465"/>
      <c r="HV49" s="463"/>
      <c r="HW49" s="463"/>
      <c r="HX49" s="463"/>
      <c r="HY49" s="463"/>
      <c r="HZ49" s="464"/>
      <c r="IA49" s="465"/>
      <c r="IB49" s="463"/>
      <c r="IC49" s="463"/>
      <c r="ID49" s="463"/>
      <c r="IE49" s="463"/>
      <c r="IF49" s="464"/>
      <c r="IG49" s="465"/>
      <c r="IH49" s="463"/>
      <c r="II49" s="463"/>
      <c r="IJ49" s="463"/>
    </row>
    <row r="50" spans="2:244" ht="16.5" customHeight="1" x14ac:dyDescent="0.3">
      <c r="B50" s="1270"/>
      <c r="C50" s="1271"/>
      <c r="D50" s="690">
        <v>12</v>
      </c>
      <c r="E50" s="691" t="s">
        <v>352</v>
      </c>
      <c r="F50" s="692">
        <v>13.826000000000001</v>
      </c>
      <c r="G50" s="690">
        <v>14</v>
      </c>
      <c r="H50" s="691" t="s">
        <v>352</v>
      </c>
      <c r="I50" s="692">
        <v>16.643000000000001</v>
      </c>
      <c r="J50" s="693">
        <f t="shared" si="0"/>
        <v>42.81</v>
      </c>
      <c r="K50" s="693">
        <v>0</v>
      </c>
      <c r="L50" s="707">
        <f t="shared" si="1"/>
        <v>0</v>
      </c>
      <c r="M50" s="693">
        <v>2.5</v>
      </c>
      <c r="N50" s="707">
        <f t="shared" si="2"/>
        <v>107.02</v>
      </c>
      <c r="O50" s="707">
        <f t="shared" si="3"/>
        <v>107.02</v>
      </c>
      <c r="P50" s="463"/>
      <c r="T50" s="463"/>
      <c r="U50" s="463"/>
      <c r="V50" s="463"/>
      <c r="W50" s="463"/>
      <c r="X50" s="464"/>
      <c r="Y50" s="465"/>
      <c r="Z50" s="463"/>
      <c r="AA50" s="463"/>
      <c r="AB50" s="463"/>
      <c r="AC50" s="463"/>
      <c r="AD50" s="464"/>
      <c r="AE50" s="465"/>
      <c r="AF50" s="463"/>
      <c r="AG50" s="463"/>
      <c r="AH50" s="463"/>
      <c r="AI50" s="463"/>
      <c r="AJ50" s="464"/>
      <c r="AK50" s="465"/>
      <c r="AL50" s="463"/>
      <c r="AM50" s="463"/>
      <c r="AN50" s="463"/>
      <c r="AO50" s="463"/>
      <c r="AP50" s="464"/>
      <c r="AQ50" s="465"/>
      <c r="AR50" s="463"/>
      <c r="AS50" s="463"/>
      <c r="AT50" s="463"/>
      <c r="AU50" s="463"/>
      <c r="AV50" s="464"/>
      <c r="AW50" s="465"/>
      <c r="AX50" s="463"/>
      <c r="AY50" s="463"/>
      <c r="AZ50" s="463"/>
      <c r="BA50" s="463"/>
      <c r="BB50" s="464"/>
      <c r="BC50" s="465"/>
      <c r="BD50" s="463"/>
      <c r="BE50" s="463"/>
      <c r="BF50" s="463"/>
      <c r="BG50" s="463"/>
      <c r="BH50" s="464"/>
      <c r="BI50" s="465"/>
      <c r="BJ50" s="463"/>
      <c r="BK50" s="463"/>
      <c r="BL50" s="463"/>
      <c r="BM50" s="463"/>
      <c r="BN50" s="464"/>
      <c r="BO50" s="465"/>
      <c r="BP50" s="463"/>
      <c r="BQ50" s="463"/>
      <c r="BR50" s="463"/>
      <c r="BS50" s="463"/>
      <c r="BT50" s="464"/>
      <c r="BU50" s="465"/>
      <c r="BV50" s="463"/>
      <c r="BW50" s="463"/>
      <c r="BX50" s="463"/>
      <c r="BY50" s="463"/>
      <c r="BZ50" s="464"/>
      <c r="CA50" s="465"/>
      <c r="CB50" s="463"/>
      <c r="CC50" s="463"/>
      <c r="CD50" s="463"/>
      <c r="CE50" s="463"/>
      <c r="CF50" s="464"/>
      <c r="CG50" s="465"/>
      <c r="CH50" s="463"/>
      <c r="CI50" s="463"/>
      <c r="CJ50" s="463"/>
      <c r="CK50" s="463"/>
      <c r="CL50" s="464"/>
      <c r="CM50" s="465"/>
      <c r="CN50" s="463"/>
      <c r="CO50" s="463"/>
      <c r="CP50" s="463"/>
      <c r="CQ50" s="463"/>
      <c r="CR50" s="464"/>
      <c r="CS50" s="465"/>
      <c r="CT50" s="463"/>
      <c r="CU50" s="463"/>
      <c r="CV50" s="463"/>
      <c r="CW50" s="463"/>
      <c r="CX50" s="464"/>
      <c r="CY50" s="465"/>
      <c r="CZ50" s="463"/>
      <c r="DA50" s="463"/>
      <c r="DB50" s="463"/>
      <c r="DC50" s="463"/>
      <c r="DD50" s="464"/>
      <c r="DE50" s="465"/>
      <c r="DF50" s="463"/>
      <c r="DG50" s="463"/>
      <c r="DH50" s="463"/>
      <c r="DI50" s="463"/>
      <c r="DJ50" s="464"/>
      <c r="DK50" s="465"/>
      <c r="DL50" s="463"/>
      <c r="DM50" s="463"/>
      <c r="DN50" s="463"/>
      <c r="DO50" s="463"/>
      <c r="DP50" s="464"/>
      <c r="DQ50" s="465"/>
      <c r="DR50" s="463"/>
      <c r="DS50" s="463"/>
      <c r="DT50" s="463"/>
      <c r="DU50" s="463"/>
      <c r="DV50" s="464"/>
      <c r="DW50" s="465"/>
      <c r="DX50" s="463"/>
      <c r="DY50" s="463"/>
      <c r="DZ50" s="463"/>
      <c r="EA50" s="463"/>
      <c r="EB50" s="464"/>
      <c r="EC50" s="465"/>
      <c r="ED50" s="463"/>
      <c r="EE50" s="463"/>
      <c r="EF50" s="463"/>
      <c r="EG50" s="463"/>
      <c r="EH50" s="464"/>
      <c r="EI50" s="465"/>
      <c r="EJ50" s="463"/>
      <c r="EK50" s="463"/>
      <c r="EL50" s="463"/>
      <c r="EM50" s="463"/>
      <c r="EN50" s="464"/>
      <c r="EO50" s="465"/>
      <c r="EP50" s="463"/>
      <c r="EQ50" s="463"/>
      <c r="ER50" s="463"/>
      <c r="ES50" s="463"/>
      <c r="ET50" s="464"/>
      <c r="EU50" s="465"/>
      <c r="EV50" s="463"/>
      <c r="EW50" s="463"/>
      <c r="EX50" s="463"/>
      <c r="EY50" s="463"/>
      <c r="EZ50" s="464"/>
      <c r="FA50" s="465"/>
      <c r="FB50" s="463"/>
      <c r="FC50" s="463"/>
      <c r="FD50" s="463"/>
      <c r="FE50" s="463"/>
      <c r="FF50" s="464"/>
      <c r="FG50" s="465"/>
      <c r="FH50" s="463"/>
      <c r="FI50" s="463"/>
      <c r="FJ50" s="463"/>
      <c r="FK50" s="463"/>
      <c r="FL50" s="464"/>
      <c r="FM50" s="465"/>
      <c r="FN50" s="463"/>
      <c r="FO50" s="463"/>
      <c r="FP50" s="463"/>
      <c r="FQ50" s="463"/>
      <c r="FR50" s="464"/>
      <c r="FS50" s="465"/>
      <c r="FT50" s="463"/>
      <c r="FU50" s="463"/>
      <c r="FV50" s="463"/>
      <c r="FW50" s="463"/>
      <c r="FX50" s="464"/>
      <c r="FY50" s="465"/>
      <c r="FZ50" s="463"/>
      <c r="GA50" s="463"/>
      <c r="GB50" s="463"/>
      <c r="GC50" s="463"/>
      <c r="GD50" s="464"/>
      <c r="GE50" s="465"/>
      <c r="GF50" s="463"/>
      <c r="GG50" s="463"/>
      <c r="GH50" s="463"/>
      <c r="GI50" s="463"/>
      <c r="GJ50" s="464"/>
      <c r="GK50" s="465"/>
      <c r="GL50" s="463"/>
      <c r="GM50" s="463"/>
      <c r="GN50" s="463"/>
      <c r="GO50" s="463"/>
      <c r="GP50" s="464"/>
      <c r="GQ50" s="465"/>
      <c r="GR50" s="463"/>
      <c r="GS50" s="463"/>
      <c r="GT50" s="463"/>
      <c r="GU50" s="463"/>
      <c r="GV50" s="464"/>
      <c r="GW50" s="465"/>
      <c r="GX50" s="463"/>
      <c r="GY50" s="463"/>
      <c r="GZ50" s="463"/>
      <c r="HA50" s="463"/>
      <c r="HB50" s="464"/>
      <c r="HC50" s="465"/>
      <c r="HD50" s="463"/>
      <c r="HE50" s="463"/>
      <c r="HF50" s="463"/>
      <c r="HG50" s="463"/>
      <c r="HH50" s="464"/>
      <c r="HI50" s="465"/>
      <c r="HJ50" s="463"/>
      <c r="HK50" s="463"/>
      <c r="HL50" s="463"/>
      <c r="HM50" s="463"/>
      <c r="HN50" s="464"/>
      <c r="HO50" s="465"/>
      <c r="HP50" s="463"/>
      <c r="HQ50" s="463"/>
      <c r="HR50" s="463"/>
      <c r="HS50" s="463"/>
      <c r="HT50" s="464"/>
      <c r="HU50" s="465"/>
      <c r="HV50" s="463"/>
      <c r="HW50" s="463"/>
      <c r="HX50" s="463"/>
      <c r="HY50" s="463"/>
      <c r="HZ50" s="464"/>
      <c r="IA50" s="465"/>
      <c r="IB50" s="463"/>
      <c r="IC50" s="463"/>
      <c r="ID50" s="463"/>
      <c r="IE50" s="463"/>
      <c r="IF50" s="464"/>
      <c r="IG50" s="465"/>
      <c r="IH50" s="463"/>
      <c r="II50" s="463"/>
      <c r="IJ50" s="463"/>
    </row>
    <row r="51" spans="2:244" ht="16.5" customHeight="1" x14ac:dyDescent="0.3">
      <c r="B51" s="1267"/>
      <c r="C51" s="1269"/>
      <c r="D51" s="690">
        <v>12</v>
      </c>
      <c r="E51" s="691" t="s">
        <v>352</v>
      </c>
      <c r="F51" s="692">
        <v>10.742000000000001</v>
      </c>
      <c r="G51" s="690">
        <v>15</v>
      </c>
      <c r="H51" s="691" t="s">
        <v>352</v>
      </c>
      <c r="I51" s="692">
        <v>0</v>
      </c>
      <c r="J51" s="693">
        <f t="shared" si="0"/>
        <v>49.25</v>
      </c>
      <c r="K51" s="693">
        <v>2</v>
      </c>
      <c r="L51" s="707">
        <f t="shared" si="1"/>
        <v>98.5</v>
      </c>
      <c r="M51" s="693">
        <v>0</v>
      </c>
      <c r="N51" s="707">
        <f t="shared" si="2"/>
        <v>0</v>
      </c>
      <c r="O51" s="707">
        <f t="shared" si="3"/>
        <v>98.5</v>
      </c>
      <c r="P51" s="463"/>
      <c r="T51" s="463"/>
      <c r="U51" s="463"/>
      <c r="V51" s="463"/>
      <c r="W51" s="463"/>
      <c r="X51" s="464"/>
      <c r="Y51" s="465"/>
      <c r="Z51" s="463"/>
      <c r="AA51" s="463"/>
      <c r="AB51" s="463"/>
      <c r="AC51" s="463"/>
      <c r="AD51" s="464"/>
      <c r="AE51" s="465"/>
      <c r="AF51" s="463"/>
      <c r="AG51" s="463"/>
      <c r="AH51" s="463"/>
      <c r="AI51" s="463"/>
      <c r="AJ51" s="464"/>
      <c r="AK51" s="465"/>
      <c r="AL51" s="463"/>
      <c r="AM51" s="463"/>
      <c r="AN51" s="463"/>
      <c r="AO51" s="463"/>
      <c r="AP51" s="464"/>
      <c r="AQ51" s="465"/>
      <c r="AR51" s="463"/>
      <c r="AS51" s="463"/>
      <c r="AT51" s="463"/>
      <c r="AU51" s="463"/>
      <c r="AV51" s="464"/>
      <c r="AW51" s="465"/>
      <c r="AX51" s="463"/>
      <c r="AY51" s="463"/>
      <c r="AZ51" s="463"/>
      <c r="BA51" s="463"/>
      <c r="BB51" s="464"/>
      <c r="BC51" s="465"/>
      <c r="BD51" s="463"/>
      <c r="BE51" s="463"/>
      <c r="BF51" s="463"/>
      <c r="BG51" s="463"/>
      <c r="BH51" s="464"/>
      <c r="BI51" s="465"/>
      <c r="BJ51" s="463"/>
      <c r="BK51" s="463"/>
      <c r="BL51" s="463"/>
      <c r="BM51" s="463"/>
      <c r="BN51" s="464"/>
      <c r="BO51" s="465"/>
      <c r="BP51" s="463"/>
      <c r="BQ51" s="463"/>
      <c r="BR51" s="463"/>
      <c r="BS51" s="463"/>
      <c r="BT51" s="464"/>
      <c r="BU51" s="465"/>
      <c r="BV51" s="463"/>
      <c r="BW51" s="463"/>
      <c r="BX51" s="463"/>
      <c r="BY51" s="463"/>
      <c r="BZ51" s="464"/>
      <c r="CA51" s="465"/>
      <c r="CB51" s="463"/>
      <c r="CC51" s="463"/>
      <c r="CD51" s="463"/>
      <c r="CE51" s="463"/>
      <c r="CF51" s="464"/>
      <c r="CG51" s="465"/>
      <c r="CH51" s="463"/>
      <c r="CI51" s="463"/>
      <c r="CJ51" s="463"/>
      <c r="CK51" s="463"/>
      <c r="CL51" s="464"/>
      <c r="CM51" s="465"/>
      <c r="CN51" s="463"/>
      <c r="CO51" s="463"/>
      <c r="CP51" s="463"/>
      <c r="CQ51" s="463"/>
      <c r="CR51" s="464"/>
      <c r="CS51" s="465"/>
      <c r="CT51" s="463"/>
      <c r="CU51" s="463"/>
      <c r="CV51" s="463"/>
      <c r="CW51" s="463"/>
      <c r="CX51" s="464"/>
      <c r="CY51" s="465"/>
      <c r="CZ51" s="463"/>
      <c r="DA51" s="463"/>
      <c r="DB51" s="463"/>
      <c r="DC51" s="463"/>
      <c r="DD51" s="464"/>
      <c r="DE51" s="465"/>
      <c r="DF51" s="463"/>
      <c r="DG51" s="463"/>
      <c r="DH51" s="463"/>
      <c r="DI51" s="463"/>
      <c r="DJ51" s="464"/>
      <c r="DK51" s="465"/>
      <c r="DL51" s="463"/>
      <c r="DM51" s="463"/>
      <c r="DN51" s="463"/>
      <c r="DO51" s="463"/>
      <c r="DP51" s="464"/>
      <c r="DQ51" s="465"/>
      <c r="DR51" s="463"/>
      <c r="DS51" s="463"/>
      <c r="DT51" s="463"/>
      <c r="DU51" s="463"/>
      <c r="DV51" s="464"/>
      <c r="DW51" s="465"/>
      <c r="DX51" s="463"/>
      <c r="DY51" s="463"/>
      <c r="DZ51" s="463"/>
      <c r="EA51" s="463"/>
      <c r="EB51" s="464"/>
      <c r="EC51" s="465"/>
      <c r="ED51" s="463"/>
      <c r="EE51" s="463"/>
      <c r="EF51" s="463"/>
      <c r="EG51" s="463"/>
      <c r="EH51" s="464"/>
      <c r="EI51" s="465"/>
      <c r="EJ51" s="463"/>
      <c r="EK51" s="463"/>
      <c r="EL51" s="463"/>
      <c r="EM51" s="463"/>
      <c r="EN51" s="464"/>
      <c r="EO51" s="465"/>
      <c r="EP51" s="463"/>
      <c r="EQ51" s="463"/>
      <c r="ER51" s="463"/>
      <c r="ES51" s="463"/>
      <c r="ET51" s="464"/>
      <c r="EU51" s="465"/>
      <c r="EV51" s="463"/>
      <c r="EW51" s="463"/>
      <c r="EX51" s="463"/>
      <c r="EY51" s="463"/>
      <c r="EZ51" s="464"/>
      <c r="FA51" s="465"/>
      <c r="FB51" s="463"/>
      <c r="FC51" s="463"/>
      <c r="FD51" s="463"/>
      <c r="FE51" s="463"/>
      <c r="FF51" s="464"/>
      <c r="FG51" s="465"/>
      <c r="FH51" s="463"/>
      <c r="FI51" s="463"/>
      <c r="FJ51" s="463"/>
      <c r="FK51" s="463"/>
      <c r="FL51" s="464"/>
      <c r="FM51" s="465"/>
      <c r="FN51" s="463"/>
      <c r="FO51" s="463"/>
      <c r="FP51" s="463"/>
      <c r="FQ51" s="463"/>
      <c r="FR51" s="464"/>
      <c r="FS51" s="465"/>
      <c r="FT51" s="463"/>
      <c r="FU51" s="463"/>
      <c r="FV51" s="463"/>
      <c r="FW51" s="463"/>
      <c r="FX51" s="464"/>
      <c r="FY51" s="465"/>
      <c r="FZ51" s="463"/>
      <c r="GA51" s="463"/>
      <c r="GB51" s="463"/>
      <c r="GC51" s="463"/>
      <c r="GD51" s="464"/>
      <c r="GE51" s="465"/>
      <c r="GF51" s="463"/>
      <c r="GG51" s="463"/>
      <c r="GH51" s="463"/>
      <c r="GI51" s="463"/>
      <c r="GJ51" s="464"/>
      <c r="GK51" s="465"/>
      <c r="GL51" s="463"/>
      <c r="GM51" s="463"/>
      <c r="GN51" s="463"/>
      <c r="GO51" s="463"/>
      <c r="GP51" s="464"/>
      <c r="GQ51" s="465"/>
      <c r="GR51" s="463"/>
      <c r="GS51" s="463"/>
      <c r="GT51" s="463"/>
      <c r="GU51" s="463"/>
      <c r="GV51" s="464"/>
      <c r="GW51" s="465"/>
      <c r="GX51" s="463"/>
      <c r="GY51" s="463"/>
      <c r="GZ51" s="463"/>
      <c r="HA51" s="463"/>
      <c r="HB51" s="464"/>
      <c r="HC51" s="465"/>
      <c r="HD51" s="463"/>
      <c r="HE51" s="463"/>
      <c r="HF51" s="463"/>
      <c r="HG51" s="463"/>
      <c r="HH51" s="464"/>
      <c r="HI51" s="465"/>
      <c r="HJ51" s="463"/>
      <c r="HK51" s="463"/>
      <c r="HL51" s="463"/>
      <c r="HM51" s="463"/>
      <c r="HN51" s="464"/>
      <c r="HO51" s="465"/>
      <c r="HP51" s="463"/>
      <c r="HQ51" s="463"/>
      <c r="HR51" s="463"/>
      <c r="HS51" s="463"/>
      <c r="HT51" s="464"/>
      <c r="HU51" s="465"/>
      <c r="HV51" s="463"/>
      <c r="HW51" s="463"/>
      <c r="HX51" s="463"/>
      <c r="HY51" s="463"/>
      <c r="HZ51" s="464"/>
      <c r="IA51" s="465"/>
      <c r="IB51" s="463"/>
      <c r="IC51" s="463"/>
      <c r="ID51" s="463"/>
      <c r="IE51" s="463"/>
      <c r="IF51" s="464"/>
      <c r="IG51" s="465"/>
      <c r="IH51" s="463"/>
      <c r="II51" s="463"/>
      <c r="IJ51" s="463"/>
    </row>
    <row r="52" spans="2:244" x14ac:dyDescent="0.3">
      <c r="B52" s="457">
        <v>24</v>
      </c>
      <c r="C52" s="704" t="str">
        <f>RUAS!B40</f>
        <v>RUA CAMPO LARGO</v>
      </c>
      <c r="D52" s="690">
        <v>2</v>
      </c>
      <c r="E52" s="691" t="s">
        <v>352</v>
      </c>
      <c r="F52" s="692">
        <v>7.7869999999999999</v>
      </c>
      <c r="G52" s="690">
        <v>3</v>
      </c>
      <c r="H52" s="691" t="s">
        <v>352</v>
      </c>
      <c r="I52" s="692">
        <v>17.009</v>
      </c>
      <c r="J52" s="693">
        <f t="shared" si="0"/>
        <v>29.22</v>
      </c>
      <c r="K52" s="693">
        <v>0</v>
      </c>
      <c r="L52" s="707">
        <f t="shared" si="1"/>
        <v>0</v>
      </c>
      <c r="M52" s="693">
        <v>2.5</v>
      </c>
      <c r="N52" s="707">
        <f t="shared" si="2"/>
        <v>73.05</v>
      </c>
      <c r="O52" s="707">
        <f t="shared" si="3"/>
        <v>73.05</v>
      </c>
      <c r="P52" s="463"/>
      <c r="T52" s="463"/>
      <c r="U52" s="463"/>
      <c r="V52" s="463"/>
      <c r="W52" s="463"/>
      <c r="X52" s="464"/>
      <c r="Y52" s="465"/>
      <c r="Z52" s="463"/>
      <c r="AA52" s="463"/>
      <c r="AB52" s="463"/>
      <c r="AC52" s="463"/>
      <c r="AD52" s="464"/>
      <c r="AE52" s="465"/>
      <c r="AF52" s="463"/>
      <c r="AG52" s="463"/>
      <c r="AH52" s="463"/>
      <c r="AI52" s="463"/>
      <c r="AJ52" s="464"/>
      <c r="AK52" s="465"/>
      <c r="AL52" s="463"/>
      <c r="AM52" s="463"/>
      <c r="AN52" s="463"/>
      <c r="AO52" s="463"/>
      <c r="AP52" s="464"/>
      <c r="AQ52" s="465"/>
      <c r="AR52" s="463"/>
      <c r="AS52" s="463"/>
      <c r="AT52" s="463"/>
      <c r="AU52" s="463"/>
      <c r="AV52" s="464"/>
      <c r="AW52" s="465"/>
      <c r="AX52" s="463"/>
      <c r="AY52" s="463"/>
      <c r="AZ52" s="463"/>
      <c r="BA52" s="463"/>
      <c r="BB52" s="464"/>
      <c r="BC52" s="465"/>
      <c r="BD52" s="463"/>
      <c r="BE52" s="463"/>
      <c r="BF52" s="463"/>
      <c r="BG52" s="463"/>
      <c r="BH52" s="464"/>
      <c r="BI52" s="465"/>
      <c r="BJ52" s="463"/>
      <c r="BK52" s="463"/>
      <c r="BL52" s="463"/>
      <c r="BM52" s="463"/>
      <c r="BN52" s="464"/>
      <c r="BO52" s="465"/>
      <c r="BP52" s="463"/>
      <c r="BQ52" s="463"/>
      <c r="BR52" s="463"/>
      <c r="BS52" s="463"/>
      <c r="BT52" s="464"/>
      <c r="BU52" s="465"/>
      <c r="BV52" s="463"/>
      <c r="BW52" s="463"/>
      <c r="BX52" s="463"/>
      <c r="BY52" s="463"/>
      <c r="BZ52" s="464"/>
      <c r="CA52" s="465"/>
      <c r="CB52" s="463"/>
      <c r="CC52" s="463"/>
      <c r="CD52" s="463"/>
      <c r="CE52" s="463"/>
      <c r="CF52" s="464"/>
      <c r="CG52" s="465"/>
      <c r="CH52" s="463"/>
      <c r="CI52" s="463"/>
      <c r="CJ52" s="463"/>
      <c r="CK52" s="463"/>
      <c r="CL52" s="464"/>
      <c r="CM52" s="465"/>
      <c r="CN52" s="463"/>
      <c r="CO52" s="463"/>
      <c r="CP52" s="463"/>
      <c r="CQ52" s="463"/>
      <c r="CR52" s="464"/>
      <c r="CS52" s="465"/>
      <c r="CT52" s="463"/>
      <c r="CU52" s="463"/>
      <c r="CV52" s="463"/>
      <c r="CW52" s="463"/>
      <c r="CX52" s="464"/>
      <c r="CY52" s="465"/>
      <c r="CZ52" s="463"/>
      <c r="DA52" s="463"/>
      <c r="DB52" s="463"/>
      <c r="DC52" s="463"/>
      <c r="DD52" s="464"/>
      <c r="DE52" s="465"/>
      <c r="DF52" s="463"/>
      <c r="DG52" s="463"/>
      <c r="DH52" s="463"/>
      <c r="DI52" s="463"/>
      <c r="DJ52" s="464"/>
      <c r="DK52" s="465"/>
      <c r="DL52" s="463"/>
      <c r="DM52" s="463"/>
      <c r="DN52" s="463"/>
      <c r="DO52" s="463"/>
      <c r="DP52" s="464"/>
      <c r="DQ52" s="465"/>
      <c r="DR52" s="463"/>
      <c r="DS52" s="463"/>
      <c r="DT52" s="463"/>
      <c r="DU52" s="463"/>
      <c r="DV52" s="464"/>
      <c r="DW52" s="465"/>
      <c r="DX52" s="463"/>
      <c r="DY52" s="463"/>
      <c r="DZ52" s="463"/>
      <c r="EA52" s="463"/>
      <c r="EB52" s="464"/>
      <c r="EC52" s="465"/>
      <c r="ED52" s="463"/>
      <c r="EE52" s="463"/>
      <c r="EF52" s="463"/>
      <c r="EG52" s="463"/>
      <c r="EH52" s="464"/>
      <c r="EI52" s="465"/>
      <c r="EJ52" s="463"/>
      <c r="EK52" s="463"/>
      <c r="EL52" s="463"/>
      <c r="EM52" s="463"/>
      <c r="EN52" s="464"/>
      <c r="EO52" s="465"/>
      <c r="EP52" s="463"/>
      <c r="EQ52" s="463"/>
      <c r="ER52" s="463"/>
      <c r="ES52" s="463"/>
      <c r="ET52" s="464"/>
      <c r="EU52" s="465"/>
      <c r="EV52" s="463"/>
      <c r="EW52" s="463"/>
      <c r="EX52" s="463"/>
      <c r="EY52" s="463"/>
      <c r="EZ52" s="464"/>
      <c r="FA52" s="465"/>
      <c r="FB52" s="463"/>
      <c r="FC52" s="463"/>
      <c r="FD52" s="463"/>
      <c r="FE52" s="463"/>
      <c r="FF52" s="464"/>
      <c r="FG52" s="465"/>
      <c r="FH52" s="463"/>
      <c r="FI52" s="463"/>
      <c r="FJ52" s="463"/>
      <c r="FK52" s="463"/>
      <c r="FL52" s="464"/>
      <c r="FM52" s="465"/>
      <c r="FN52" s="463"/>
      <c r="FO52" s="463"/>
      <c r="FP52" s="463"/>
      <c r="FQ52" s="463"/>
      <c r="FR52" s="464"/>
      <c r="FS52" s="465"/>
      <c r="FT52" s="463"/>
      <c r="FU52" s="463"/>
      <c r="FV52" s="463"/>
      <c r="FW52" s="463"/>
      <c r="FX52" s="464"/>
      <c r="FY52" s="465"/>
      <c r="FZ52" s="463"/>
      <c r="GA52" s="463"/>
      <c r="GB52" s="463"/>
      <c r="GC52" s="463"/>
      <c r="GD52" s="464"/>
      <c r="GE52" s="465"/>
      <c r="GF52" s="463"/>
      <c r="GG52" s="463"/>
      <c r="GH52" s="463"/>
      <c r="GI52" s="463"/>
      <c r="GJ52" s="464"/>
      <c r="GK52" s="465"/>
      <c r="GL52" s="463"/>
      <c r="GM52" s="463"/>
      <c r="GN52" s="463"/>
      <c r="GO52" s="463"/>
      <c r="GP52" s="464"/>
      <c r="GQ52" s="465"/>
      <c r="GR52" s="463"/>
      <c r="GS52" s="463"/>
      <c r="GT52" s="463"/>
      <c r="GU52" s="463"/>
      <c r="GV52" s="464"/>
      <c r="GW52" s="465"/>
      <c r="GX52" s="463"/>
      <c r="GY52" s="463"/>
      <c r="GZ52" s="463"/>
      <c r="HA52" s="463"/>
      <c r="HB52" s="464"/>
      <c r="HC52" s="465"/>
      <c r="HD52" s="463"/>
      <c r="HE52" s="463"/>
      <c r="HF52" s="463"/>
      <c r="HG52" s="463"/>
      <c r="HH52" s="464"/>
      <c r="HI52" s="465"/>
      <c r="HJ52" s="463"/>
      <c r="HK52" s="463"/>
      <c r="HL52" s="463"/>
      <c r="HM52" s="463"/>
      <c r="HN52" s="464"/>
      <c r="HO52" s="465"/>
      <c r="HP52" s="463"/>
      <c r="HQ52" s="463"/>
      <c r="HR52" s="463"/>
      <c r="HS52" s="463"/>
      <c r="HT52" s="464"/>
      <c r="HU52" s="465"/>
      <c r="HV52" s="463"/>
      <c r="HW52" s="463"/>
      <c r="HX52" s="463"/>
      <c r="HY52" s="463"/>
      <c r="HZ52" s="464"/>
      <c r="IA52" s="465"/>
      <c r="IB52" s="463"/>
      <c r="IC52" s="463"/>
      <c r="ID52" s="463"/>
      <c r="IE52" s="463"/>
      <c r="IF52" s="464"/>
      <c r="IG52" s="465"/>
      <c r="IH52" s="463"/>
      <c r="II52" s="463"/>
      <c r="IJ52" s="463"/>
    </row>
    <row r="53" spans="2:244" ht="16.5" customHeight="1" x14ac:dyDescent="0.3">
      <c r="B53" s="1266">
        <v>25</v>
      </c>
      <c r="C53" s="1268" t="str">
        <f>RUAS!B41</f>
        <v>RUA PARANAGUÁ</v>
      </c>
      <c r="D53" s="690">
        <v>15</v>
      </c>
      <c r="E53" s="691" t="s">
        <v>352</v>
      </c>
      <c r="F53" s="692">
        <v>17.754000000000001</v>
      </c>
      <c r="G53" s="690">
        <v>17</v>
      </c>
      <c r="H53" s="691" t="s">
        <v>352</v>
      </c>
      <c r="I53" s="692">
        <v>1.323</v>
      </c>
      <c r="J53" s="693">
        <f t="shared" si="0"/>
        <v>23.56</v>
      </c>
      <c r="K53" s="693">
        <v>0</v>
      </c>
      <c r="L53" s="707">
        <f t="shared" si="1"/>
        <v>0</v>
      </c>
      <c r="M53" s="693">
        <v>2</v>
      </c>
      <c r="N53" s="707">
        <f t="shared" si="2"/>
        <v>47.12</v>
      </c>
      <c r="O53" s="707">
        <f t="shared" si="3"/>
        <v>47.12</v>
      </c>
      <c r="P53" s="463"/>
      <c r="T53" s="463"/>
      <c r="U53" s="463"/>
      <c r="V53" s="463"/>
      <c r="W53" s="463"/>
      <c r="X53" s="464"/>
      <c r="Y53" s="465"/>
      <c r="Z53" s="463"/>
      <c r="AA53" s="463"/>
      <c r="AB53" s="463"/>
      <c r="AC53" s="463"/>
      <c r="AD53" s="464"/>
      <c r="AE53" s="465"/>
      <c r="AF53" s="463"/>
      <c r="AG53" s="463"/>
      <c r="AH53" s="463"/>
      <c r="AI53" s="463"/>
      <c r="AJ53" s="464"/>
      <c r="AK53" s="465"/>
      <c r="AL53" s="463"/>
      <c r="AM53" s="463"/>
      <c r="AN53" s="463"/>
      <c r="AO53" s="463"/>
      <c r="AP53" s="464"/>
      <c r="AQ53" s="465"/>
      <c r="AR53" s="463"/>
      <c r="AS53" s="463"/>
      <c r="AT53" s="463"/>
      <c r="AU53" s="463"/>
      <c r="AV53" s="464"/>
      <c r="AW53" s="465"/>
      <c r="AX53" s="463"/>
      <c r="AY53" s="463"/>
      <c r="AZ53" s="463"/>
      <c r="BA53" s="463"/>
      <c r="BB53" s="464"/>
      <c r="BC53" s="465"/>
      <c r="BD53" s="463"/>
      <c r="BE53" s="463"/>
      <c r="BF53" s="463"/>
      <c r="BG53" s="463"/>
      <c r="BH53" s="464"/>
      <c r="BI53" s="465"/>
      <c r="BJ53" s="463"/>
      <c r="BK53" s="463"/>
      <c r="BL53" s="463"/>
      <c r="BM53" s="463"/>
      <c r="BN53" s="464"/>
      <c r="BO53" s="465"/>
      <c r="BP53" s="463"/>
      <c r="BQ53" s="463"/>
      <c r="BR53" s="463"/>
      <c r="BS53" s="463"/>
      <c r="BT53" s="464"/>
      <c r="BU53" s="465"/>
      <c r="BV53" s="463"/>
      <c r="BW53" s="463"/>
      <c r="BX53" s="463"/>
      <c r="BY53" s="463"/>
      <c r="BZ53" s="464"/>
      <c r="CA53" s="465"/>
      <c r="CB53" s="463"/>
      <c r="CC53" s="463"/>
      <c r="CD53" s="463"/>
      <c r="CE53" s="463"/>
      <c r="CF53" s="464"/>
      <c r="CG53" s="465"/>
      <c r="CH53" s="463"/>
      <c r="CI53" s="463"/>
      <c r="CJ53" s="463"/>
      <c r="CK53" s="463"/>
      <c r="CL53" s="464"/>
      <c r="CM53" s="465"/>
      <c r="CN53" s="463"/>
      <c r="CO53" s="463"/>
      <c r="CP53" s="463"/>
      <c r="CQ53" s="463"/>
      <c r="CR53" s="464"/>
      <c r="CS53" s="465"/>
      <c r="CT53" s="463"/>
      <c r="CU53" s="463"/>
      <c r="CV53" s="463"/>
      <c r="CW53" s="463"/>
      <c r="CX53" s="464"/>
      <c r="CY53" s="465"/>
      <c r="CZ53" s="463"/>
      <c r="DA53" s="463"/>
      <c r="DB53" s="463"/>
      <c r="DC53" s="463"/>
      <c r="DD53" s="464"/>
      <c r="DE53" s="465"/>
      <c r="DF53" s="463"/>
      <c r="DG53" s="463"/>
      <c r="DH53" s="463"/>
      <c r="DI53" s="463"/>
      <c r="DJ53" s="464"/>
      <c r="DK53" s="465"/>
      <c r="DL53" s="463"/>
      <c r="DM53" s="463"/>
      <c r="DN53" s="463"/>
      <c r="DO53" s="463"/>
      <c r="DP53" s="464"/>
      <c r="DQ53" s="465"/>
      <c r="DR53" s="463"/>
      <c r="DS53" s="463"/>
      <c r="DT53" s="463"/>
      <c r="DU53" s="463"/>
      <c r="DV53" s="464"/>
      <c r="DW53" s="465"/>
      <c r="DX53" s="463"/>
      <c r="DY53" s="463"/>
      <c r="DZ53" s="463"/>
      <c r="EA53" s="463"/>
      <c r="EB53" s="464"/>
      <c r="EC53" s="465"/>
      <c r="ED53" s="463"/>
      <c r="EE53" s="463"/>
      <c r="EF53" s="463"/>
      <c r="EG53" s="463"/>
      <c r="EH53" s="464"/>
      <c r="EI53" s="465"/>
      <c r="EJ53" s="463"/>
      <c r="EK53" s="463"/>
      <c r="EL53" s="463"/>
      <c r="EM53" s="463"/>
      <c r="EN53" s="464"/>
      <c r="EO53" s="465"/>
      <c r="EP53" s="463"/>
      <c r="EQ53" s="463"/>
      <c r="ER53" s="463"/>
      <c r="ES53" s="463"/>
      <c r="ET53" s="464"/>
      <c r="EU53" s="465"/>
      <c r="EV53" s="463"/>
      <c r="EW53" s="463"/>
      <c r="EX53" s="463"/>
      <c r="EY53" s="463"/>
      <c r="EZ53" s="464"/>
      <c r="FA53" s="465"/>
      <c r="FB53" s="463"/>
      <c r="FC53" s="463"/>
      <c r="FD53" s="463"/>
      <c r="FE53" s="463"/>
      <c r="FF53" s="464"/>
      <c r="FG53" s="465"/>
      <c r="FH53" s="463"/>
      <c r="FI53" s="463"/>
      <c r="FJ53" s="463"/>
      <c r="FK53" s="463"/>
      <c r="FL53" s="464"/>
      <c r="FM53" s="465"/>
      <c r="FN53" s="463"/>
      <c r="FO53" s="463"/>
      <c r="FP53" s="463"/>
      <c r="FQ53" s="463"/>
      <c r="FR53" s="464"/>
      <c r="FS53" s="465"/>
      <c r="FT53" s="463"/>
      <c r="FU53" s="463"/>
      <c r="FV53" s="463"/>
      <c r="FW53" s="463"/>
      <c r="FX53" s="464"/>
      <c r="FY53" s="465"/>
      <c r="FZ53" s="463"/>
      <c r="GA53" s="463"/>
      <c r="GB53" s="463"/>
      <c r="GC53" s="463"/>
      <c r="GD53" s="464"/>
      <c r="GE53" s="465"/>
      <c r="GF53" s="463"/>
      <c r="GG53" s="463"/>
      <c r="GH53" s="463"/>
      <c r="GI53" s="463"/>
      <c r="GJ53" s="464"/>
      <c r="GK53" s="465"/>
      <c r="GL53" s="463"/>
      <c r="GM53" s="463"/>
      <c r="GN53" s="463"/>
      <c r="GO53" s="463"/>
      <c r="GP53" s="464"/>
      <c r="GQ53" s="465"/>
      <c r="GR53" s="463"/>
      <c r="GS53" s="463"/>
      <c r="GT53" s="463"/>
      <c r="GU53" s="463"/>
      <c r="GV53" s="464"/>
      <c r="GW53" s="465"/>
      <c r="GX53" s="463"/>
      <c r="GY53" s="463"/>
      <c r="GZ53" s="463"/>
      <c r="HA53" s="463"/>
      <c r="HB53" s="464"/>
      <c r="HC53" s="465"/>
      <c r="HD53" s="463"/>
      <c r="HE53" s="463"/>
      <c r="HF53" s="463"/>
      <c r="HG53" s="463"/>
      <c r="HH53" s="464"/>
      <c r="HI53" s="465"/>
      <c r="HJ53" s="463"/>
      <c r="HK53" s="463"/>
      <c r="HL53" s="463"/>
      <c r="HM53" s="463"/>
      <c r="HN53" s="464"/>
      <c r="HO53" s="465"/>
      <c r="HP53" s="463"/>
      <c r="HQ53" s="463"/>
      <c r="HR53" s="463"/>
      <c r="HS53" s="463"/>
      <c r="HT53" s="464"/>
      <c r="HU53" s="465"/>
      <c r="HV53" s="463"/>
      <c r="HW53" s="463"/>
      <c r="HX53" s="463"/>
      <c r="HY53" s="463"/>
      <c r="HZ53" s="464"/>
      <c r="IA53" s="465"/>
      <c r="IB53" s="463"/>
      <c r="IC53" s="463"/>
      <c r="ID53" s="463"/>
      <c r="IE53" s="463"/>
      <c r="IF53" s="464"/>
      <c r="IG53" s="465"/>
      <c r="IH53" s="463"/>
      <c r="II53" s="463"/>
      <c r="IJ53" s="463"/>
    </row>
    <row r="54" spans="2:244" ht="16.5" customHeight="1" x14ac:dyDescent="0.3">
      <c r="B54" s="1270"/>
      <c r="C54" s="1271"/>
      <c r="D54" s="690">
        <v>19</v>
      </c>
      <c r="E54" s="691" t="s">
        <v>352</v>
      </c>
      <c r="F54" s="692">
        <v>4.5209999999999999</v>
      </c>
      <c r="G54" s="690">
        <v>20</v>
      </c>
      <c r="H54" s="691" t="s">
        <v>352</v>
      </c>
      <c r="I54" s="692">
        <v>4.5570000000000004</v>
      </c>
      <c r="J54" s="693">
        <f t="shared" si="0"/>
        <v>20.03</v>
      </c>
      <c r="K54" s="693">
        <v>0</v>
      </c>
      <c r="L54" s="707">
        <f t="shared" si="1"/>
        <v>0</v>
      </c>
      <c r="M54" s="693">
        <v>2</v>
      </c>
      <c r="N54" s="707">
        <f t="shared" si="2"/>
        <v>40.06</v>
      </c>
      <c r="O54" s="707">
        <f t="shared" si="3"/>
        <v>40.06</v>
      </c>
      <c r="P54" s="463"/>
      <c r="T54" s="463"/>
      <c r="U54" s="463"/>
      <c r="V54" s="463"/>
      <c r="W54" s="463"/>
      <c r="X54" s="464"/>
      <c r="Y54" s="465"/>
      <c r="Z54" s="463"/>
      <c r="AA54" s="463"/>
      <c r="AB54" s="463"/>
      <c r="AC54" s="463"/>
      <c r="AD54" s="464"/>
      <c r="AE54" s="465"/>
      <c r="AF54" s="463"/>
      <c r="AG54" s="463"/>
      <c r="AH54" s="463"/>
      <c r="AI54" s="463"/>
      <c r="AJ54" s="464"/>
      <c r="AK54" s="465"/>
      <c r="AL54" s="463"/>
      <c r="AM54" s="463"/>
      <c r="AN54" s="463"/>
      <c r="AO54" s="463"/>
      <c r="AP54" s="464"/>
      <c r="AQ54" s="465"/>
      <c r="AR54" s="463"/>
      <c r="AS54" s="463"/>
      <c r="AT54" s="463"/>
      <c r="AU54" s="463"/>
      <c r="AV54" s="464"/>
      <c r="AW54" s="465"/>
      <c r="AX54" s="463"/>
      <c r="AY54" s="463"/>
      <c r="AZ54" s="463"/>
      <c r="BA54" s="463"/>
      <c r="BB54" s="464"/>
      <c r="BC54" s="465"/>
      <c r="BD54" s="463"/>
      <c r="BE54" s="463"/>
      <c r="BF54" s="463"/>
      <c r="BG54" s="463"/>
      <c r="BH54" s="464"/>
      <c r="BI54" s="465"/>
      <c r="BJ54" s="463"/>
      <c r="BK54" s="463"/>
      <c r="BL54" s="463"/>
      <c r="BM54" s="463"/>
      <c r="BN54" s="464"/>
      <c r="BO54" s="465"/>
      <c r="BP54" s="463"/>
      <c r="BQ54" s="463"/>
      <c r="BR54" s="463"/>
      <c r="BS54" s="463"/>
      <c r="BT54" s="464"/>
      <c r="BU54" s="465"/>
      <c r="BV54" s="463"/>
      <c r="BW54" s="463"/>
      <c r="BX54" s="463"/>
      <c r="BY54" s="463"/>
      <c r="BZ54" s="464"/>
      <c r="CA54" s="465"/>
      <c r="CB54" s="463"/>
      <c r="CC54" s="463"/>
      <c r="CD54" s="463"/>
      <c r="CE54" s="463"/>
      <c r="CF54" s="464"/>
      <c r="CG54" s="465"/>
      <c r="CH54" s="463"/>
      <c r="CI54" s="463"/>
      <c r="CJ54" s="463"/>
      <c r="CK54" s="463"/>
      <c r="CL54" s="464"/>
      <c r="CM54" s="465"/>
      <c r="CN54" s="463"/>
      <c r="CO54" s="463"/>
      <c r="CP54" s="463"/>
      <c r="CQ54" s="463"/>
      <c r="CR54" s="464"/>
      <c r="CS54" s="465"/>
      <c r="CT54" s="463"/>
      <c r="CU54" s="463"/>
      <c r="CV54" s="463"/>
      <c r="CW54" s="463"/>
      <c r="CX54" s="464"/>
      <c r="CY54" s="465"/>
      <c r="CZ54" s="463"/>
      <c r="DA54" s="463"/>
      <c r="DB54" s="463"/>
      <c r="DC54" s="463"/>
      <c r="DD54" s="464"/>
      <c r="DE54" s="465"/>
      <c r="DF54" s="463"/>
      <c r="DG54" s="463"/>
      <c r="DH54" s="463"/>
      <c r="DI54" s="463"/>
      <c r="DJ54" s="464"/>
      <c r="DK54" s="465"/>
      <c r="DL54" s="463"/>
      <c r="DM54" s="463"/>
      <c r="DN54" s="463"/>
      <c r="DO54" s="463"/>
      <c r="DP54" s="464"/>
      <c r="DQ54" s="465"/>
      <c r="DR54" s="463"/>
      <c r="DS54" s="463"/>
      <c r="DT54" s="463"/>
      <c r="DU54" s="463"/>
      <c r="DV54" s="464"/>
      <c r="DW54" s="465"/>
      <c r="DX54" s="463"/>
      <c r="DY54" s="463"/>
      <c r="DZ54" s="463"/>
      <c r="EA54" s="463"/>
      <c r="EB54" s="464"/>
      <c r="EC54" s="465"/>
      <c r="ED54" s="463"/>
      <c r="EE54" s="463"/>
      <c r="EF54" s="463"/>
      <c r="EG54" s="463"/>
      <c r="EH54" s="464"/>
      <c r="EI54" s="465"/>
      <c r="EJ54" s="463"/>
      <c r="EK54" s="463"/>
      <c r="EL54" s="463"/>
      <c r="EM54" s="463"/>
      <c r="EN54" s="464"/>
      <c r="EO54" s="465"/>
      <c r="EP54" s="463"/>
      <c r="EQ54" s="463"/>
      <c r="ER54" s="463"/>
      <c r="ES54" s="463"/>
      <c r="ET54" s="464"/>
      <c r="EU54" s="465"/>
      <c r="EV54" s="463"/>
      <c r="EW54" s="463"/>
      <c r="EX54" s="463"/>
      <c r="EY54" s="463"/>
      <c r="EZ54" s="464"/>
      <c r="FA54" s="465"/>
      <c r="FB54" s="463"/>
      <c r="FC54" s="463"/>
      <c r="FD54" s="463"/>
      <c r="FE54" s="463"/>
      <c r="FF54" s="464"/>
      <c r="FG54" s="465"/>
      <c r="FH54" s="463"/>
      <c r="FI54" s="463"/>
      <c r="FJ54" s="463"/>
      <c r="FK54" s="463"/>
      <c r="FL54" s="464"/>
      <c r="FM54" s="465"/>
      <c r="FN54" s="463"/>
      <c r="FO54" s="463"/>
      <c r="FP54" s="463"/>
      <c r="FQ54" s="463"/>
      <c r="FR54" s="464"/>
      <c r="FS54" s="465"/>
      <c r="FT54" s="463"/>
      <c r="FU54" s="463"/>
      <c r="FV54" s="463"/>
      <c r="FW54" s="463"/>
      <c r="FX54" s="464"/>
      <c r="FY54" s="465"/>
      <c r="FZ54" s="463"/>
      <c r="GA54" s="463"/>
      <c r="GB54" s="463"/>
      <c r="GC54" s="463"/>
      <c r="GD54" s="464"/>
      <c r="GE54" s="465"/>
      <c r="GF54" s="463"/>
      <c r="GG54" s="463"/>
      <c r="GH54" s="463"/>
      <c r="GI54" s="463"/>
      <c r="GJ54" s="464"/>
      <c r="GK54" s="465"/>
      <c r="GL54" s="463"/>
      <c r="GM54" s="463"/>
      <c r="GN54" s="463"/>
      <c r="GO54" s="463"/>
      <c r="GP54" s="464"/>
      <c r="GQ54" s="465"/>
      <c r="GR54" s="463"/>
      <c r="GS54" s="463"/>
      <c r="GT54" s="463"/>
      <c r="GU54" s="463"/>
      <c r="GV54" s="464"/>
      <c r="GW54" s="465"/>
      <c r="GX54" s="463"/>
      <c r="GY54" s="463"/>
      <c r="GZ54" s="463"/>
      <c r="HA54" s="463"/>
      <c r="HB54" s="464"/>
      <c r="HC54" s="465"/>
      <c r="HD54" s="463"/>
      <c r="HE54" s="463"/>
      <c r="HF54" s="463"/>
      <c r="HG54" s="463"/>
      <c r="HH54" s="464"/>
      <c r="HI54" s="465"/>
      <c r="HJ54" s="463"/>
      <c r="HK54" s="463"/>
      <c r="HL54" s="463"/>
      <c r="HM54" s="463"/>
      <c r="HN54" s="464"/>
      <c r="HO54" s="465"/>
      <c r="HP54" s="463"/>
      <c r="HQ54" s="463"/>
      <c r="HR54" s="463"/>
      <c r="HS54" s="463"/>
      <c r="HT54" s="464"/>
      <c r="HU54" s="465"/>
      <c r="HV54" s="463"/>
      <c r="HW54" s="463"/>
      <c r="HX54" s="463"/>
      <c r="HY54" s="463"/>
      <c r="HZ54" s="464"/>
      <c r="IA54" s="465"/>
      <c r="IB54" s="463"/>
      <c r="IC54" s="463"/>
      <c r="ID54" s="463"/>
      <c r="IE54" s="463"/>
      <c r="IF54" s="464"/>
      <c r="IG54" s="465"/>
      <c r="IH54" s="463"/>
      <c r="II54" s="463"/>
      <c r="IJ54" s="463"/>
    </row>
    <row r="55" spans="2:244" ht="16.5" customHeight="1" x14ac:dyDescent="0.3">
      <c r="B55" s="1270"/>
      <c r="C55" s="1271"/>
      <c r="D55" s="690">
        <v>20</v>
      </c>
      <c r="E55" s="691" t="s">
        <v>352</v>
      </c>
      <c r="F55" s="692">
        <v>18.013000000000002</v>
      </c>
      <c r="G55" s="690">
        <v>23</v>
      </c>
      <c r="H55" s="691" t="s">
        <v>352</v>
      </c>
      <c r="I55" s="692">
        <v>5.2290000000000001</v>
      </c>
      <c r="J55" s="693">
        <f t="shared" si="0"/>
        <v>47.21</v>
      </c>
      <c r="K55" s="693">
        <v>0</v>
      </c>
      <c r="L55" s="707">
        <f t="shared" si="1"/>
        <v>0</v>
      </c>
      <c r="M55" s="693">
        <v>2</v>
      </c>
      <c r="N55" s="707">
        <f t="shared" si="2"/>
        <v>94.42</v>
      </c>
      <c r="O55" s="707">
        <f t="shared" si="3"/>
        <v>94.42</v>
      </c>
      <c r="P55" s="463"/>
      <c r="T55" s="463"/>
      <c r="U55" s="463"/>
      <c r="V55" s="463"/>
      <c r="W55" s="463"/>
      <c r="X55" s="464"/>
      <c r="Y55" s="465"/>
      <c r="Z55" s="463"/>
      <c r="AA55" s="463"/>
      <c r="AB55" s="463"/>
      <c r="AC55" s="463"/>
      <c r="AD55" s="464"/>
      <c r="AE55" s="465"/>
      <c r="AF55" s="463"/>
      <c r="AG55" s="463"/>
      <c r="AH55" s="463"/>
      <c r="AI55" s="463"/>
      <c r="AJ55" s="464"/>
      <c r="AK55" s="465"/>
      <c r="AL55" s="463"/>
      <c r="AM55" s="463"/>
      <c r="AN55" s="463"/>
      <c r="AO55" s="463"/>
      <c r="AP55" s="464"/>
      <c r="AQ55" s="465"/>
      <c r="AR55" s="463"/>
      <c r="AS55" s="463"/>
      <c r="AT55" s="463"/>
      <c r="AU55" s="463"/>
      <c r="AV55" s="464"/>
      <c r="AW55" s="465"/>
      <c r="AX55" s="463"/>
      <c r="AY55" s="463"/>
      <c r="AZ55" s="463"/>
      <c r="BA55" s="463"/>
      <c r="BB55" s="464"/>
      <c r="BC55" s="465"/>
      <c r="BD55" s="463"/>
      <c r="BE55" s="463"/>
      <c r="BF55" s="463"/>
      <c r="BG55" s="463"/>
      <c r="BH55" s="464"/>
      <c r="BI55" s="465"/>
      <c r="BJ55" s="463"/>
      <c r="BK55" s="463"/>
      <c r="BL55" s="463"/>
      <c r="BM55" s="463"/>
      <c r="BN55" s="464"/>
      <c r="BO55" s="465"/>
      <c r="BP55" s="463"/>
      <c r="BQ55" s="463"/>
      <c r="BR55" s="463"/>
      <c r="BS55" s="463"/>
      <c r="BT55" s="464"/>
      <c r="BU55" s="465"/>
      <c r="BV55" s="463"/>
      <c r="BW55" s="463"/>
      <c r="BX55" s="463"/>
      <c r="BY55" s="463"/>
      <c r="BZ55" s="464"/>
      <c r="CA55" s="465"/>
      <c r="CB55" s="463"/>
      <c r="CC55" s="463"/>
      <c r="CD55" s="463"/>
      <c r="CE55" s="463"/>
      <c r="CF55" s="464"/>
      <c r="CG55" s="465"/>
      <c r="CH55" s="463"/>
      <c r="CI55" s="463"/>
      <c r="CJ55" s="463"/>
      <c r="CK55" s="463"/>
      <c r="CL55" s="464"/>
      <c r="CM55" s="465"/>
      <c r="CN55" s="463"/>
      <c r="CO55" s="463"/>
      <c r="CP55" s="463"/>
      <c r="CQ55" s="463"/>
      <c r="CR55" s="464"/>
      <c r="CS55" s="465"/>
      <c r="CT55" s="463"/>
      <c r="CU55" s="463"/>
      <c r="CV55" s="463"/>
      <c r="CW55" s="463"/>
      <c r="CX55" s="464"/>
      <c r="CY55" s="465"/>
      <c r="CZ55" s="463"/>
      <c r="DA55" s="463"/>
      <c r="DB55" s="463"/>
      <c r="DC55" s="463"/>
      <c r="DD55" s="464"/>
      <c r="DE55" s="465"/>
      <c r="DF55" s="463"/>
      <c r="DG55" s="463"/>
      <c r="DH55" s="463"/>
      <c r="DI55" s="463"/>
      <c r="DJ55" s="464"/>
      <c r="DK55" s="465"/>
      <c r="DL55" s="463"/>
      <c r="DM55" s="463"/>
      <c r="DN55" s="463"/>
      <c r="DO55" s="463"/>
      <c r="DP55" s="464"/>
      <c r="DQ55" s="465"/>
      <c r="DR55" s="463"/>
      <c r="DS55" s="463"/>
      <c r="DT55" s="463"/>
      <c r="DU55" s="463"/>
      <c r="DV55" s="464"/>
      <c r="DW55" s="465"/>
      <c r="DX55" s="463"/>
      <c r="DY55" s="463"/>
      <c r="DZ55" s="463"/>
      <c r="EA55" s="463"/>
      <c r="EB55" s="464"/>
      <c r="EC55" s="465"/>
      <c r="ED55" s="463"/>
      <c r="EE55" s="463"/>
      <c r="EF55" s="463"/>
      <c r="EG55" s="463"/>
      <c r="EH55" s="464"/>
      <c r="EI55" s="465"/>
      <c r="EJ55" s="463"/>
      <c r="EK55" s="463"/>
      <c r="EL55" s="463"/>
      <c r="EM55" s="463"/>
      <c r="EN55" s="464"/>
      <c r="EO55" s="465"/>
      <c r="EP55" s="463"/>
      <c r="EQ55" s="463"/>
      <c r="ER55" s="463"/>
      <c r="ES55" s="463"/>
      <c r="ET55" s="464"/>
      <c r="EU55" s="465"/>
      <c r="EV55" s="463"/>
      <c r="EW55" s="463"/>
      <c r="EX55" s="463"/>
      <c r="EY55" s="463"/>
      <c r="EZ55" s="464"/>
      <c r="FA55" s="465"/>
      <c r="FB55" s="463"/>
      <c r="FC55" s="463"/>
      <c r="FD55" s="463"/>
      <c r="FE55" s="463"/>
      <c r="FF55" s="464"/>
      <c r="FG55" s="465"/>
      <c r="FH55" s="463"/>
      <c r="FI55" s="463"/>
      <c r="FJ55" s="463"/>
      <c r="FK55" s="463"/>
      <c r="FL55" s="464"/>
      <c r="FM55" s="465"/>
      <c r="FN55" s="463"/>
      <c r="FO55" s="463"/>
      <c r="FP55" s="463"/>
      <c r="FQ55" s="463"/>
      <c r="FR55" s="464"/>
      <c r="FS55" s="465"/>
      <c r="FT55" s="463"/>
      <c r="FU55" s="463"/>
      <c r="FV55" s="463"/>
      <c r="FW55" s="463"/>
      <c r="FX55" s="464"/>
      <c r="FY55" s="465"/>
      <c r="FZ55" s="463"/>
      <c r="GA55" s="463"/>
      <c r="GB55" s="463"/>
      <c r="GC55" s="463"/>
      <c r="GD55" s="464"/>
      <c r="GE55" s="465"/>
      <c r="GF55" s="463"/>
      <c r="GG55" s="463"/>
      <c r="GH55" s="463"/>
      <c r="GI55" s="463"/>
      <c r="GJ55" s="464"/>
      <c r="GK55" s="465"/>
      <c r="GL55" s="463"/>
      <c r="GM55" s="463"/>
      <c r="GN55" s="463"/>
      <c r="GO55" s="463"/>
      <c r="GP55" s="464"/>
      <c r="GQ55" s="465"/>
      <c r="GR55" s="463"/>
      <c r="GS55" s="463"/>
      <c r="GT55" s="463"/>
      <c r="GU55" s="463"/>
      <c r="GV55" s="464"/>
      <c r="GW55" s="465"/>
      <c r="GX55" s="463"/>
      <c r="GY55" s="463"/>
      <c r="GZ55" s="463"/>
      <c r="HA55" s="463"/>
      <c r="HB55" s="464"/>
      <c r="HC55" s="465"/>
      <c r="HD55" s="463"/>
      <c r="HE55" s="463"/>
      <c r="HF55" s="463"/>
      <c r="HG55" s="463"/>
      <c r="HH55" s="464"/>
      <c r="HI55" s="465"/>
      <c r="HJ55" s="463"/>
      <c r="HK55" s="463"/>
      <c r="HL55" s="463"/>
      <c r="HM55" s="463"/>
      <c r="HN55" s="464"/>
      <c r="HO55" s="465"/>
      <c r="HP55" s="463"/>
      <c r="HQ55" s="463"/>
      <c r="HR55" s="463"/>
      <c r="HS55" s="463"/>
      <c r="HT55" s="464"/>
      <c r="HU55" s="465"/>
      <c r="HV55" s="463"/>
      <c r="HW55" s="463"/>
      <c r="HX55" s="463"/>
      <c r="HY55" s="463"/>
      <c r="HZ55" s="464"/>
      <c r="IA55" s="465"/>
      <c r="IB55" s="463"/>
      <c r="IC55" s="463"/>
      <c r="ID55" s="463"/>
      <c r="IE55" s="463"/>
      <c r="IF55" s="464"/>
      <c r="IG55" s="465"/>
      <c r="IH55" s="463"/>
      <c r="II55" s="463"/>
      <c r="IJ55" s="463"/>
    </row>
    <row r="56" spans="2:244" ht="16.5" customHeight="1" x14ac:dyDescent="0.3">
      <c r="B56" s="1270"/>
      <c r="C56" s="1271"/>
      <c r="D56" s="690">
        <v>24</v>
      </c>
      <c r="E56" s="691" t="s">
        <v>352</v>
      </c>
      <c r="F56" s="692">
        <v>14.641999999999999</v>
      </c>
      <c r="G56" s="690">
        <v>26</v>
      </c>
      <c r="H56" s="691" t="s">
        <v>352</v>
      </c>
      <c r="I56" s="692">
        <v>6.3140000000000001</v>
      </c>
      <c r="J56" s="693">
        <f t="shared" si="0"/>
        <v>31.67</v>
      </c>
      <c r="K56" s="693">
        <v>0</v>
      </c>
      <c r="L56" s="707">
        <f t="shared" si="1"/>
        <v>0</v>
      </c>
      <c r="M56" s="693">
        <v>2</v>
      </c>
      <c r="N56" s="707">
        <f t="shared" si="2"/>
        <v>63.34</v>
      </c>
      <c r="O56" s="707">
        <f t="shared" si="3"/>
        <v>63.34</v>
      </c>
      <c r="P56" s="463"/>
      <c r="T56" s="463"/>
      <c r="U56" s="463"/>
      <c r="V56" s="463"/>
      <c r="W56" s="463"/>
      <c r="X56" s="464"/>
      <c r="Y56" s="465"/>
      <c r="Z56" s="463"/>
      <c r="AA56" s="463"/>
      <c r="AB56" s="463"/>
      <c r="AC56" s="463"/>
      <c r="AD56" s="464"/>
      <c r="AE56" s="465"/>
      <c r="AF56" s="463"/>
      <c r="AG56" s="463"/>
      <c r="AH56" s="463"/>
      <c r="AI56" s="463"/>
      <c r="AJ56" s="464"/>
      <c r="AK56" s="465"/>
      <c r="AL56" s="463"/>
      <c r="AM56" s="463"/>
      <c r="AN56" s="463"/>
      <c r="AO56" s="463"/>
      <c r="AP56" s="464"/>
      <c r="AQ56" s="465"/>
      <c r="AR56" s="463"/>
      <c r="AS56" s="463"/>
      <c r="AT56" s="463"/>
      <c r="AU56" s="463"/>
      <c r="AV56" s="464"/>
      <c r="AW56" s="465"/>
      <c r="AX56" s="463"/>
      <c r="AY56" s="463"/>
      <c r="AZ56" s="463"/>
      <c r="BA56" s="463"/>
      <c r="BB56" s="464"/>
      <c r="BC56" s="465"/>
      <c r="BD56" s="463"/>
      <c r="BE56" s="463"/>
      <c r="BF56" s="463"/>
      <c r="BG56" s="463"/>
      <c r="BH56" s="464"/>
      <c r="BI56" s="465"/>
      <c r="BJ56" s="463"/>
      <c r="BK56" s="463"/>
      <c r="BL56" s="463"/>
      <c r="BM56" s="463"/>
      <c r="BN56" s="464"/>
      <c r="BO56" s="465"/>
      <c r="BP56" s="463"/>
      <c r="BQ56" s="463"/>
      <c r="BR56" s="463"/>
      <c r="BS56" s="463"/>
      <c r="BT56" s="464"/>
      <c r="BU56" s="465"/>
      <c r="BV56" s="463"/>
      <c r="BW56" s="463"/>
      <c r="BX56" s="463"/>
      <c r="BY56" s="463"/>
      <c r="BZ56" s="464"/>
      <c r="CA56" s="465"/>
      <c r="CB56" s="463"/>
      <c r="CC56" s="463"/>
      <c r="CD56" s="463"/>
      <c r="CE56" s="463"/>
      <c r="CF56" s="464"/>
      <c r="CG56" s="465"/>
      <c r="CH56" s="463"/>
      <c r="CI56" s="463"/>
      <c r="CJ56" s="463"/>
      <c r="CK56" s="463"/>
      <c r="CL56" s="464"/>
      <c r="CM56" s="465"/>
      <c r="CN56" s="463"/>
      <c r="CO56" s="463"/>
      <c r="CP56" s="463"/>
      <c r="CQ56" s="463"/>
      <c r="CR56" s="464"/>
      <c r="CS56" s="465"/>
      <c r="CT56" s="463"/>
      <c r="CU56" s="463"/>
      <c r="CV56" s="463"/>
      <c r="CW56" s="463"/>
      <c r="CX56" s="464"/>
      <c r="CY56" s="465"/>
      <c r="CZ56" s="463"/>
      <c r="DA56" s="463"/>
      <c r="DB56" s="463"/>
      <c r="DC56" s="463"/>
      <c r="DD56" s="464"/>
      <c r="DE56" s="465"/>
      <c r="DF56" s="463"/>
      <c r="DG56" s="463"/>
      <c r="DH56" s="463"/>
      <c r="DI56" s="463"/>
      <c r="DJ56" s="464"/>
      <c r="DK56" s="465"/>
      <c r="DL56" s="463"/>
      <c r="DM56" s="463"/>
      <c r="DN56" s="463"/>
      <c r="DO56" s="463"/>
      <c r="DP56" s="464"/>
      <c r="DQ56" s="465"/>
      <c r="DR56" s="463"/>
      <c r="DS56" s="463"/>
      <c r="DT56" s="463"/>
      <c r="DU56" s="463"/>
      <c r="DV56" s="464"/>
      <c r="DW56" s="465"/>
      <c r="DX56" s="463"/>
      <c r="DY56" s="463"/>
      <c r="DZ56" s="463"/>
      <c r="EA56" s="463"/>
      <c r="EB56" s="464"/>
      <c r="EC56" s="465"/>
      <c r="ED56" s="463"/>
      <c r="EE56" s="463"/>
      <c r="EF56" s="463"/>
      <c r="EG56" s="463"/>
      <c r="EH56" s="464"/>
      <c r="EI56" s="465"/>
      <c r="EJ56" s="463"/>
      <c r="EK56" s="463"/>
      <c r="EL56" s="463"/>
      <c r="EM56" s="463"/>
      <c r="EN56" s="464"/>
      <c r="EO56" s="465"/>
      <c r="EP56" s="463"/>
      <c r="EQ56" s="463"/>
      <c r="ER56" s="463"/>
      <c r="ES56" s="463"/>
      <c r="ET56" s="464"/>
      <c r="EU56" s="465"/>
      <c r="EV56" s="463"/>
      <c r="EW56" s="463"/>
      <c r="EX56" s="463"/>
      <c r="EY56" s="463"/>
      <c r="EZ56" s="464"/>
      <c r="FA56" s="465"/>
      <c r="FB56" s="463"/>
      <c r="FC56" s="463"/>
      <c r="FD56" s="463"/>
      <c r="FE56" s="463"/>
      <c r="FF56" s="464"/>
      <c r="FG56" s="465"/>
      <c r="FH56" s="463"/>
      <c r="FI56" s="463"/>
      <c r="FJ56" s="463"/>
      <c r="FK56" s="463"/>
      <c r="FL56" s="464"/>
      <c r="FM56" s="465"/>
      <c r="FN56" s="463"/>
      <c r="FO56" s="463"/>
      <c r="FP56" s="463"/>
      <c r="FQ56" s="463"/>
      <c r="FR56" s="464"/>
      <c r="FS56" s="465"/>
      <c r="FT56" s="463"/>
      <c r="FU56" s="463"/>
      <c r="FV56" s="463"/>
      <c r="FW56" s="463"/>
      <c r="FX56" s="464"/>
      <c r="FY56" s="465"/>
      <c r="FZ56" s="463"/>
      <c r="GA56" s="463"/>
      <c r="GB56" s="463"/>
      <c r="GC56" s="463"/>
      <c r="GD56" s="464"/>
      <c r="GE56" s="465"/>
      <c r="GF56" s="463"/>
      <c r="GG56" s="463"/>
      <c r="GH56" s="463"/>
      <c r="GI56" s="463"/>
      <c r="GJ56" s="464"/>
      <c r="GK56" s="465"/>
      <c r="GL56" s="463"/>
      <c r="GM56" s="463"/>
      <c r="GN56" s="463"/>
      <c r="GO56" s="463"/>
      <c r="GP56" s="464"/>
      <c r="GQ56" s="465"/>
      <c r="GR56" s="463"/>
      <c r="GS56" s="463"/>
      <c r="GT56" s="463"/>
      <c r="GU56" s="463"/>
      <c r="GV56" s="464"/>
      <c r="GW56" s="465"/>
      <c r="GX56" s="463"/>
      <c r="GY56" s="463"/>
      <c r="GZ56" s="463"/>
      <c r="HA56" s="463"/>
      <c r="HB56" s="464"/>
      <c r="HC56" s="465"/>
      <c r="HD56" s="463"/>
      <c r="HE56" s="463"/>
      <c r="HF56" s="463"/>
      <c r="HG56" s="463"/>
      <c r="HH56" s="464"/>
      <c r="HI56" s="465"/>
      <c r="HJ56" s="463"/>
      <c r="HK56" s="463"/>
      <c r="HL56" s="463"/>
      <c r="HM56" s="463"/>
      <c r="HN56" s="464"/>
      <c r="HO56" s="465"/>
      <c r="HP56" s="463"/>
      <c r="HQ56" s="463"/>
      <c r="HR56" s="463"/>
      <c r="HS56" s="463"/>
      <c r="HT56" s="464"/>
      <c r="HU56" s="465"/>
      <c r="HV56" s="463"/>
      <c r="HW56" s="463"/>
      <c r="HX56" s="463"/>
      <c r="HY56" s="463"/>
      <c r="HZ56" s="464"/>
      <c r="IA56" s="465"/>
      <c r="IB56" s="463"/>
      <c r="IC56" s="463"/>
      <c r="ID56" s="463"/>
      <c r="IE56" s="463"/>
      <c r="IF56" s="464"/>
      <c r="IG56" s="465"/>
      <c r="IH56" s="463"/>
      <c r="II56" s="463"/>
      <c r="IJ56" s="463"/>
    </row>
    <row r="57" spans="2:244" ht="16.5" customHeight="1" x14ac:dyDescent="0.3">
      <c r="B57" s="1270"/>
      <c r="C57" s="1271"/>
      <c r="D57" s="690">
        <v>27</v>
      </c>
      <c r="E57" s="691" t="s">
        <v>352</v>
      </c>
      <c r="F57" s="692">
        <v>2.524</v>
      </c>
      <c r="G57" s="690">
        <v>30</v>
      </c>
      <c r="H57" s="691" t="s">
        <v>352</v>
      </c>
      <c r="I57" s="692">
        <v>5.2030000000000003</v>
      </c>
      <c r="J57" s="693">
        <f t="shared" si="0"/>
        <v>62.67</v>
      </c>
      <c r="K57" s="693">
        <v>0</v>
      </c>
      <c r="L57" s="707">
        <f t="shared" si="1"/>
        <v>0</v>
      </c>
      <c r="M57" s="693">
        <v>2</v>
      </c>
      <c r="N57" s="707">
        <f t="shared" si="2"/>
        <v>125.34</v>
      </c>
      <c r="O57" s="707">
        <f t="shared" si="3"/>
        <v>125.34</v>
      </c>
      <c r="P57" s="463"/>
      <c r="T57" s="463"/>
      <c r="U57" s="463"/>
      <c r="V57" s="463"/>
      <c r="W57" s="463"/>
      <c r="X57" s="464"/>
      <c r="Y57" s="465"/>
      <c r="Z57" s="463"/>
      <c r="AA57" s="463"/>
      <c r="AB57" s="463"/>
      <c r="AC57" s="463"/>
      <c r="AD57" s="464"/>
      <c r="AE57" s="465"/>
      <c r="AF57" s="463"/>
      <c r="AG57" s="463"/>
      <c r="AH57" s="463"/>
      <c r="AI57" s="463"/>
      <c r="AJ57" s="464"/>
      <c r="AK57" s="465"/>
      <c r="AL57" s="463"/>
      <c r="AM57" s="463"/>
      <c r="AN57" s="463"/>
      <c r="AO57" s="463"/>
      <c r="AP57" s="464"/>
      <c r="AQ57" s="465"/>
      <c r="AR57" s="463"/>
      <c r="AS57" s="463"/>
      <c r="AT57" s="463"/>
      <c r="AU57" s="463"/>
      <c r="AV57" s="464"/>
      <c r="AW57" s="465"/>
      <c r="AX57" s="463"/>
      <c r="AY57" s="463"/>
      <c r="AZ57" s="463"/>
      <c r="BA57" s="463"/>
      <c r="BB57" s="464"/>
      <c r="BC57" s="465"/>
      <c r="BD57" s="463"/>
      <c r="BE57" s="463"/>
      <c r="BF57" s="463"/>
      <c r="BG57" s="463"/>
      <c r="BH57" s="464"/>
      <c r="BI57" s="465"/>
      <c r="BJ57" s="463"/>
      <c r="BK57" s="463"/>
      <c r="BL57" s="463"/>
      <c r="BM57" s="463"/>
      <c r="BN57" s="464"/>
      <c r="BO57" s="465"/>
      <c r="BP57" s="463"/>
      <c r="BQ57" s="463"/>
      <c r="BR57" s="463"/>
      <c r="BS57" s="463"/>
      <c r="BT57" s="464"/>
      <c r="BU57" s="465"/>
      <c r="BV57" s="463"/>
      <c r="BW57" s="463"/>
      <c r="BX57" s="463"/>
      <c r="BY57" s="463"/>
      <c r="BZ57" s="464"/>
      <c r="CA57" s="465"/>
      <c r="CB57" s="463"/>
      <c r="CC57" s="463"/>
      <c r="CD57" s="463"/>
      <c r="CE57" s="463"/>
      <c r="CF57" s="464"/>
      <c r="CG57" s="465"/>
      <c r="CH57" s="463"/>
      <c r="CI57" s="463"/>
      <c r="CJ57" s="463"/>
      <c r="CK57" s="463"/>
      <c r="CL57" s="464"/>
      <c r="CM57" s="465"/>
      <c r="CN57" s="463"/>
      <c r="CO57" s="463"/>
      <c r="CP57" s="463"/>
      <c r="CQ57" s="463"/>
      <c r="CR57" s="464"/>
      <c r="CS57" s="465"/>
      <c r="CT57" s="463"/>
      <c r="CU57" s="463"/>
      <c r="CV57" s="463"/>
      <c r="CW57" s="463"/>
      <c r="CX57" s="464"/>
      <c r="CY57" s="465"/>
      <c r="CZ57" s="463"/>
      <c r="DA57" s="463"/>
      <c r="DB57" s="463"/>
      <c r="DC57" s="463"/>
      <c r="DD57" s="464"/>
      <c r="DE57" s="465"/>
      <c r="DF57" s="463"/>
      <c r="DG57" s="463"/>
      <c r="DH57" s="463"/>
      <c r="DI57" s="463"/>
      <c r="DJ57" s="464"/>
      <c r="DK57" s="465"/>
      <c r="DL57" s="463"/>
      <c r="DM57" s="463"/>
      <c r="DN57" s="463"/>
      <c r="DO57" s="463"/>
      <c r="DP57" s="464"/>
      <c r="DQ57" s="465"/>
      <c r="DR57" s="463"/>
      <c r="DS57" s="463"/>
      <c r="DT57" s="463"/>
      <c r="DU57" s="463"/>
      <c r="DV57" s="464"/>
      <c r="DW57" s="465"/>
      <c r="DX57" s="463"/>
      <c r="DY57" s="463"/>
      <c r="DZ57" s="463"/>
      <c r="EA57" s="463"/>
      <c r="EB57" s="464"/>
      <c r="EC57" s="465"/>
      <c r="ED57" s="463"/>
      <c r="EE57" s="463"/>
      <c r="EF57" s="463"/>
      <c r="EG57" s="463"/>
      <c r="EH57" s="464"/>
      <c r="EI57" s="465"/>
      <c r="EJ57" s="463"/>
      <c r="EK57" s="463"/>
      <c r="EL57" s="463"/>
      <c r="EM57" s="463"/>
      <c r="EN57" s="464"/>
      <c r="EO57" s="465"/>
      <c r="EP57" s="463"/>
      <c r="EQ57" s="463"/>
      <c r="ER57" s="463"/>
      <c r="ES57" s="463"/>
      <c r="ET57" s="464"/>
      <c r="EU57" s="465"/>
      <c r="EV57" s="463"/>
      <c r="EW57" s="463"/>
      <c r="EX57" s="463"/>
      <c r="EY57" s="463"/>
      <c r="EZ57" s="464"/>
      <c r="FA57" s="465"/>
      <c r="FB57" s="463"/>
      <c r="FC57" s="463"/>
      <c r="FD57" s="463"/>
      <c r="FE57" s="463"/>
      <c r="FF57" s="464"/>
      <c r="FG57" s="465"/>
      <c r="FH57" s="463"/>
      <c r="FI57" s="463"/>
      <c r="FJ57" s="463"/>
      <c r="FK57" s="463"/>
      <c r="FL57" s="464"/>
      <c r="FM57" s="465"/>
      <c r="FN57" s="463"/>
      <c r="FO57" s="463"/>
      <c r="FP57" s="463"/>
      <c r="FQ57" s="463"/>
      <c r="FR57" s="464"/>
      <c r="FS57" s="465"/>
      <c r="FT57" s="463"/>
      <c r="FU57" s="463"/>
      <c r="FV57" s="463"/>
      <c r="FW57" s="463"/>
      <c r="FX57" s="464"/>
      <c r="FY57" s="465"/>
      <c r="FZ57" s="463"/>
      <c r="GA57" s="463"/>
      <c r="GB57" s="463"/>
      <c r="GC57" s="463"/>
      <c r="GD57" s="464"/>
      <c r="GE57" s="465"/>
      <c r="GF57" s="463"/>
      <c r="GG57" s="463"/>
      <c r="GH57" s="463"/>
      <c r="GI57" s="463"/>
      <c r="GJ57" s="464"/>
      <c r="GK57" s="465"/>
      <c r="GL57" s="463"/>
      <c r="GM57" s="463"/>
      <c r="GN57" s="463"/>
      <c r="GO57" s="463"/>
      <c r="GP57" s="464"/>
      <c r="GQ57" s="465"/>
      <c r="GR57" s="463"/>
      <c r="GS57" s="463"/>
      <c r="GT57" s="463"/>
      <c r="GU57" s="463"/>
      <c r="GV57" s="464"/>
      <c r="GW57" s="465"/>
      <c r="GX57" s="463"/>
      <c r="GY57" s="463"/>
      <c r="GZ57" s="463"/>
      <c r="HA57" s="463"/>
      <c r="HB57" s="464"/>
      <c r="HC57" s="465"/>
      <c r="HD57" s="463"/>
      <c r="HE57" s="463"/>
      <c r="HF57" s="463"/>
      <c r="HG57" s="463"/>
      <c r="HH57" s="464"/>
      <c r="HI57" s="465"/>
      <c r="HJ57" s="463"/>
      <c r="HK57" s="463"/>
      <c r="HL57" s="463"/>
      <c r="HM57" s="463"/>
      <c r="HN57" s="464"/>
      <c r="HO57" s="465"/>
      <c r="HP57" s="463"/>
      <c r="HQ57" s="463"/>
      <c r="HR57" s="463"/>
      <c r="HS57" s="463"/>
      <c r="HT57" s="464"/>
      <c r="HU57" s="465"/>
      <c r="HV57" s="463"/>
      <c r="HW57" s="463"/>
      <c r="HX57" s="463"/>
      <c r="HY57" s="463"/>
      <c r="HZ57" s="464"/>
      <c r="IA57" s="465"/>
      <c r="IB57" s="463"/>
      <c r="IC57" s="463"/>
      <c r="ID57" s="463"/>
      <c r="IE57" s="463"/>
      <c r="IF57" s="464"/>
      <c r="IG57" s="465"/>
      <c r="IH57" s="463"/>
      <c r="II57" s="463"/>
      <c r="IJ57" s="463"/>
    </row>
    <row r="58" spans="2:244" ht="16.5" customHeight="1" x14ac:dyDescent="0.3">
      <c r="B58" s="1270"/>
      <c r="C58" s="1271"/>
      <c r="D58" s="690">
        <v>31</v>
      </c>
      <c r="E58" s="691" t="s">
        <v>352</v>
      </c>
      <c r="F58" s="692">
        <v>5.18</v>
      </c>
      <c r="G58" s="690">
        <v>32</v>
      </c>
      <c r="H58" s="691" t="s">
        <v>352</v>
      </c>
      <c r="I58" s="692">
        <v>1.8660000000000001</v>
      </c>
      <c r="J58" s="693">
        <f t="shared" si="0"/>
        <v>16.68</v>
      </c>
      <c r="K58" s="693">
        <v>0</v>
      </c>
      <c r="L58" s="707">
        <f t="shared" si="1"/>
        <v>0</v>
      </c>
      <c r="M58" s="693">
        <v>2.5</v>
      </c>
      <c r="N58" s="707">
        <f t="shared" si="2"/>
        <v>41.7</v>
      </c>
      <c r="O58" s="707">
        <f t="shared" si="3"/>
        <v>41.7</v>
      </c>
      <c r="P58" s="463"/>
      <c r="Q58" s="708">
        <f>6220.64-O61</f>
        <v>0.5</v>
      </c>
      <c r="T58" s="463"/>
      <c r="U58" s="463"/>
      <c r="V58" s="463"/>
      <c r="W58" s="463"/>
      <c r="X58" s="464"/>
      <c r="Y58" s="465"/>
      <c r="Z58" s="463"/>
      <c r="AA58" s="463"/>
      <c r="AB58" s="463"/>
      <c r="AC58" s="463"/>
      <c r="AD58" s="464"/>
      <c r="AE58" s="465"/>
      <c r="AF58" s="463"/>
      <c r="AG58" s="463"/>
      <c r="AH58" s="463"/>
      <c r="AI58" s="463"/>
      <c r="AJ58" s="464"/>
      <c r="AK58" s="465"/>
      <c r="AL58" s="463"/>
      <c r="AM58" s="463"/>
      <c r="AN58" s="463"/>
      <c r="AO58" s="463"/>
      <c r="AP58" s="464"/>
      <c r="AQ58" s="465"/>
      <c r="AR58" s="463"/>
      <c r="AS58" s="463"/>
      <c r="AT58" s="463"/>
      <c r="AU58" s="463"/>
      <c r="AV58" s="464"/>
      <c r="AW58" s="465"/>
      <c r="AX58" s="463"/>
      <c r="AY58" s="463"/>
      <c r="AZ58" s="463"/>
      <c r="BA58" s="463"/>
      <c r="BB58" s="464"/>
      <c r="BC58" s="465"/>
      <c r="BD58" s="463"/>
      <c r="BE58" s="463"/>
      <c r="BF58" s="463"/>
      <c r="BG58" s="463"/>
      <c r="BH58" s="464"/>
      <c r="BI58" s="465"/>
      <c r="BJ58" s="463"/>
      <c r="BK58" s="463"/>
      <c r="BL58" s="463"/>
      <c r="BM58" s="463"/>
      <c r="BN58" s="464"/>
      <c r="BO58" s="465"/>
      <c r="BP58" s="463"/>
      <c r="BQ58" s="463"/>
      <c r="BR58" s="463"/>
      <c r="BS58" s="463"/>
      <c r="BT58" s="464"/>
      <c r="BU58" s="465"/>
      <c r="BV58" s="463"/>
      <c r="BW58" s="463"/>
      <c r="BX58" s="463"/>
      <c r="BY58" s="463"/>
      <c r="BZ58" s="464"/>
      <c r="CA58" s="465"/>
      <c r="CB58" s="463"/>
      <c r="CC58" s="463"/>
      <c r="CD58" s="463"/>
      <c r="CE58" s="463"/>
      <c r="CF58" s="464"/>
      <c r="CG58" s="465"/>
      <c r="CH58" s="463"/>
      <c r="CI58" s="463"/>
      <c r="CJ58" s="463"/>
      <c r="CK58" s="463"/>
      <c r="CL58" s="464"/>
      <c r="CM58" s="465"/>
      <c r="CN58" s="463"/>
      <c r="CO58" s="463"/>
      <c r="CP58" s="463"/>
      <c r="CQ58" s="463"/>
      <c r="CR58" s="464"/>
      <c r="CS58" s="465"/>
      <c r="CT58" s="463"/>
      <c r="CU58" s="463"/>
      <c r="CV58" s="463"/>
      <c r="CW58" s="463"/>
      <c r="CX58" s="464"/>
      <c r="CY58" s="465"/>
      <c r="CZ58" s="463"/>
      <c r="DA58" s="463"/>
      <c r="DB58" s="463"/>
      <c r="DC58" s="463"/>
      <c r="DD58" s="464"/>
      <c r="DE58" s="465"/>
      <c r="DF58" s="463"/>
      <c r="DG58" s="463"/>
      <c r="DH58" s="463"/>
      <c r="DI58" s="463"/>
      <c r="DJ58" s="464"/>
      <c r="DK58" s="465"/>
      <c r="DL58" s="463"/>
      <c r="DM58" s="463"/>
      <c r="DN58" s="463"/>
      <c r="DO58" s="463"/>
      <c r="DP58" s="464"/>
      <c r="DQ58" s="465"/>
      <c r="DR58" s="463"/>
      <c r="DS58" s="463"/>
      <c r="DT58" s="463"/>
      <c r="DU58" s="463"/>
      <c r="DV58" s="464"/>
      <c r="DW58" s="465"/>
      <c r="DX58" s="463"/>
      <c r="DY58" s="463"/>
      <c r="DZ58" s="463"/>
      <c r="EA58" s="463"/>
      <c r="EB58" s="464"/>
      <c r="EC58" s="465"/>
      <c r="ED58" s="463"/>
      <c r="EE58" s="463"/>
      <c r="EF58" s="463"/>
      <c r="EG58" s="463"/>
      <c r="EH58" s="464"/>
      <c r="EI58" s="465"/>
      <c r="EJ58" s="463"/>
      <c r="EK58" s="463"/>
      <c r="EL58" s="463"/>
      <c r="EM58" s="463"/>
      <c r="EN58" s="464"/>
      <c r="EO58" s="465"/>
      <c r="EP58" s="463"/>
      <c r="EQ58" s="463"/>
      <c r="ER58" s="463"/>
      <c r="ES58" s="463"/>
      <c r="ET58" s="464"/>
      <c r="EU58" s="465"/>
      <c r="EV58" s="463"/>
      <c r="EW58" s="463"/>
      <c r="EX58" s="463"/>
      <c r="EY58" s="463"/>
      <c r="EZ58" s="464"/>
      <c r="FA58" s="465"/>
      <c r="FB58" s="463"/>
      <c r="FC58" s="463"/>
      <c r="FD58" s="463"/>
      <c r="FE58" s="463"/>
      <c r="FF58" s="464"/>
      <c r="FG58" s="465"/>
      <c r="FH58" s="463"/>
      <c r="FI58" s="463"/>
      <c r="FJ58" s="463"/>
      <c r="FK58" s="463"/>
      <c r="FL58" s="464"/>
      <c r="FM58" s="465"/>
      <c r="FN58" s="463"/>
      <c r="FO58" s="463"/>
      <c r="FP58" s="463"/>
      <c r="FQ58" s="463"/>
      <c r="FR58" s="464"/>
      <c r="FS58" s="465"/>
      <c r="FT58" s="463"/>
      <c r="FU58" s="463"/>
      <c r="FV58" s="463"/>
      <c r="FW58" s="463"/>
      <c r="FX58" s="464"/>
      <c r="FY58" s="465"/>
      <c r="FZ58" s="463"/>
      <c r="GA58" s="463"/>
      <c r="GB58" s="463"/>
      <c r="GC58" s="463"/>
      <c r="GD58" s="464"/>
      <c r="GE58" s="465"/>
      <c r="GF58" s="463"/>
      <c r="GG58" s="463"/>
      <c r="GH58" s="463"/>
      <c r="GI58" s="463"/>
      <c r="GJ58" s="464"/>
      <c r="GK58" s="465"/>
      <c r="GL58" s="463"/>
      <c r="GM58" s="463"/>
      <c r="GN58" s="463"/>
      <c r="GO58" s="463"/>
      <c r="GP58" s="464"/>
      <c r="GQ58" s="465"/>
      <c r="GR58" s="463"/>
      <c r="GS58" s="463"/>
      <c r="GT58" s="463"/>
      <c r="GU58" s="463"/>
      <c r="GV58" s="464"/>
      <c r="GW58" s="465"/>
      <c r="GX58" s="463"/>
      <c r="GY58" s="463"/>
      <c r="GZ58" s="463"/>
      <c r="HA58" s="463"/>
      <c r="HB58" s="464"/>
      <c r="HC58" s="465"/>
      <c r="HD58" s="463"/>
      <c r="HE58" s="463"/>
      <c r="HF58" s="463"/>
      <c r="HG58" s="463"/>
      <c r="HH58" s="464"/>
      <c r="HI58" s="465"/>
      <c r="HJ58" s="463"/>
      <c r="HK58" s="463"/>
      <c r="HL58" s="463"/>
      <c r="HM58" s="463"/>
      <c r="HN58" s="464"/>
      <c r="HO58" s="465"/>
      <c r="HP58" s="463"/>
      <c r="HQ58" s="463"/>
      <c r="HR58" s="463"/>
      <c r="HS58" s="463"/>
      <c r="HT58" s="464"/>
      <c r="HU58" s="465"/>
      <c r="HV58" s="463"/>
      <c r="HW58" s="463"/>
      <c r="HX58" s="463"/>
      <c r="HY58" s="463"/>
      <c r="HZ58" s="464"/>
      <c r="IA58" s="465"/>
      <c r="IB58" s="463"/>
      <c r="IC58" s="463"/>
      <c r="ID58" s="463"/>
      <c r="IE58" s="463"/>
      <c r="IF58" s="464"/>
      <c r="IG58" s="465"/>
      <c r="IH58" s="463"/>
      <c r="II58" s="463"/>
      <c r="IJ58" s="463"/>
    </row>
    <row r="59" spans="2:244" ht="16.5" customHeight="1" x14ac:dyDescent="0.3">
      <c r="B59" s="1270"/>
      <c r="C59" s="1271"/>
      <c r="D59" s="690">
        <v>36</v>
      </c>
      <c r="E59" s="691" t="s">
        <v>352</v>
      </c>
      <c r="F59" s="692">
        <v>4.0540000000000003</v>
      </c>
      <c r="G59" s="690">
        <v>38</v>
      </c>
      <c r="H59" s="691" t="s">
        <v>352</v>
      </c>
      <c r="I59" s="692">
        <v>12.041</v>
      </c>
      <c r="J59" s="693">
        <f t="shared" si="0"/>
        <v>47.98</v>
      </c>
      <c r="K59" s="693">
        <v>0</v>
      </c>
      <c r="L59" s="707">
        <f t="shared" si="1"/>
        <v>0</v>
      </c>
      <c r="M59" s="693">
        <v>3</v>
      </c>
      <c r="N59" s="707">
        <f t="shared" si="2"/>
        <v>143.94</v>
      </c>
      <c r="O59" s="707">
        <f t="shared" si="3"/>
        <v>143.94</v>
      </c>
      <c r="P59" s="463"/>
      <c r="T59" s="463"/>
      <c r="U59" s="463"/>
      <c r="V59" s="463"/>
      <c r="W59" s="463"/>
      <c r="X59" s="464"/>
      <c r="Y59" s="465"/>
      <c r="Z59" s="463"/>
      <c r="AA59" s="463"/>
      <c r="AB59" s="463"/>
      <c r="AC59" s="463"/>
      <c r="AD59" s="464"/>
      <c r="AE59" s="465"/>
      <c r="AF59" s="463"/>
      <c r="AG59" s="463"/>
      <c r="AH59" s="463"/>
      <c r="AI59" s="463"/>
      <c r="AJ59" s="464"/>
      <c r="AK59" s="465"/>
      <c r="AL59" s="463"/>
      <c r="AM59" s="463"/>
      <c r="AN59" s="463"/>
      <c r="AO59" s="463"/>
      <c r="AP59" s="464"/>
      <c r="AQ59" s="465"/>
      <c r="AR59" s="463"/>
      <c r="AS59" s="463"/>
      <c r="AT59" s="463"/>
      <c r="AU59" s="463"/>
      <c r="AV59" s="464"/>
      <c r="AW59" s="465"/>
      <c r="AX59" s="463"/>
      <c r="AY59" s="463"/>
      <c r="AZ59" s="463"/>
      <c r="BA59" s="463"/>
      <c r="BB59" s="464"/>
      <c r="BC59" s="465"/>
      <c r="BD59" s="463"/>
      <c r="BE59" s="463"/>
      <c r="BF59" s="463"/>
      <c r="BG59" s="463"/>
      <c r="BH59" s="464"/>
      <c r="BI59" s="465"/>
      <c r="BJ59" s="463"/>
      <c r="BK59" s="463"/>
      <c r="BL59" s="463"/>
      <c r="BM59" s="463"/>
      <c r="BN59" s="464"/>
      <c r="BO59" s="465"/>
      <c r="BP59" s="463"/>
      <c r="BQ59" s="463"/>
      <c r="BR59" s="463"/>
      <c r="BS59" s="463"/>
      <c r="BT59" s="464"/>
      <c r="BU59" s="465"/>
      <c r="BV59" s="463"/>
      <c r="BW59" s="463"/>
      <c r="BX59" s="463"/>
      <c r="BY59" s="463"/>
      <c r="BZ59" s="464"/>
      <c r="CA59" s="465"/>
      <c r="CB59" s="463"/>
      <c r="CC59" s="463"/>
      <c r="CD59" s="463"/>
      <c r="CE59" s="463"/>
      <c r="CF59" s="464"/>
      <c r="CG59" s="465"/>
      <c r="CH59" s="463"/>
      <c r="CI59" s="463"/>
      <c r="CJ59" s="463"/>
      <c r="CK59" s="463"/>
      <c r="CL59" s="464"/>
      <c r="CM59" s="465"/>
      <c r="CN59" s="463"/>
      <c r="CO59" s="463"/>
      <c r="CP59" s="463"/>
      <c r="CQ59" s="463"/>
      <c r="CR59" s="464"/>
      <c r="CS59" s="465"/>
      <c r="CT59" s="463"/>
      <c r="CU59" s="463"/>
      <c r="CV59" s="463"/>
      <c r="CW59" s="463"/>
      <c r="CX59" s="464"/>
      <c r="CY59" s="465"/>
      <c r="CZ59" s="463"/>
      <c r="DA59" s="463"/>
      <c r="DB59" s="463"/>
      <c r="DC59" s="463"/>
      <c r="DD59" s="464"/>
      <c r="DE59" s="465"/>
      <c r="DF59" s="463"/>
      <c r="DG59" s="463"/>
      <c r="DH59" s="463"/>
      <c r="DI59" s="463"/>
      <c r="DJ59" s="464"/>
      <c r="DK59" s="465"/>
      <c r="DL59" s="463"/>
      <c r="DM59" s="463"/>
      <c r="DN59" s="463"/>
      <c r="DO59" s="463"/>
      <c r="DP59" s="464"/>
      <c r="DQ59" s="465"/>
      <c r="DR59" s="463"/>
      <c r="DS59" s="463"/>
      <c r="DT59" s="463"/>
      <c r="DU59" s="463"/>
      <c r="DV59" s="464"/>
      <c r="DW59" s="465"/>
      <c r="DX59" s="463"/>
      <c r="DY59" s="463"/>
      <c r="DZ59" s="463"/>
      <c r="EA59" s="463"/>
      <c r="EB59" s="464"/>
      <c r="EC59" s="465"/>
      <c r="ED59" s="463"/>
      <c r="EE59" s="463"/>
      <c r="EF59" s="463"/>
      <c r="EG59" s="463"/>
      <c r="EH59" s="464"/>
      <c r="EI59" s="465"/>
      <c r="EJ59" s="463"/>
      <c r="EK59" s="463"/>
      <c r="EL59" s="463"/>
      <c r="EM59" s="463"/>
      <c r="EN59" s="464"/>
      <c r="EO59" s="465"/>
      <c r="EP59" s="463"/>
      <c r="EQ59" s="463"/>
      <c r="ER59" s="463"/>
      <c r="ES59" s="463"/>
      <c r="ET59" s="464"/>
      <c r="EU59" s="465"/>
      <c r="EV59" s="463"/>
      <c r="EW59" s="463"/>
      <c r="EX59" s="463"/>
      <c r="EY59" s="463"/>
      <c r="EZ59" s="464"/>
      <c r="FA59" s="465"/>
      <c r="FB59" s="463"/>
      <c r="FC59" s="463"/>
      <c r="FD59" s="463"/>
      <c r="FE59" s="463"/>
      <c r="FF59" s="464"/>
      <c r="FG59" s="465"/>
      <c r="FH59" s="463"/>
      <c r="FI59" s="463"/>
      <c r="FJ59" s="463"/>
      <c r="FK59" s="463"/>
      <c r="FL59" s="464"/>
      <c r="FM59" s="465"/>
      <c r="FN59" s="463"/>
      <c r="FO59" s="463"/>
      <c r="FP59" s="463"/>
      <c r="FQ59" s="463"/>
      <c r="FR59" s="464"/>
      <c r="FS59" s="465"/>
      <c r="FT59" s="463"/>
      <c r="FU59" s="463"/>
      <c r="FV59" s="463"/>
      <c r="FW59" s="463"/>
      <c r="FX59" s="464"/>
      <c r="FY59" s="465"/>
      <c r="FZ59" s="463"/>
      <c r="GA59" s="463"/>
      <c r="GB59" s="463"/>
      <c r="GC59" s="463"/>
      <c r="GD59" s="464"/>
      <c r="GE59" s="465"/>
      <c r="GF59" s="463"/>
      <c r="GG59" s="463"/>
      <c r="GH59" s="463"/>
      <c r="GI59" s="463"/>
      <c r="GJ59" s="464"/>
      <c r="GK59" s="465"/>
      <c r="GL59" s="463"/>
      <c r="GM59" s="463"/>
      <c r="GN59" s="463"/>
      <c r="GO59" s="463"/>
      <c r="GP59" s="464"/>
      <c r="GQ59" s="465"/>
      <c r="GR59" s="463"/>
      <c r="GS59" s="463"/>
      <c r="GT59" s="463"/>
      <c r="GU59" s="463"/>
      <c r="GV59" s="464"/>
      <c r="GW59" s="465"/>
      <c r="GX59" s="463"/>
      <c r="GY59" s="463"/>
      <c r="GZ59" s="463"/>
      <c r="HA59" s="463"/>
      <c r="HB59" s="464"/>
      <c r="HC59" s="465"/>
      <c r="HD59" s="463"/>
      <c r="HE59" s="463"/>
      <c r="HF59" s="463"/>
      <c r="HG59" s="463"/>
      <c r="HH59" s="464"/>
      <c r="HI59" s="465"/>
      <c r="HJ59" s="463"/>
      <c r="HK59" s="463"/>
      <c r="HL59" s="463"/>
      <c r="HM59" s="463"/>
      <c r="HN59" s="464"/>
      <c r="HO59" s="465"/>
      <c r="HP59" s="463"/>
      <c r="HQ59" s="463"/>
      <c r="HR59" s="463"/>
      <c r="HS59" s="463"/>
      <c r="HT59" s="464"/>
      <c r="HU59" s="465"/>
      <c r="HV59" s="463"/>
      <c r="HW59" s="463"/>
      <c r="HX59" s="463"/>
      <c r="HY59" s="463"/>
      <c r="HZ59" s="464"/>
      <c r="IA59" s="465"/>
      <c r="IB59" s="463"/>
      <c r="IC59" s="463"/>
      <c r="ID59" s="463"/>
      <c r="IE59" s="463"/>
      <c r="IF59" s="464"/>
      <c r="IG59" s="465"/>
      <c r="IH59" s="463"/>
      <c r="II59" s="463"/>
      <c r="IJ59" s="463"/>
    </row>
    <row r="60" spans="2:244" ht="16.5" customHeight="1" x14ac:dyDescent="0.3">
      <c r="B60" s="1267"/>
      <c r="C60" s="1269"/>
      <c r="D60" s="690">
        <v>35</v>
      </c>
      <c r="E60" s="691" t="s">
        <v>352</v>
      </c>
      <c r="F60" s="692">
        <v>14.882</v>
      </c>
      <c r="G60" s="690">
        <v>38</v>
      </c>
      <c r="H60" s="691" t="s">
        <v>352</v>
      </c>
      <c r="I60" s="692">
        <v>0</v>
      </c>
      <c r="J60" s="693">
        <f t="shared" si="0"/>
        <v>45.11</v>
      </c>
      <c r="K60" s="693">
        <v>2</v>
      </c>
      <c r="L60" s="707">
        <f t="shared" si="1"/>
        <v>90.22</v>
      </c>
      <c r="M60" s="693">
        <v>0</v>
      </c>
      <c r="N60" s="707">
        <f t="shared" si="2"/>
        <v>0</v>
      </c>
      <c r="O60" s="707">
        <f t="shared" si="3"/>
        <v>90.22</v>
      </c>
      <c r="P60" s="463"/>
      <c r="T60" s="463"/>
      <c r="U60" s="463"/>
      <c r="V60" s="463"/>
      <c r="W60" s="463"/>
      <c r="X60" s="464"/>
      <c r="Y60" s="465"/>
      <c r="Z60" s="463"/>
      <c r="AA60" s="463"/>
      <c r="AB60" s="463"/>
      <c r="AC60" s="463"/>
      <c r="AD60" s="464"/>
      <c r="AE60" s="465"/>
      <c r="AF60" s="463"/>
      <c r="AG60" s="463"/>
      <c r="AH60" s="463"/>
      <c r="AI60" s="463"/>
      <c r="AJ60" s="464"/>
      <c r="AK60" s="465"/>
      <c r="AL60" s="463"/>
      <c r="AM60" s="463"/>
      <c r="AN60" s="463"/>
      <c r="AO60" s="463"/>
      <c r="AP60" s="464"/>
      <c r="AQ60" s="465"/>
      <c r="AR60" s="463"/>
      <c r="AS60" s="463"/>
      <c r="AT60" s="463"/>
      <c r="AU60" s="463"/>
      <c r="AV60" s="464"/>
      <c r="AW60" s="465"/>
      <c r="AX60" s="463"/>
      <c r="AY60" s="463"/>
      <c r="AZ60" s="463"/>
      <c r="BA60" s="463"/>
      <c r="BB60" s="464"/>
      <c r="BC60" s="465"/>
      <c r="BD60" s="463"/>
      <c r="BE60" s="463"/>
      <c r="BF60" s="463"/>
      <c r="BG60" s="463"/>
      <c r="BH60" s="464"/>
      <c r="BI60" s="465"/>
      <c r="BJ60" s="463"/>
      <c r="BK60" s="463"/>
      <c r="BL60" s="463"/>
      <c r="BM60" s="463"/>
      <c r="BN60" s="464"/>
      <c r="BO60" s="465"/>
      <c r="BP60" s="463"/>
      <c r="BQ60" s="463"/>
      <c r="BR60" s="463"/>
      <c r="BS60" s="463"/>
      <c r="BT60" s="464"/>
      <c r="BU60" s="465"/>
      <c r="BV60" s="463"/>
      <c r="BW60" s="463"/>
      <c r="BX60" s="463"/>
      <c r="BY60" s="463"/>
      <c r="BZ60" s="464"/>
      <c r="CA60" s="465"/>
      <c r="CB60" s="463"/>
      <c r="CC60" s="463"/>
      <c r="CD60" s="463"/>
      <c r="CE60" s="463"/>
      <c r="CF60" s="464"/>
      <c r="CG60" s="465"/>
      <c r="CH60" s="463"/>
      <c r="CI60" s="463"/>
      <c r="CJ60" s="463"/>
      <c r="CK60" s="463"/>
      <c r="CL60" s="464"/>
      <c r="CM60" s="465"/>
      <c r="CN60" s="463"/>
      <c r="CO60" s="463"/>
      <c r="CP60" s="463"/>
      <c r="CQ60" s="463"/>
      <c r="CR60" s="464"/>
      <c r="CS60" s="465"/>
      <c r="CT60" s="463"/>
      <c r="CU60" s="463"/>
      <c r="CV60" s="463"/>
      <c r="CW60" s="463"/>
      <c r="CX60" s="464"/>
      <c r="CY60" s="465"/>
      <c r="CZ60" s="463"/>
      <c r="DA60" s="463"/>
      <c r="DB60" s="463"/>
      <c r="DC60" s="463"/>
      <c r="DD60" s="464"/>
      <c r="DE60" s="465"/>
      <c r="DF60" s="463"/>
      <c r="DG60" s="463"/>
      <c r="DH60" s="463"/>
      <c r="DI60" s="463"/>
      <c r="DJ60" s="464"/>
      <c r="DK60" s="465"/>
      <c r="DL60" s="463"/>
      <c r="DM60" s="463"/>
      <c r="DN60" s="463"/>
      <c r="DO60" s="463"/>
      <c r="DP60" s="464"/>
      <c r="DQ60" s="465"/>
      <c r="DR60" s="463"/>
      <c r="DS60" s="463"/>
      <c r="DT60" s="463"/>
      <c r="DU60" s="463"/>
      <c r="DV60" s="464"/>
      <c r="DW60" s="465"/>
      <c r="DX60" s="463"/>
      <c r="DY60" s="463"/>
      <c r="DZ60" s="463"/>
      <c r="EA60" s="463"/>
      <c r="EB60" s="464"/>
      <c r="EC60" s="465"/>
      <c r="ED60" s="463"/>
      <c r="EE60" s="463"/>
      <c r="EF60" s="463"/>
      <c r="EG60" s="463"/>
      <c r="EH60" s="464"/>
      <c r="EI60" s="465"/>
      <c r="EJ60" s="463"/>
      <c r="EK60" s="463"/>
      <c r="EL60" s="463"/>
      <c r="EM60" s="463"/>
      <c r="EN60" s="464"/>
      <c r="EO60" s="465"/>
      <c r="EP60" s="463"/>
      <c r="EQ60" s="463"/>
      <c r="ER60" s="463"/>
      <c r="ES60" s="463"/>
      <c r="ET60" s="464"/>
      <c r="EU60" s="465"/>
      <c r="EV60" s="463"/>
      <c r="EW60" s="463"/>
      <c r="EX60" s="463"/>
      <c r="EY60" s="463"/>
      <c r="EZ60" s="464"/>
      <c r="FA60" s="465"/>
      <c r="FB60" s="463"/>
      <c r="FC60" s="463"/>
      <c r="FD60" s="463"/>
      <c r="FE60" s="463"/>
      <c r="FF60" s="464"/>
      <c r="FG60" s="465"/>
      <c r="FH60" s="463"/>
      <c r="FI60" s="463"/>
      <c r="FJ60" s="463"/>
      <c r="FK60" s="463"/>
      <c r="FL60" s="464"/>
      <c r="FM60" s="465"/>
      <c r="FN60" s="463"/>
      <c r="FO60" s="463"/>
      <c r="FP60" s="463"/>
      <c r="FQ60" s="463"/>
      <c r="FR60" s="464"/>
      <c r="FS60" s="465"/>
      <c r="FT60" s="463"/>
      <c r="FU60" s="463"/>
      <c r="FV60" s="463"/>
      <c r="FW60" s="463"/>
      <c r="FX60" s="464"/>
      <c r="FY60" s="465"/>
      <c r="FZ60" s="463"/>
      <c r="GA60" s="463"/>
      <c r="GB60" s="463"/>
      <c r="GC60" s="463"/>
      <c r="GD60" s="464"/>
      <c r="GE60" s="465"/>
      <c r="GF60" s="463"/>
      <c r="GG60" s="463"/>
      <c r="GH60" s="463"/>
      <c r="GI60" s="463"/>
      <c r="GJ60" s="464"/>
      <c r="GK60" s="465"/>
      <c r="GL60" s="463"/>
      <c r="GM60" s="463"/>
      <c r="GN60" s="463"/>
      <c r="GO60" s="463"/>
      <c r="GP60" s="464"/>
      <c r="GQ60" s="465"/>
      <c r="GR60" s="463"/>
      <c r="GS60" s="463"/>
      <c r="GT60" s="463"/>
      <c r="GU60" s="463"/>
      <c r="GV60" s="464"/>
      <c r="GW60" s="465"/>
      <c r="GX60" s="463"/>
      <c r="GY60" s="463"/>
      <c r="GZ60" s="463"/>
      <c r="HA60" s="463"/>
      <c r="HB60" s="464"/>
      <c r="HC60" s="465"/>
      <c r="HD60" s="463"/>
      <c r="HE60" s="463"/>
      <c r="HF60" s="463"/>
      <c r="HG60" s="463"/>
      <c r="HH60" s="464"/>
      <c r="HI60" s="465"/>
      <c r="HJ60" s="463"/>
      <c r="HK60" s="463"/>
      <c r="HL60" s="463"/>
      <c r="HM60" s="463"/>
      <c r="HN60" s="464"/>
      <c r="HO60" s="465"/>
      <c r="HP60" s="463"/>
      <c r="HQ60" s="463"/>
      <c r="HR60" s="463"/>
      <c r="HS60" s="463"/>
      <c r="HT60" s="464"/>
      <c r="HU60" s="465"/>
      <c r="HV60" s="463"/>
      <c r="HW60" s="463"/>
      <c r="HX60" s="463"/>
      <c r="HY60" s="463"/>
      <c r="HZ60" s="464"/>
      <c r="IA60" s="465"/>
      <c r="IB60" s="463"/>
      <c r="IC60" s="463"/>
      <c r="ID60" s="463"/>
      <c r="IE60" s="463"/>
      <c r="IF60" s="464"/>
      <c r="IG60" s="465"/>
      <c r="IH60" s="463"/>
      <c r="II60" s="463"/>
      <c r="IJ60" s="463"/>
    </row>
    <row r="61" spans="2:244" ht="24.75" customHeight="1" x14ac:dyDescent="0.3">
      <c r="B61" s="1227" t="s">
        <v>473</v>
      </c>
      <c r="C61" s="1228"/>
      <c r="D61" s="1228"/>
      <c r="E61" s="1228"/>
      <c r="F61" s="1228"/>
      <c r="G61" s="1228"/>
      <c r="H61" s="1228"/>
      <c r="I61" s="1259"/>
      <c r="J61" s="695">
        <f>TRUNC(SUM(J5:J60),2)</f>
        <v>2255.4299999999998</v>
      </c>
      <c r="K61" s="695"/>
      <c r="L61" s="695">
        <f>TRUNC(SUM(L5:L60),2)</f>
        <v>3094.12</v>
      </c>
      <c r="M61" s="695"/>
      <c r="N61" s="695">
        <f>TRUNC(SUM(N5:N60),2)</f>
        <v>3126.02</v>
      </c>
      <c r="O61" s="695">
        <f>TRUNC(SUM(O5:O60),2)</f>
        <v>6220.14</v>
      </c>
    </row>
    <row r="62" spans="2:244" x14ac:dyDescent="0.3">
      <c r="L62"/>
      <c r="M62"/>
      <c r="N62"/>
    </row>
    <row r="64" spans="2:244" x14ac:dyDescent="0.3">
      <c r="O64" s="645"/>
    </row>
    <row r="69" spans="15:15" x14ac:dyDescent="0.3">
      <c r="O69" s="645">
        <f>SUM(O5:O45)</f>
        <v>4995.7300000000005</v>
      </c>
    </row>
  </sheetData>
  <mergeCells count="40">
    <mergeCell ref="B15:B16"/>
    <mergeCell ref="C15:C16"/>
    <mergeCell ref="B2:O2"/>
    <mergeCell ref="B3:B4"/>
    <mergeCell ref="C3:C4"/>
    <mergeCell ref="D3:I3"/>
    <mergeCell ref="K3:L3"/>
    <mergeCell ref="M3:N3"/>
    <mergeCell ref="D4:F4"/>
    <mergeCell ref="G4:I4"/>
    <mergeCell ref="B5:B6"/>
    <mergeCell ref="C5:C6"/>
    <mergeCell ref="P5:P6"/>
    <mergeCell ref="B13:B14"/>
    <mergeCell ref="C13:C14"/>
    <mergeCell ref="B17:B20"/>
    <mergeCell ref="C17:C20"/>
    <mergeCell ref="B22:B24"/>
    <mergeCell ref="C22:C24"/>
    <mergeCell ref="B25:B27"/>
    <mergeCell ref="C25:C27"/>
    <mergeCell ref="B28:B29"/>
    <mergeCell ref="C28:C29"/>
    <mergeCell ref="B31:B33"/>
    <mergeCell ref="C31:C33"/>
    <mergeCell ref="B34:B35"/>
    <mergeCell ref="C34:C35"/>
    <mergeCell ref="B37:B38"/>
    <mergeCell ref="C37:C38"/>
    <mergeCell ref="B39:B40"/>
    <mergeCell ref="C39:C40"/>
    <mergeCell ref="B42:B43"/>
    <mergeCell ref="C42:C43"/>
    <mergeCell ref="B61:I61"/>
    <mergeCell ref="B45:B46"/>
    <mergeCell ref="C45:C46"/>
    <mergeCell ref="B47:B51"/>
    <mergeCell ref="C47:C51"/>
    <mergeCell ref="B53:B60"/>
    <mergeCell ref="C53:C60"/>
  </mergeCells>
  <printOptions horizontalCentered="1"/>
  <pageMargins left="0.59055118110236227" right="0.59055118110236227" top="1.7716535433070868" bottom="0.78740157480314965" header="0" footer="0"/>
  <pageSetup paperSize="9" scale="42" fitToHeight="100" orientation="landscape" r:id="rId1"/>
  <headerFooter scaleWithDoc="0">
    <oddHeader>&amp;L&amp;G</oddHead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tabColor rgb="FF00B0F0"/>
  </sheetPr>
  <dimension ref="A1:HW54"/>
  <sheetViews>
    <sheetView showGridLines="0" view="pageBreakPreview" zoomScale="70" zoomScaleNormal="85" zoomScaleSheetLayoutView="70" workbookViewId="0">
      <selection activeCell="K22" sqref="K22:L22"/>
    </sheetView>
  </sheetViews>
  <sheetFormatPr defaultColWidth="9.109375" defaultRowHeight="13.8" x14ac:dyDescent="0.25"/>
  <cols>
    <col min="1" max="1" width="6.109375" style="411" customWidth="1"/>
    <col min="2" max="2" width="37.5546875" style="411" bestFit="1" customWidth="1"/>
    <col min="3" max="3" width="12.6640625" style="411" bestFit="1" customWidth="1"/>
    <col min="4" max="4" width="13.6640625" style="411" customWidth="1"/>
    <col min="5" max="6" width="12.6640625" style="411" customWidth="1"/>
    <col min="7" max="7" width="12" style="411" customWidth="1"/>
    <col min="8" max="8" width="17.109375" style="411" customWidth="1"/>
    <col min="9" max="9" width="14.33203125" style="411" customWidth="1"/>
    <col min="10" max="10" width="17" style="411" customWidth="1"/>
    <col min="11" max="11" width="19.6640625" style="411" customWidth="1"/>
    <col min="12" max="12" width="15.44140625" style="411" customWidth="1"/>
    <col min="13" max="13" width="11.6640625" style="411" customWidth="1"/>
    <col min="14" max="14" width="12.6640625" style="411" customWidth="1"/>
    <col min="15" max="15" width="14.33203125" style="411" customWidth="1"/>
    <col min="16" max="16" width="12.6640625" style="411" customWidth="1"/>
    <col min="17" max="17" width="14.109375" style="411" customWidth="1"/>
    <col min="18" max="16384" width="9.109375" style="411"/>
  </cols>
  <sheetData>
    <row r="1" spans="1:17" ht="24" customHeight="1" x14ac:dyDescent="0.25">
      <c r="A1" s="1260" t="s">
        <v>480</v>
      </c>
      <c r="B1" s="1261"/>
      <c r="C1" s="1261"/>
      <c r="D1" s="1261"/>
      <c r="E1" s="1261"/>
      <c r="F1" s="1261"/>
      <c r="G1" s="1261"/>
      <c r="H1" s="1261"/>
      <c r="I1" s="1261"/>
      <c r="J1" s="1261"/>
      <c r="K1" s="1261"/>
      <c r="L1" s="1261"/>
      <c r="M1" s="1261"/>
      <c r="N1" s="1261"/>
      <c r="O1" s="1261"/>
      <c r="P1" s="1261"/>
      <c r="Q1" s="1262"/>
    </row>
    <row r="2" spans="1:17" ht="21.75" customHeight="1" x14ac:dyDescent="0.25">
      <c r="A2" s="1290" t="s">
        <v>243</v>
      </c>
      <c r="B2" s="1273" t="s">
        <v>337</v>
      </c>
      <c r="C2" s="1293" t="s">
        <v>340</v>
      </c>
      <c r="D2" s="1293" t="s">
        <v>341</v>
      </c>
      <c r="E2" s="1295" t="s">
        <v>481</v>
      </c>
      <c r="F2" s="1295"/>
      <c r="G2" s="1295" t="s">
        <v>482</v>
      </c>
      <c r="H2" s="1295"/>
      <c r="I2" s="1295"/>
      <c r="J2" s="1282" t="s">
        <v>483</v>
      </c>
      <c r="K2" s="1282" t="s">
        <v>484</v>
      </c>
      <c r="L2" s="1282" t="s">
        <v>485</v>
      </c>
      <c r="M2" s="1279" t="s">
        <v>486</v>
      </c>
      <c r="N2" s="1280"/>
      <c r="O2" s="1280"/>
      <c r="P2" s="1280"/>
      <c r="Q2" s="1281"/>
    </row>
    <row r="3" spans="1:17" ht="27.6" x14ac:dyDescent="0.25">
      <c r="A3" s="1290"/>
      <c r="B3" s="1273"/>
      <c r="C3" s="1294"/>
      <c r="D3" s="1294"/>
      <c r="E3" s="674" t="s">
        <v>487</v>
      </c>
      <c r="F3" s="674" t="s">
        <v>488</v>
      </c>
      <c r="G3" s="674" t="s">
        <v>342</v>
      </c>
      <c r="H3" s="709" t="s">
        <v>489</v>
      </c>
      <c r="I3" s="674" t="s">
        <v>490</v>
      </c>
      <c r="J3" s="1296"/>
      <c r="K3" s="1296"/>
      <c r="L3" s="1296"/>
      <c r="M3" s="1282" t="s">
        <v>491</v>
      </c>
      <c r="N3" s="674" t="s">
        <v>492</v>
      </c>
      <c r="O3" s="674" t="s">
        <v>493</v>
      </c>
      <c r="P3" s="674" t="s">
        <v>494</v>
      </c>
      <c r="Q3" s="674" t="s">
        <v>493</v>
      </c>
    </row>
    <row r="4" spans="1:17" x14ac:dyDescent="0.25">
      <c r="A4" s="1291"/>
      <c r="B4" s="1292"/>
      <c r="C4" s="676" t="s">
        <v>347</v>
      </c>
      <c r="D4" s="676" t="s">
        <v>347</v>
      </c>
      <c r="E4" s="676" t="s">
        <v>495</v>
      </c>
      <c r="F4" s="676" t="s">
        <v>495</v>
      </c>
      <c r="G4" s="676" t="s">
        <v>348</v>
      </c>
      <c r="H4" s="710" t="s">
        <v>347</v>
      </c>
      <c r="I4" s="676" t="s">
        <v>495</v>
      </c>
      <c r="J4" s="676" t="s">
        <v>495</v>
      </c>
      <c r="K4" s="676" t="s">
        <v>495</v>
      </c>
      <c r="L4" s="676" t="s">
        <v>495</v>
      </c>
      <c r="M4" s="1283"/>
      <c r="N4" s="676" t="s">
        <v>496</v>
      </c>
      <c r="O4" s="676" t="s">
        <v>497</v>
      </c>
      <c r="P4" s="676" t="s">
        <v>496</v>
      </c>
      <c r="Q4" s="676" t="s">
        <v>497</v>
      </c>
    </row>
    <row r="5" spans="1:17" ht="15.9" customHeight="1" x14ac:dyDescent="0.2">
      <c r="A5" s="711">
        <f>RUAS!A4</f>
        <v>1</v>
      </c>
      <c r="B5" s="712" t="str">
        <f>RUAS!B4</f>
        <v>RUA LAGES</v>
      </c>
      <c r="C5" s="713">
        <f>RUAS!K4</f>
        <v>206.8</v>
      </c>
      <c r="D5" s="713">
        <f>RUAS!L4+0.9</f>
        <v>9.3000000000000007</v>
      </c>
      <c r="E5" s="714">
        <v>647.08000000000004</v>
      </c>
      <c r="F5" s="715">
        <v>0</v>
      </c>
      <c r="G5" s="715">
        <f>RUAS!N4</f>
        <v>0</v>
      </c>
      <c r="H5" s="711">
        <f>'SUBLEITO-BASE-SUB.'!I5+'SUBLEITO-BASE-SUB.'!K5+0.025</f>
        <v>0.42500000000000004</v>
      </c>
      <c r="I5" s="715">
        <f t="shared" ref="I5:I45" si="0">TRUNC(G5*H5,2)</f>
        <v>0</v>
      </c>
      <c r="J5" s="715">
        <f>E5+I5</f>
        <v>647.08000000000004</v>
      </c>
      <c r="K5" s="716">
        <f t="shared" ref="K5:K45" si="1">F5</f>
        <v>0</v>
      </c>
      <c r="L5" s="715">
        <f>TRUNC(J5-K5,2)</f>
        <v>647.08000000000004</v>
      </c>
      <c r="M5" s="715">
        <v>1.25</v>
      </c>
      <c r="N5" s="717">
        <f>ÍNDICE!$E$15</f>
        <v>2.73</v>
      </c>
      <c r="O5" s="717">
        <f>TRUNC(L5*M5*N5,2)</f>
        <v>2208.16</v>
      </c>
      <c r="P5" s="717">
        <f>ÍNDICE!F15</f>
        <v>6.72</v>
      </c>
      <c r="Q5" s="715">
        <f t="shared" ref="Q5:Q45" si="2">TRUNC(M5*L5*P5,3)</f>
        <v>5435.4719999999998</v>
      </c>
    </row>
    <row r="6" spans="1:17" ht="15.9" customHeight="1" x14ac:dyDescent="0.2">
      <c r="A6" s="711">
        <f>RUAS!A5</f>
        <v>2</v>
      </c>
      <c r="B6" s="712" t="str">
        <f>RUAS!B5</f>
        <v>RUA RESERVA - T1</v>
      </c>
      <c r="C6" s="713">
        <f>RUAS!K5</f>
        <v>60</v>
      </c>
      <c r="D6" s="713">
        <f>RUAS!L5+0.9</f>
        <v>7.3000000000000007</v>
      </c>
      <c r="E6" s="714">
        <v>210.96</v>
      </c>
      <c r="F6" s="715">
        <v>0</v>
      </c>
      <c r="G6" s="715">
        <f>RUAS!N5</f>
        <v>10.74</v>
      </c>
      <c r="H6" s="711">
        <f>'SUBLEITO-BASE-SUB.'!I6+'SUBLEITO-BASE-SUB.'!K6+0.025</f>
        <v>0.42500000000000004</v>
      </c>
      <c r="I6" s="715">
        <f t="shared" si="0"/>
        <v>4.5599999999999996</v>
      </c>
      <c r="J6" s="715">
        <f t="shared" ref="J6:J45" si="3">E6+I6</f>
        <v>215.52</v>
      </c>
      <c r="K6" s="716">
        <f t="shared" si="1"/>
        <v>0</v>
      </c>
      <c r="L6" s="715">
        <f t="shared" ref="L6:L45" si="4">TRUNC(J6-K6,2)</f>
        <v>215.52</v>
      </c>
      <c r="M6" s="715">
        <f>M5</f>
        <v>1.25</v>
      </c>
      <c r="N6" s="717">
        <f>ÍNDICE!$E$15</f>
        <v>2.73</v>
      </c>
      <c r="O6" s="717">
        <f t="shared" ref="O6:O45" si="5">TRUNC(L6*M6*N6,2)</f>
        <v>735.46</v>
      </c>
      <c r="P6" s="717">
        <f>P5</f>
        <v>6.72</v>
      </c>
      <c r="Q6" s="715">
        <f t="shared" si="2"/>
        <v>1810.3679999999999</v>
      </c>
    </row>
    <row r="7" spans="1:17" ht="15.9" customHeight="1" x14ac:dyDescent="0.2">
      <c r="A7" s="711">
        <f>RUAS!A6</f>
        <v>3</v>
      </c>
      <c r="B7" s="712" t="str">
        <f>RUAS!B6</f>
        <v>RUA RESERVA - T2</v>
      </c>
      <c r="C7" s="713">
        <f>RUAS!K6</f>
        <v>107.96</v>
      </c>
      <c r="D7" s="713">
        <f>RUAS!L6+0.9</f>
        <v>7.3000000000000007</v>
      </c>
      <c r="E7" s="714">
        <v>390.06</v>
      </c>
      <c r="F7" s="715">
        <v>0</v>
      </c>
      <c r="G7" s="715">
        <f>RUAS!N6</f>
        <v>19.95</v>
      </c>
      <c r="H7" s="711">
        <f>'SUBLEITO-BASE-SUB.'!I7+'SUBLEITO-BASE-SUB.'!K7+0.025</f>
        <v>0.42500000000000004</v>
      </c>
      <c r="I7" s="715">
        <f t="shared" si="0"/>
        <v>8.4700000000000006</v>
      </c>
      <c r="J7" s="715">
        <f t="shared" si="3"/>
        <v>398.53000000000003</v>
      </c>
      <c r="K7" s="716">
        <f t="shared" si="1"/>
        <v>0</v>
      </c>
      <c r="L7" s="715">
        <f t="shared" si="4"/>
        <v>398.53</v>
      </c>
      <c r="M7" s="715">
        <f t="shared" ref="M7:M45" si="6">M6</f>
        <v>1.25</v>
      </c>
      <c r="N7" s="717">
        <f>ÍNDICE!$E$15</f>
        <v>2.73</v>
      </c>
      <c r="O7" s="717">
        <f t="shared" si="5"/>
        <v>1359.98</v>
      </c>
      <c r="P7" s="717">
        <f t="shared" ref="P7:P45" si="7">P6</f>
        <v>6.72</v>
      </c>
      <c r="Q7" s="715">
        <f t="shared" si="2"/>
        <v>3347.652</v>
      </c>
    </row>
    <row r="8" spans="1:17" ht="15.9" customHeight="1" x14ac:dyDescent="0.2">
      <c r="A8" s="711">
        <f>RUAS!A7</f>
        <v>4</v>
      </c>
      <c r="B8" s="712" t="str">
        <f>RUAS!B7</f>
        <v>RUA ANDIRÁ - T1</v>
      </c>
      <c r="C8" s="713">
        <f>RUAS!K7</f>
        <v>62.75</v>
      </c>
      <c r="D8" s="713">
        <f>RUAS!L7+0.9</f>
        <v>9.3000000000000007</v>
      </c>
      <c r="E8" s="714">
        <v>251.08</v>
      </c>
      <c r="F8" s="715">
        <v>0</v>
      </c>
      <c r="G8" s="715">
        <f>RUAS!N7</f>
        <v>10.870000000000001</v>
      </c>
      <c r="H8" s="711">
        <f>'SUBLEITO-BASE-SUB.'!I8+'SUBLEITO-BASE-SUB.'!K8+0.025</f>
        <v>0.42500000000000004</v>
      </c>
      <c r="I8" s="715">
        <f t="shared" si="0"/>
        <v>4.6100000000000003</v>
      </c>
      <c r="J8" s="715">
        <f t="shared" si="3"/>
        <v>255.69000000000003</v>
      </c>
      <c r="K8" s="716">
        <f t="shared" si="1"/>
        <v>0</v>
      </c>
      <c r="L8" s="715">
        <f t="shared" si="4"/>
        <v>255.69</v>
      </c>
      <c r="M8" s="715">
        <f t="shared" si="6"/>
        <v>1.25</v>
      </c>
      <c r="N8" s="717">
        <f>ÍNDICE!$E$15</f>
        <v>2.73</v>
      </c>
      <c r="O8" s="717">
        <f t="shared" si="5"/>
        <v>872.54</v>
      </c>
      <c r="P8" s="717">
        <f t="shared" si="7"/>
        <v>6.72</v>
      </c>
      <c r="Q8" s="715">
        <f t="shared" si="2"/>
        <v>2147.7959999999998</v>
      </c>
    </row>
    <row r="9" spans="1:17" ht="15.9" customHeight="1" x14ac:dyDescent="0.2">
      <c r="A9" s="711">
        <f>RUAS!A8</f>
        <v>5</v>
      </c>
      <c r="B9" s="712" t="str">
        <f>RUAS!B8</f>
        <v>RUA ANDIRÁ - T2</v>
      </c>
      <c r="C9" s="713">
        <f>RUAS!K8</f>
        <v>105.78</v>
      </c>
      <c r="D9" s="713">
        <f>RUAS!L8+0.9</f>
        <v>9.3000000000000007</v>
      </c>
      <c r="E9" s="714">
        <v>354.16</v>
      </c>
      <c r="F9" s="715">
        <v>0</v>
      </c>
      <c r="G9" s="715">
        <f>RUAS!N8</f>
        <v>21.34</v>
      </c>
      <c r="H9" s="711">
        <f>'SUBLEITO-BASE-SUB.'!I9+'SUBLEITO-BASE-SUB.'!K9+0.025</f>
        <v>0.42500000000000004</v>
      </c>
      <c r="I9" s="715">
        <f t="shared" si="0"/>
        <v>9.06</v>
      </c>
      <c r="J9" s="715">
        <f t="shared" si="3"/>
        <v>363.22</v>
      </c>
      <c r="K9" s="716">
        <f t="shared" si="1"/>
        <v>0</v>
      </c>
      <c r="L9" s="715">
        <f t="shared" si="4"/>
        <v>363.22</v>
      </c>
      <c r="M9" s="715">
        <f t="shared" si="6"/>
        <v>1.25</v>
      </c>
      <c r="N9" s="717">
        <f>ÍNDICE!$E$15</f>
        <v>2.73</v>
      </c>
      <c r="O9" s="717">
        <f t="shared" si="5"/>
        <v>1239.48</v>
      </c>
      <c r="P9" s="717">
        <f t="shared" si="7"/>
        <v>6.72</v>
      </c>
      <c r="Q9" s="715">
        <f t="shared" si="2"/>
        <v>3051.0479999999998</v>
      </c>
    </row>
    <row r="10" spans="1:17" ht="15.9" customHeight="1" x14ac:dyDescent="0.2">
      <c r="A10" s="711">
        <f>RUAS!A9</f>
        <v>6</v>
      </c>
      <c r="B10" s="712" t="str">
        <f>RUAS!B9</f>
        <v>AVENIDA SETE DE SETEMBRO - LE</v>
      </c>
      <c r="C10" s="713">
        <f>RUAS!K9</f>
        <v>172.34</v>
      </c>
      <c r="D10" s="713">
        <f>RUAS!L9+0.9</f>
        <v>10.3</v>
      </c>
      <c r="E10" s="714">
        <v>697.26</v>
      </c>
      <c r="F10" s="715">
        <v>0</v>
      </c>
      <c r="G10" s="715">
        <f>RUAS!N9</f>
        <v>10.74</v>
      </c>
      <c r="H10" s="711">
        <f>'SUBLEITO-BASE-SUB.'!I10+'SUBLEITO-BASE-SUB.'!K10+0.025</f>
        <v>0.42500000000000004</v>
      </c>
      <c r="I10" s="715">
        <f t="shared" si="0"/>
        <v>4.5599999999999996</v>
      </c>
      <c r="J10" s="715">
        <f t="shared" si="3"/>
        <v>701.81999999999994</v>
      </c>
      <c r="K10" s="716">
        <f t="shared" si="1"/>
        <v>0</v>
      </c>
      <c r="L10" s="715">
        <f t="shared" si="4"/>
        <v>701.82</v>
      </c>
      <c r="M10" s="715">
        <f t="shared" si="6"/>
        <v>1.25</v>
      </c>
      <c r="N10" s="717">
        <f>ÍNDICE!$E$15</f>
        <v>2.73</v>
      </c>
      <c r="O10" s="717">
        <f t="shared" si="5"/>
        <v>2394.96</v>
      </c>
      <c r="P10" s="717">
        <f t="shared" si="7"/>
        <v>6.72</v>
      </c>
      <c r="Q10" s="715">
        <f t="shared" si="2"/>
        <v>5895.2879999999996</v>
      </c>
    </row>
    <row r="11" spans="1:17" ht="15.9" customHeight="1" x14ac:dyDescent="0.2">
      <c r="A11" s="711">
        <f>RUAS!A10</f>
        <v>7</v>
      </c>
      <c r="B11" s="712" t="str">
        <f>RUAS!B10</f>
        <v>AVENIDA SETE DE SETEMBRO - LD</v>
      </c>
      <c r="C11" s="713">
        <f>RUAS!K10</f>
        <v>174.87</v>
      </c>
      <c r="D11" s="713">
        <f>RUAS!L10+0.9</f>
        <v>10.3</v>
      </c>
      <c r="E11" s="714">
        <v>626.52</v>
      </c>
      <c r="F11" s="715">
        <v>0</v>
      </c>
      <c r="G11" s="715">
        <f>RUAS!N10</f>
        <v>10.73</v>
      </c>
      <c r="H11" s="711">
        <f>'SUBLEITO-BASE-SUB.'!I11+'SUBLEITO-BASE-SUB.'!K11+0.025</f>
        <v>0.42500000000000004</v>
      </c>
      <c r="I11" s="715">
        <f t="shared" si="0"/>
        <v>4.5599999999999996</v>
      </c>
      <c r="J11" s="715">
        <f t="shared" si="3"/>
        <v>631.07999999999993</v>
      </c>
      <c r="K11" s="716">
        <f t="shared" si="1"/>
        <v>0</v>
      </c>
      <c r="L11" s="715">
        <f t="shared" si="4"/>
        <v>631.08000000000004</v>
      </c>
      <c r="M11" s="715">
        <f t="shared" si="6"/>
        <v>1.25</v>
      </c>
      <c r="N11" s="717">
        <f>ÍNDICE!$E$15</f>
        <v>2.73</v>
      </c>
      <c r="O11" s="717">
        <f t="shared" si="5"/>
        <v>2153.56</v>
      </c>
      <c r="P11" s="717">
        <f t="shared" si="7"/>
        <v>6.72</v>
      </c>
      <c r="Q11" s="715">
        <f t="shared" si="2"/>
        <v>5301.0720000000001</v>
      </c>
    </row>
    <row r="12" spans="1:17" ht="15.9" customHeight="1" x14ac:dyDescent="0.2">
      <c r="A12" s="711">
        <f>RUAS!A11</f>
        <v>8</v>
      </c>
      <c r="B12" s="712" t="str">
        <f>RUAS!B11</f>
        <v>RUA INDEPENDÊNCIA - T1</v>
      </c>
      <c r="C12" s="713">
        <f>RUAS!K11</f>
        <v>64.849999999999994</v>
      </c>
      <c r="D12" s="713">
        <f>RUAS!L11+0.9</f>
        <v>9.3000000000000007</v>
      </c>
      <c r="E12" s="714">
        <v>274.91000000000003</v>
      </c>
      <c r="F12" s="715">
        <v>0</v>
      </c>
      <c r="G12" s="715">
        <f>RUAS!N11</f>
        <v>10.73</v>
      </c>
      <c r="H12" s="711">
        <f>'SUBLEITO-BASE-SUB.'!I12+'SUBLEITO-BASE-SUB.'!K12+0.025</f>
        <v>0.42500000000000004</v>
      </c>
      <c r="I12" s="715">
        <f t="shared" si="0"/>
        <v>4.5599999999999996</v>
      </c>
      <c r="J12" s="715">
        <f t="shared" si="3"/>
        <v>279.47000000000003</v>
      </c>
      <c r="K12" s="716">
        <f t="shared" si="1"/>
        <v>0</v>
      </c>
      <c r="L12" s="715">
        <f t="shared" si="4"/>
        <v>279.47000000000003</v>
      </c>
      <c r="M12" s="715">
        <f t="shared" si="6"/>
        <v>1.25</v>
      </c>
      <c r="N12" s="717">
        <f>ÍNDICE!$E$15</f>
        <v>2.73</v>
      </c>
      <c r="O12" s="717">
        <f t="shared" si="5"/>
        <v>953.69</v>
      </c>
      <c r="P12" s="717">
        <f t="shared" si="7"/>
        <v>6.72</v>
      </c>
      <c r="Q12" s="715">
        <f t="shared" si="2"/>
        <v>2347.5479999999998</v>
      </c>
    </row>
    <row r="13" spans="1:17" ht="15.9" customHeight="1" x14ac:dyDescent="0.2">
      <c r="A13" s="711">
        <f>RUAS!A12</f>
        <v>9</v>
      </c>
      <c r="B13" s="712" t="str">
        <f>RUAS!B12</f>
        <v>RUA INDEPENDÊNCIA - T2</v>
      </c>
      <c r="C13" s="713">
        <f>RUAS!K12</f>
        <v>106</v>
      </c>
      <c r="D13" s="713">
        <f>RUAS!L12+0.9</f>
        <v>9.3000000000000007</v>
      </c>
      <c r="E13" s="714">
        <v>446.16</v>
      </c>
      <c r="F13" s="715">
        <v>0</v>
      </c>
      <c r="G13" s="715">
        <f>RUAS!N12</f>
        <v>21.47</v>
      </c>
      <c r="H13" s="711">
        <f>'SUBLEITO-BASE-SUB.'!I13+'SUBLEITO-BASE-SUB.'!K13+0.025</f>
        <v>0.42500000000000004</v>
      </c>
      <c r="I13" s="715">
        <f t="shared" si="0"/>
        <v>9.1199999999999992</v>
      </c>
      <c r="J13" s="715">
        <f t="shared" si="3"/>
        <v>455.28000000000003</v>
      </c>
      <c r="K13" s="716">
        <f t="shared" si="1"/>
        <v>0</v>
      </c>
      <c r="L13" s="715">
        <f t="shared" si="4"/>
        <v>455.28</v>
      </c>
      <c r="M13" s="715">
        <f t="shared" si="6"/>
        <v>1.25</v>
      </c>
      <c r="N13" s="717">
        <f>ÍNDICE!$E$15</f>
        <v>2.73</v>
      </c>
      <c r="O13" s="717">
        <f t="shared" si="5"/>
        <v>1553.64</v>
      </c>
      <c r="P13" s="717">
        <f t="shared" si="7"/>
        <v>6.72</v>
      </c>
      <c r="Q13" s="715">
        <f t="shared" si="2"/>
        <v>3824.3519999999999</v>
      </c>
    </row>
    <row r="14" spans="1:17" ht="15.9" customHeight="1" x14ac:dyDescent="0.2">
      <c r="A14" s="711">
        <f>RUAS!A13</f>
        <v>10</v>
      </c>
      <c r="B14" s="712" t="str">
        <f>RUAS!B13</f>
        <v>RUA PARANAVAÍ - T1</v>
      </c>
      <c r="C14" s="713">
        <f>RUAS!K13</f>
        <v>56.22</v>
      </c>
      <c r="D14" s="713">
        <f>RUAS!L13+0.9</f>
        <v>9.3000000000000007</v>
      </c>
      <c r="E14" s="714">
        <v>194.44</v>
      </c>
      <c r="F14" s="715">
        <v>0</v>
      </c>
      <c r="G14" s="715">
        <f>RUAS!N13</f>
        <v>10.81</v>
      </c>
      <c r="H14" s="711">
        <f>'SUBLEITO-BASE-SUB.'!I14+'SUBLEITO-BASE-SUB.'!K14+0.025</f>
        <v>0.42500000000000004</v>
      </c>
      <c r="I14" s="715">
        <f t="shared" si="0"/>
        <v>4.59</v>
      </c>
      <c r="J14" s="715">
        <f t="shared" si="3"/>
        <v>199.03</v>
      </c>
      <c r="K14" s="716">
        <f t="shared" si="1"/>
        <v>0</v>
      </c>
      <c r="L14" s="715">
        <f t="shared" si="4"/>
        <v>199.03</v>
      </c>
      <c r="M14" s="715">
        <f t="shared" si="6"/>
        <v>1.25</v>
      </c>
      <c r="N14" s="717">
        <f>ÍNDICE!$E$15</f>
        <v>2.73</v>
      </c>
      <c r="O14" s="717">
        <f t="shared" si="5"/>
        <v>679.18</v>
      </c>
      <c r="P14" s="717">
        <f t="shared" si="7"/>
        <v>6.72</v>
      </c>
      <c r="Q14" s="715">
        <f t="shared" si="2"/>
        <v>1671.8520000000001</v>
      </c>
    </row>
    <row r="15" spans="1:17" ht="15.9" customHeight="1" x14ac:dyDescent="0.2">
      <c r="A15" s="711">
        <f>RUAS!A14</f>
        <v>11</v>
      </c>
      <c r="B15" s="712" t="str">
        <f>RUAS!B14</f>
        <v>RUA PARANAVAÍ - T2</v>
      </c>
      <c r="C15" s="713">
        <f>RUAS!K14</f>
        <v>105.74</v>
      </c>
      <c r="D15" s="713">
        <f>RUAS!L14+0.9</f>
        <v>9.3000000000000007</v>
      </c>
      <c r="E15" s="714">
        <v>331.47</v>
      </c>
      <c r="F15" s="715">
        <v>0</v>
      </c>
      <c r="G15" s="715">
        <f>RUAS!N14</f>
        <v>21.37</v>
      </c>
      <c r="H15" s="711">
        <f>'SUBLEITO-BASE-SUB.'!I15+'SUBLEITO-BASE-SUB.'!K15+0.025</f>
        <v>0.42500000000000004</v>
      </c>
      <c r="I15" s="715">
        <f t="shared" si="0"/>
        <v>9.08</v>
      </c>
      <c r="J15" s="715">
        <f t="shared" si="3"/>
        <v>340.55</v>
      </c>
      <c r="K15" s="716">
        <f t="shared" si="1"/>
        <v>0</v>
      </c>
      <c r="L15" s="715">
        <f t="shared" si="4"/>
        <v>340.55</v>
      </c>
      <c r="M15" s="715">
        <f t="shared" si="6"/>
        <v>1.25</v>
      </c>
      <c r="N15" s="717">
        <f>ÍNDICE!$E$15</f>
        <v>2.73</v>
      </c>
      <c r="O15" s="717">
        <f t="shared" si="5"/>
        <v>1162.1199999999999</v>
      </c>
      <c r="P15" s="717">
        <f t="shared" si="7"/>
        <v>6.72</v>
      </c>
      <c r="Q15" s="715">
        <f t="shared" si="2"/>
        <v>2860.62</v>
      </c>
    </row>
    <row r="16" spans="1:17" ht="15.9" customHeight="1" x14ac:dyDescent="0.2">
      <c r="A16" s="711">
        <f>RUAS!A15</f>
        <v>12</v>
      </c>
      <c r="B16" s="712" t="str">
        <f>RUAS!B15</f>
        <v>RUA PONTA GROSSA - T1</v>
      </c>
      <c r="C16" s="713">
        <f>RUAS!K15</f>
        <v>153.6</v>
      </c>
      <c r="D16" s="713">
        <f>RUAS!L15+0.9</f>
        <v>9.3000000000000007</v>
      </c>
      <c r="E16" s="714">
        <v>555</v>
      </c>
      <c r="F16" s="715">
        <v>0</v>
      </c>
      <c r="G16" s="715">
        <f>RUAS!N15</f>
        <v>10.73</v>
      </c>
      <c r="H16" s="711">
        <f>'SUBLEITO-BASE-SUB.'!I16+'SUBLEITO-BASE-SUB.'!K16+0.025</f>
        <v>0.42500000000000004</v>
      </c>
      <c r="I16" s="715">
        <f t="shared" si="0"/>
        <v>4.5599999999999996</v>
      </c>
      <c r="J16" s="715">
        <f t="shared" si="3"/>
        <v>559.55999999999995</v>
      </c>
      <c r="K16" s="716">
        <f t="shared" si="1"/>
        <v>0</v>
      </c>
      <c r="L16" s="715">
        <f t="shared" si="4"/>
        <v>559.55999999999995</v>
      </c>
      <c r="M16" s="715">
        <f t="shared" si="6"/>
        <v>1.25</v>
      </c>
      <c r="N16" s="717">
        <f>ÍNDICE!$E$15</f>
        <v>2.73</v>
      </c>
      <c r="O16" s="717">
        <f t="shared" si="5"/>
        <v>1909.49</v>
      </c>
      <c r="P16" s="717">
        <f t="shared" si="7"/>
        <v>6.72</v>
      </c>
      <c r="Q16" s="715">
        <f t="shared" si="2"/>
        <v>4700.3040000000001</v>
      </c>
    </row>
    <row r="17" spans="1:17" ht="15.9" customHeight="1" x14ac:dyDescent="0.2">
      <c r="A17" s="711">
        <f>RUAS!A16</f>
        <v>13</v>
      </c>
      <c r="B17" s="712" t="str">
        <f>RUAS!B16</f>
        <v>RUA PONTA GROSSA - T2</v>
      </c>
      <c r="C17" s="713">
        <f>RUAS!K16</f>
        <v>82.35</v>
      </c>
      <c r="D17" s="713">
        <f>RUAS!L16+0.9</f>
        <v>9.3000000000000007</v>
      </c>
      <c r="E17" s="714">
        <v>339.86</v>
      </c>
      <c r="F17" s="715">
        <v>0</v>
      </c>
      <c r="G17" s="715">
        <f>RUAS!N16</f>
        <v>21.56</v>
      </c>
      <c r="H17" s="711">
        <f>'SUBLEITO-BASE-SUB.'!I17+'SUBLEITO-BASE-SUB.'!K17+0.025</f>
        <v>0.42500000000000004</v>
      </c>
      <c r="I17" s="715">
        <f t="shared" si="0"/>
        <v>9.16</v>
      </c>
      <c r="J17" s="715">
        <f t="shared" si="3"/>
        <v>349.02000000000004</v>
      </c>
      <c r="K17" s="716">
        <f t="shared" si="1"/>
        <v>0</v>
      </c>
      <c r="L17" s="715">
        <f t="shared" si="4"/>
        <v>349.02</v>
      </c>
      <c r="M17" s="715">
        <f t="shared" si="6"/>
        <v>1.25</v>
      </c>
      <c r="N17" s="717">
        <f>ÍNDICE!$E$15</f>
        <v>2.73</v>
      </c>
      <c r="O17" s="717">
        <f t="shared" si="5"/>
        <v>1191.03</v>
      </c>
      <c r="P17" s="717">
        <f t="shared" si="7"/>
        <v>6.72</v>
      </c>
      <c r="Q17" s="715">
        <f t="shared" si="2"/>
        <v>2931.768</v>
      </c>
    </row>
    <row r="18" spans="1:17" ht="15.9" customHeight="1" x14ac:dyDescent="0.2">
      <c r="A18" s="711">
        <f>RUAS!A17</f>
        <v>14</v>
      </c>
      <c r="B18" s="712" t="str">
        <f>RUAS!B17</f>
        <v>RUA PONTA GROSSA - T3</v>
      </c>
      <c r="C18" s="713">
        <f>RUAS!K17</f>
        <v>106.62</v>
      </c>
      <c r="D18" s="713">
        <f>RUAS!L17+0.9</f>
        <v>9.3000000000000007</v>
      </c>
      <c r="E18" s="714">
        <v>324.64999999999998</v>
      </c>
      <c r="F18" s="715">
        <v>0</v>
      </c>
      <c r="G18" s="715">
        <f>RUAS!N17</f>
        <v>21.4</v>
      </c>
      <c r="H18" s="711">
        <f>'SUBLEITO-BASE-SUB.'!I18+'SUBLEITO-BASE-SUB.'!K18+0.025</f>
        <v>0.42500000000000004</v>
      </c>
      <c r="I18" s="715">
        <f t="shared" si="0"/>
        <v>9.09</v>
      </c>
      <c r="J18" s="715">
        <f t="shared" si="3"/>
        <v>333.73999999999995</v>
      </c>
      <c r="K18" s="716">
        <f t="shared" si="1"/>
        <v>0</v>
      </c>
      <c r="L18" s="715">
        <f t="shared" si="4"/>
        <v>333.74</v>
      </c>
      <c r="M18" s="715">
        <f t="shared" si="6"/>
        <v>1.25</v>
      </c>
      <c r="N18" s="717">
        <f>ÍNDICE!$E$15</f>
        <v>2.73</v>
      </c>
      <c r="O18" s="717">
        <f t="shared" si="5"/>
        <v>1138.8800000000001</v>
      </c>
      <c r="P18" s="717">
        <f t="shared" si="7"/>
        <v>6.72</v>
      </c>
      <c r="Q18" s="715">
        <f t="shared" si="2"/>
        <v>2803.4160000000002</v>
      </c>
    </row>
    <row r="19" spans="1:17" ht="15.9" customHeight="1" x14ac:dyDescent="0.2">
      <c r="A19" s="711">
        <f>RUAS!A18</f>
        <v>15</v>
      </c>
      <c r="B19" s="712" t="str">
        <f>RUAS!B18</f>
        <v>RUA ASTORGA - T1</v>
      </c>
      <c r="C19" s="713">
        <f>RUAS!K18</f>
        <v>69.680000000000007</v>
      </c>
      <c r="D19" s="713">
        <f>RUAS!L18+0.9</f>
        <v>9.3000000000000007</v>
      </c>
      <c r="E19" s="714">
        <v>351.03</v>
      </c>
      <c r="F19" s="715">
        <v>0</v>
      </c>
      <c r="G19" s="715">
        <f>RUAS!N18</f>
        <v>21.21</v>
      </c>
      <c r="H19" s="711">
        <f>'SUBLEITO-BASE-SUB.'!I19+'SUBLEITO-BASE-SUB.'!K19+0.025</f>
        <v>0.42500000000000004</v>
      </c>
      <c r="I19" s="715">
        <f t="shared" si="0"/>
        <v>9.01</v>
      </c>
      <c r="J19" s="715">
        <f t="shared" si="3"/>
        <v>360.03999999999996</v>
      </c>
      <c r="K19" s="716">
        <f t="shared" si="1"/>
        <v>0</v>
      </c>
      <c r="L19" s="715">
        <f t="shared" si="4"/>
        <v>360.04</v>
      </c>
      <c r="M19" s="715">
        <f t="shared" si="6"/>
        <v>1.25</v>
      </c>
      <c r="N19" s="717">
        <f>ÍNDICE!$E$15</f>
        <v>2.73</v>
      </c>
      <c r="O19" s="717">
        <f t="shared" si="5"/>
        <v>1228.6300000000001</v>
      </c>
      <c r="P19" s="717">
        <f t="shared" si="7"/>
        <v>6.72</v>
      </c>
      <c r="Q19" s="715">
        <f t="shared" si="2"/>
        <v>3024.3359999999998</v>
      </c>
    </row>
    <row r="20" spans="1:17" ht="15.9" customHeight="1" x14ac:dyDescent="0.2">
      <c r="A20" s="711">
        <f>RUAS!A19</f>
        <v>16</v>
      </c>
      <c r="B20" s="712" t="str">
        <f>RUAS!B19</f>
        <v>RUA ASTORGA - T2</v>
      </c>
      <c r="C20" s="713">
        <f>RUAS!K19</f>
        <v>105.91</v>
      </c>
      <c r="D20" s="713">
        <f>RUAS!L19+0.9</f>
        <v>9.3000000000000007</v>
      </c>
      <c r="E20" s="714">
        <v>495.55</v>
      </c>
      <c r="F20" s="715">
        <v>0</v>
      </c>
      <c r="G20" s="715">
        <f>RUAS!N19</f>
        <v>21.46</v>
      </c>
      <c r="H20" s="711">
        <f>'SUBLEITO-BASE-SUB.'!I20+'SUBLEITO-BASE-SUB.'!K20+0.025</f>
        <v>0.42500000000000004</v>
      </c>
      <c r="I20" s="715">
        <f t="shared" si="0"/>
        <v>9.1199999999999992</v>
      </c>
      <c r="J20" s="715">
        <f t="shared" si="3"/>
        <v>504.67</v>
      </c>
      <c r="K20" s="716">
        <f t="shared" si="1"/>
        <v>0</v>
      </c>
      <c r="L20" s="715">
        <f t="shared" si="4"/>
        <v>504.67</v>
      </c>
      <c r="M20" s="715">
        <f t="shared" si="6"/>
        <v>1.25</v>
      </c>
      <c r="N20" s="717">
        <f>ÍNDICE!$E$15</f>
        <v>2.73</v>
      </c>
      <c r="O20" s="717">
        <f t="shared" si="5"/>
        <v>1722.18</v>
      </c>
      <c r="P20" s="717">
        <f t="shared" si="7"/>
        <v>6.72</v>
      </c>
      <c r="Q20" s="715">
        <f t="shared" si="2"/>
        <v>4239.2280000000001</v>
      </c>
    </row>
    <row r="21" spans="1:17" ht="15.9" customHeight="1" x14ac:dyDescent="0.2">
      <c r="A21" s="711">
        <f>RUAS!A20</f>
        <v>17</v>
      </c>
      <c r="B21" s="712" t="str">
        <f>RUAS!B20</f>
        <v>RUA ASTORGA - T3</v>
      </c>
      <c r="C21" s="713">
        <f>RUAS!K20</f>
        <v>81.88</v>
      </c>
      <c r="D21" s="713">
        <f>RUAS!L20+0.9</f>
        <v>9.3000000000000007</v>
      </c>
      <c r="E21" s="714">
        <v>376.11</v>
      </c>
      <c r="F21" s="715">
        <v>0</v>
      </c>
      <c r="G21" s="715">
        <f>RUAS!N20</f>
        <v>21.47</v>
      </c>
      <c r="H21" s="711">
        <f>'SUBLEITO-BASE-SUB.'!I21+'SUBLEITO-BASE-SUB.'!K21+0.025</f>
        <v>0.42500000000000004</v>
      </c>
      <c r="I21" s="715">
        <f t="shared" si="0"/>
        <v>9.1199999999999992</v>
      </c>
      <c r="J21" s="715">
        <f t="shared" si="3"/>
        <v>385.23</v>
      </c>
      <c r="K21" s="716">
        <f t="shared" si="1"/>
        <v>0</v>
      </c>
      <c r="L21" s="715">
        <f t="shared" si="4"/>
        <v>385.23</v>
      </c>
      <c r="M21" s="715">
        <f t="shared" si="6"/>
        <v>1.25</v>
      </c>
      <c r="N21" s="717">
        <f>ÍNDICE!$E$15</f>
        <v>2.73</v>
      </c>
      <c r="O21" s="717">
        <f t="shared" si="5"/>
        <v>1314.59</v>
      </c>
      <c r="P21" s="717">
        <f t="shared" si="7"/>
        <v>6.72</v>
      </c>
      <c r="Q21" s="715">
        <f t="shared" si="2"/>
        <v>3235.9319999999998</v>
      </c>
    </row>
    <row r="22" spans="1:17" ht="15.9" customHeight="1" x14ac:dyDescent="0.2">
      <c r="A22" s="711">
        <f>RUAS!A21</f>
        <v>18</v>
      </c>
      <c r="B22" s="712" t="str">
        <f>RUAS!B21</f>
        <v>RUA ASTORGA - T4</v>
      </c>
      <c r="C22" s="713">
        <f>RUAS!K21</f>
        <v>107.06</v>
      </c>
      <c r="D22" s="713">
        <f>RUAS!L21+0.9</f>
        <v>9.3000000000000007</v>
      </c>
      <c r="E22" s="714">
        <v>362.1</v>
      </c>
      <c r="F22" s="715">
        <v>0</v>
      </c>
      <c r="G22" s="715">
        <f>RUAS!N21</f>
        <v>21.47</v>
      </c>
      <c r="H22" s="711">
        <f>'SUBLEITO-BASE-SUB.'!I22+'SUBLEITO-BASE-SUB.'!K22+0.025</f>
        <v>0.42500000000000004</v>
      </c>
      <c r="I22" s="715">
        <f t="shared" si="0"/>
        <v>9.1199999999999992</v>
      </c>
      <c r="J22" s="715">
        <f t="shared" si="3"/>
        <v>371.22</v>
      </c>
      <c r="K22" s="716">
        <f t="shared" si="1"/>
        <v>0</v>
      </c>
      <c r="L22" s="715">
        <f t="shared" si="4"/>
        <v>371.22</v>
      </c>
      <c r="M22" s="715">
        <f t="shared" si="6"/>
        <v>1.25</v>
      </c>
      <c r="N22" s="717">
        <f>ÍNDICE!$E$15</f>
        <v>2.73</v>
      </c>
      <c r="O22" s="717">
        <f t="shared" si="5"/>
        <v>1266.78</v>
      </c>
      <c r="P22" s="717">
        <f t="shared" si="7"/>
        <v>6.72</v>
      </c>
      <c r="Q22" s="715">
        <f t="shared" si="2"/>
        <v>3118.248</v>
      </c>
    </row>
    <row r="23" spans="1:17" ht="15.9" customHeight="1" x14ac:dyDescent="0.2">
      <c r="A23" s="711">
        <f>RUAS!A22</f>
        <v>19</v>
      </c>
      <c r="B23" s="712" t="str">
        <f>RUAS!B22</f>
        <v>RUA SÃO JOSÉ DOS PINHAIS - T1</v>
      </c>
      <c r="C23" s="713">
        <f>RUAS!K22</f>
        <v>41.1</v>
      </c>
      <c r="D23" s="713">
        <f>RUAS!L22+0.9</f>
        <v>9.3000000000000007</v>
      </c>
      <c r="E23" s="714">
        <v>148.41</v>
      </c>
      <c r="F23" s="715">
        <v>0</v>
      </c>
      <c r="G23" s="715">
        <f>RUAS!N22</f>
        <v>11.39</v>
      </c>
      <c r="H23" s="711">
        <f>'SUBLEITO-BASE-SUB.'!I23+'SUBLEITO-BASE-SUB.'!K23+0.025</f>
        <v>0.42500000000000004</v>
      </c>
      <c r="I23" s="715">
        <f t="shared" si="0"/>
        <v>4.84</v>
      </c>
      <c r="J23" s="715">
        <f t="shared" si="3"/>
        <v>153.25</v>
      </c>
      <c r="K23" s="716">
        <f t="shared" si="1"/>
        <v>0</v>
      </c>
      <c r="L23" s="715">
        <f t="shared" si="4"/>
        <v>153.25</v>
      </c>
      <c r="M23" s="715">
        <f t="shared" si="6"/>
        <v>1.25</v>
      </c>
      <c r="N23" s="717">
        <f>ÍNDICE!$E$15</f>
        <v>2.73</v>
      </c>
      <c r="O23" s="717">
        <f t="shared" si="5"/>
        <v>522.96</v>
      </c>
      <c r="P23" s="717">
        <f t="shared" si="7"/>
        <v>6.72</v>
      </c>
      <c r="Q23" s="715">
        <f t="shared" si="2"/>
        <v>1287.3</v>
      </c>
    </row>
    <row r="24" spans="1:17" ht="15.9" customHeight="1" x14ac:dyDescent="0.2">
      <c r="A24" s="711">
        <f>RUAS!A23</f>
        <v>20</v>
      </c>
      <c r="B24" s="712" t="str">
        <f>RUAS!B23</f>
        <v>RUA SÃO JOSÉ DOS PINHAIS - T2</v>
      </c>
      <c r="C24" s="713">
        <f>RUAS!K23</f>
        <v>106.74</v>
      </c>
      <c r="D24" s="713">
        <f>RUAS!L23+0.9</f>
        <v>9.3000000000000007</v>
      </c>
      <c r="E24" s="714">
        <v>330.83</v>
      </c>
      <c r="F24" s="715">
        <v>0</v>
      </c>
      <c r="G24" s="715">
        <f>RUAS!N23</f>
        <v>21.57</v>
      </c>
      <c r="H24" s="711">
        <f>'SUBLEITO-BASE-SUB.'!I24+'SUBLEITO-BASE-SUB.'!K24+0.025</f>
        <v>0.42500000000000004</v>
      </c>
      <c r="I24" s="715">
        <f t="shared" si="0"/>
        <v>9.16</v>
      </c>
      <c r="J24" s="715">
        <f t="shared" si="3"/>
        <v>339.99</v>
      </c>
      <c r="K24" s="716">
        <f t="shared" si="1"/>
        <v>0</v>
      </c>
      <c r="L24" s="715">
        <f t="shared" si="4"/>
        <v>339.99</v>
      </c>
      <c r="M24" s="715">
        <f t="shared" si="6"/>
        <v>1.25</v>
      </c>
      <c r="N24" s="717">
        <f>ÍNDICE!$E$15</f>
        <v>2.73</v>
      </c>
      <c r="O24" s="717">
        <f t="shared" si="5"/>
        <v>1160.21</v>
      </c>
      <c r="P24" s="717">
        <f t="shared" si="7"/>
        <v>6.72</v>
      </c>
      <c r="Q24" s="715">
        <f t="shared" si="2"/>
        <v>2855.9160000000002</v>
      </c>
    </row>
    <row r="25" spans="1:17" ht="15.9" customHeight="1" x14ac:dyDescent="0.2">
      <c r="A25" s="711">
        <f>RUAS!A24</f>
        <v>21</v>
      </c>
      <c r="B25" s="712" t="str">
        <f>RUAS!B24</f>
        <v>RUA SÃO JOSÉ DOS PINHAIS - T3</v>
      </c>
      <c r="C25" s="713">
        <f>RUAS!K24</f>
        <v>83</v>
      </c>
      <c r="D25" s="713">
        <f>RUAS!L24+0.9</f>
        <v>9.3000000000000007</v>
      </c>
      <c r="E25" s="714">
        <v>340.83</v>
      </c>
      <c r="F25" s="715">
        <v>0</v>
      </c>
      <c r="G25" s="715">
        <f>RUAS!N24</f>
        <v>21.47</v>
      </c>
      <c r="H25" s="711">
        <f>'SUBLEITO-BASE-SUB.'!I25+'SUBLEITO-BASE-SUB.'!K25+0.025</f>
        <v>0.42500000000000004</v>
      </c>
      <c r="I25" s="715">
        <f t="shared" si="0"/>
        <v>9.1199999999999992</v>
      </c>
      <c r="J25" s="715">
        <f t="shared" si="3"/>
        <v>349.95</v>
      </c>
      <c r="K25" s="716">
        <f t="shared" si="1"/>
        <v>0</v>
      </c>
      <c r="L25" s="715">
        <f t="shared" si="4"/>
        <v>349.95</v>
      </c>
      <c r="M25" s="715">
        <f t="shared" si="6"/>
        <v>1.25</v>
      </c>
      <c r="N25" s="717">
        <f>ÍNDICE!$E$15</f>
        <v>2.73</v>
      </c>
      <c r="O25" s="717">
        <f t="shared" si="5"/>
        <v>1194.2</v>
      </c>
      <c r="P25" s="717">
        <f t="shared" si="7"/>
        <v>6.72</v>
      </c>
      <c r="Q25" s="715">
        <f t="shared" si="2"/>
        <v>2939.58</v>
      </c>
    </row>
    <row r="26" spans="1:17" ht="15.9" customHeight="1" x14ac:dyDescent="0.2">
      <c r="A26" s="711">
        <f>RUAS!A25</f>
        <v>22</v>
      </c>
      <c r="B26" s="712" t="str">
        <f>RUAS!B25</f>
        <v>RUA SÃO JOSÉ DOS PINHAIS - T4</v>
      </c>
      <c r="C26" s="713">
        <f>RUAS!K25</f>
        <v>105.9</v>
      </c>
      <c r="D26" s="713">
        <f>RUAS!L25+0.9</f>
        <v>9.3000000000000007</v>
      </c>
      <c r="E26" s="714">
        <v>325.31</v>
      </c>
      <c r="F26" s="715">
        <v>0</v>
      </c>
      <c r="G26" s="715">
        <f>RUAS!N25</f>
        <v>21.47</v>
      </c>
      <c r="H26" s="711">
        <f>'SUBLEITO-BASE-SUB.'!I26+'SUBLEITO-BASE-SUB.'!K26+0.025</f>
        <v>0.42500000000000004</v>
      </c>
      <c r="I26" s="715">
        <f t="shared" si="0"/>
        <v>9.1199999999999992</v>
      </c>
      <c r="J26" s="715">
        <f t="shared" si="3"/>
        <v>334.43</v>
      </c>
      <c r="K26" s="716">
        <f t="shared" si="1"/>
        <v>0</v>
      </c>
      <c r="L26" s="715">
        <f t="shared" si="4"/>
        <v>334.43</v>
      </c>
      <c r="M26" s="715">
        <f t="shared" si="6"/>
        <v>1.25</v>
      </c>
      <c r="N26" s="717">
        <f>ÍNDICE!$E$15</f>
        <v>2.73</v>
      </c>
      <c r="O26" s="717">
        <f t="shared" si="5"/>
        <v>1141.24</v>
      </c>
      <c r="P26" s="717">
        <f t="shared" si="7"/>
        <v>6.72</v>
      </c>
      <c r="Q26" s="715">
        <f t="shared" si="2"/>
        <v>2809.212</v>
      </c>
    </row>
    <row r="27" spans="1:17" ht="15.9" customHeight="1" x14ac:dyDescent="0.2">
      <c r="A27" s="711">
        <f>RUAS!A26</f>
        <v>23</v>
      </c>
      <c r="B27" s="712" t="str">
        <f>RUAS!B26</f>
        <v>RUA COLORADO - T1</v>
      </c>
      <c r="C27" s="713">
        <f>RUAS!K26</f>
        <v>106.36</v>
      </c>
      <c r="D27" s="713">
        <f>RUAS!L26+0.9</f>
        <v>9.3000000000000007</v>
      </c>
      <c r="E27" s="714">
        <v>351.45</v>
      </c>
      <c r="F27" s="715">
        <v>0.36</v>
      </c>
      <c r="G27" s="715">
        <f>RUAS!N26</f>
        <v>21.48</v>
      </c>
      <c r="H27" s="711">
        <f>'SUBLEITO-BASE-SUB.'!I27+'SUBLEITO-BASE-SUB.'!K27+0.025</f>
        <v>0.42500000000000004</v>
      </c>
      <c r="I27" s="715">
        <f t="shared" si="0"/>
        <v>9.1199999999999992</v>
      </c>
      <c r="J27" s="715">
        <f t="shared" si="3"/>
        <v>360.57</v>
      </c>
      <c r="K27" s="716">
        <f t="shared" si="1"/>
        <v>0.36</v>
      </c>
      <c r="L27" s="715">
        <f t="shared" si="4"/>
        <v>360.21</v>
      </c>
      <c r="M27" s="715">
        <f t="shared" si="6"/>
        <v>1.25</v>
      </c>
      <c r="N27" s="717">
        <f>ÍNDICE!$E$15</f>
        <v>2.73</v>
      </c>
      <c r="O27" s="717">
        <f t="shared" si="5"/>
        <v>1229.21</v>
      </c>
      <c r="P27" s="717">
        <f t="shared" si="7"/>
        <v>6.72</v>
      </c>
      <c r="Q27" s="715">
        <f t="shared" si="2"/>
        <v>3025.7640000000001</v>
      </c>
    </row>
    <row r="28" spans="1:17" ht="15.9" customHeight="1" x14ac:dyDescent="0.2">
      <c r="A28" s="711">
        <f>RUAS!A27</f>
        <v>24</v>
      </c>
      <c r="B28" s="712" t="str">
        <f>RUAS!B27</f>
        <v>RUA COLORADO - T2</v>
      </c>
      <c r="C28" s="713">
        <f>RUAS!K27</f>
        <v>82.82</v>
      </c>
      <c r="D28" s="713">
        <f>RUAS!L27+0.9</f>
        <v>9.3000000000000007</v>
      </c>
      <c r="E28" s="714">
        <v>261.95999999999998</v>
      </c>
      <c r="F28" s="715">
        <v>0</v>
      </c>
      <c r="G28" s="715">
        <f>RUAS!N27</f>
        <v>21.490000000000002</v>
      </c>
      <c r="H28" s="711">
        <f>'SUBLEITO-BASE-SUB.'!I28+'SUBLEITO-BASE-SUB.'!K28+0.025</f>
        <v>0.42500000000000004</v>
      </c>
      <c r="I28" s="715">
        <f t="shared" si="0"/>
        <v>9.1300000000000008</v>
      </c>
      <c r="J28" s="715">
        <f t="shared" si="3"/>
        <v>271.08999999999997</v>
      </c>
      <c r="K28" s="716">
        <f t="shared" si="1"/>
        <v>0</v>
      </c>
      <c r="L28" s="715">
        <f t="shared" si="4"/>
        <v>271.08999999999997</v>
      </c>
      <c r="M28" s="715">
        <f t="shared" si="6"/>
        <v>1.25</v>
      </c>
      <c r="N28" s="717">
        <f>ÍNDICE!$E$15</f>
        <v>2.73</v>
      </c>
      <c r="O28" s="717">
        <f t="shared" si="5"/>
        <v>925.09</v>
      </c>
      <c r="P28" s="717">
        <f t="shared" si="7"/>
        <v>6.72</v>
      </c>
      <c r="Q28" s="715">
        <f t="shared" si="2"/>
        <v>2277.1559999999999</v>
      </c>
    </row>
    <row r="29" spans="1:17" ht="15.9" customHeight="1" x14ac:dyDescent="0.2">
      <c r="A29" s="711">
        <f>RUAS!A28</f>
        <v>25</v>
      </c>
      <c r="B29" s="712" t="str">
        <f>RUAS!B28</f>
        <v>RUA COLORADO - T3</v>
      </c>
      <c r="C29" s="713">
        <f>RUAS!K28</f>
        <v>106.06</v>
      </c>
      <c r="D29" s="713">
        <f>RUAS!L28+0.9</f>
        <v>9.3000000000000007</v>
      </c>
      <c r="E29" s="714">
        <v>399.99</v>
      </c>
      <c r="F29" s="715">
        <v>0</v>
      </c>
      <c r="G29" s="715">
        <f>RUAS!N28</f>
        <v>21.48</v>
      </c>
      <c r="H29" s="711">
        <f>'SUBLEITO-BASE-SUB.'!I29+'SUBLEITO-BASE-SUB.'!K29+0.025</f>
        <v>0.42500000000000004</v>
      </c>
      <c r="I29" s="715">
        <f t="shared" si="0"/>
        <v>9.1199999999999992</v>
      </c>
      <c r="J29" s="715">
        <f t="shared" si="3"/>
        <v>409.11</v>
      </c>
      <c r="K29" s="716">
        <f t="shared" si="1"/>
        <v>0</v>
      </c>
      <c r="L29" s="715">
        <f t="shared" si="4"/>
        <v>409.11</v>
      </c>
      <c r="M29" s="715">
        <f t="shared" si="6"/>
        <v>1.25</v>
      </c>
      <c r="N29" s="717">
        <f>ÍNDICE!$E$15</f>
        <v>2.73</v>
      </c>
      <c r="O29" s="717">
        <f t="shared" si="5"/>
        <v>1396.08</v>
      </c>
      <c r="P29" s="717">
        <f t="shared" si="7"/>
        <v>6.72</v>
      </c>
      <c r="Q29" s="715">
        <f t="shared" si="2"/>
        <v>3436.5239999999999</v>
      </c>
    </row>
    <row r="30" spans="1:17" ht="15.9" customHeight="1" x14ac:dyDescent="0.2">
      <c r="A30" s="711">
        <f>RUAS!A29</f>
        <v>26</v>
      </c>
      <c r="B30" s="712" t="str">
        <f>RUAS!B29</f>
        <v>RUA FOZ DO IGUAÇU - T1</v>
      </c>
      <c r="C30" s="713">
        <f>RUAS!K29</f>
        <v>41.57</v>
      </c>
      <c r="D30" s="713">
        <f>RUAS!L29+0.9</f>
        <v>9.3000000000000007</v>
      </c>
      <c r="E30" s="714">
        <v>170.53</v>
      </c>
      <c r="F30" s="715">
        <v>0</v>
      </c>
      <c r="G30" s="715">
        <f>RUAS!N29</f>
        <v>10.99</v>
      </c>
      <c r="H30" s="711">
        <f>'SUBLEITO-BASE-SUB.'!I30+'SUBLEITO-BASE-SUB.'!K30+0.025</f>
        <v>0.42500000000000004</v>
      </c>
      <c r="I30" s="715">
        <f t="shared" si="0"/>
        <v>4.67</v>
      </c>
      <c r="J30" s="715">
        <f t="shared" si="3"/>
        <v>175.2</v>
      </c>
      <c r="K30" s="716">
        <f t="shared" si="1"/>
        <v>0</v>
      </c>
      <c r="L30" s="715">
        <f t="shared" si="4"/>
        <v>175.2</v>
      </c>
      <c r="M30" s="715">
        <f t="shared" si="6"/>
        <v>1.25</v>
      </c>
      <c r="N30" s="717">
        <f>ÍNDICE!$E$15</f>
        <v>2.73</v>
      </c>
      <c r="O30" s="717">
        <f t="shared" si="5"/>
        <v>597.87</v>
      </c>
      <c r="P30" s="717">
        <f t="shared" si="7"/>
        <v>6.72</v>
      </c>
      <c r="Q30" s="715">
        <f t="shared" si="2"/>
        <v>1471.68</v>
      </c>
    </row>
    <row r="31" spans="1:17" ht="15.9" customHeight="1" x14ac:dyDescent="0.2">
      <c r="A31" s="711">
        <f>RUAS!A30</f>
        <v>27</v>
      </c>
      <c r="B31" s="712" t="str">
        <f>RUAS!B30</f>
        <v>RUA FOZ DO IGUAÇU - T2</v>
      </c>
      <c r="C31" s="713">
        <f>RUAS!K30</f>
        <v>105.8</v>
      </c>
      <c r="D31" s="713">
        <f>RUAS!L30+0.9</f>
        <v>9.3000000000000007</v>
      </c>
      <c r="E31" s="714">
        <v>403.04</v>
      </c>
      <c r="F31" s="715">
        <v>0</v>
      </c>
      <c r="G31" s="715">
        <f>RUAS!N30</f>
        <v>21.2</v>
      </c>
      <c r="H31" s="711">
        <f>'SUBLEITO-BASE-SUB.'!I31+'SUBLEITO-BASE-SUB.'!K31+0.025</f>
        <v>0.42500000000000004</v>
      </c>
      <c r="I31" s="715">
        <f t="shared" si="0"/>
        <v>9.01</v>
      </c>
      <c r="J31" s="715">
        <f t="shared" si="3"/>
        <v>412.05</v>
      </c>
      <c r="K31" s="716">
        <f t="shared" si="1"/>
        <v>0</v>
      </c>
      <c r="L31" s="715">
        <f t="shared" si="4"/>
        <v>412.05</v>
      </c>
      <c r="M31" s="715">
        <f t="shared" si="6"/>
        <v>1.25</v>
      </c>
      <c r="N31" s="717">
        <f>ÍNDICE!$E$15</f>
        <v>2.73</v>
      </c>
      <c r="O31" s="717">
        <f t="shared" si="5"/>
        <v>1406.12</v>
      </c>
      <c r="P31" s="717">
        <f t="shared" si="7"/>
        <v>6.72</v>
      </c>
      <c r="Q31" s="715">
        <f t="shared" si="2"/>
        <v>3461.22</v>
      </c>
    </row>
    <row r="32" spans="1:17" ht="15.9" customHeight="1" x14ac:dyDescent="0.2">
      <c r="A32" s="711">
        <f>RUAS!A31</f>
        <v>28</v>
      </c>
      <c r="B32" s="712" t="str">
        <f>RUAS!B31</f>
        <v>RUA FOZ DO IGUAÇU - T3</v>
      </c>
      <c r="C32" s="713">
        <f>RUAS!K31</f>
        <v>81.83</v>
      </c>
      <c r="D32" s="713">
        <f>RUAS!L31+0.9</f>
        <v>9.3000000000000007</v>
      </c>
      <c r="E32" s="714">
        <v>236.4</v>
      </c>
      <c r="F32" s="715">
        <v>0</v>
      </c>
      <c r="G32" s="715">
        <f>RUAS!N31</f>
        <v>21.47</v>
      </c>
      <c r="H32" s="711">
        <f>'SUBLEITO-BASE-SUB.'!I32+'SUBLEITO-BASE-SUB.'!K32+0.025</f>
        <v>0.42500000000000004</v>
      </c>
      <c r="I32" s="715">
        <f t="shared" si="0"/>
        <v>9.1199999999999992</v>
      </c>
      <c r="J32" s="715">
        <f t="shared" si="3"/>
        <v>245.52</v>
      </c>
      <c r="K32" s="716">
        <f t="shared" si="1"/>
        <v>0</v>
      </c>
      <c r="L32" s="715">
        <f t="shared" si="4"/>
        <v>245.52</v>
      </c>
      <c r="M32" s="715">
        <f t="shared" si="6"/>
        <v>1.25</v>
      </c>
      <c r="N32" s="717">
        <f>ÍNDICE!$E$15</f>
        <v>2.73</v>
      </c>
      <c r="O32" s="717">
        <f t="shared" si="5"/>
        <v>837.83</v>
      </c>
      <c r="P32" s="717">
        <f t="shared" si="7"/>
        <v>6.72</v>
      </c>
      <c r="Q32" s="715">
        <f t="shared" si="2"/>
        <v>2062.3679999999999</v>
      </c>
    </row>
    <row r="33" spans="1:231" ht="15.9" customHeight="1" x14ac:dyDescent="0.2">
      <c r="A33" s="711">
        <f>RUAS!A32</f>
        <v>29</v>
      </c>
      <c r="B33" s="712" t="str">
        <f>RUAS!B32</f>
        <v>RUA FOZ DO IGUAÇU - T4</v>
      </c>
      <c r="C33" s="713">
        <f>RUAS!K32</f>
        <v>107.15</v>
      </c>
      <c r="D33" s="713">
        <f>RUAS!L32+0.9</f>
        <v>9.3000000000000007</v>
      </c>
      <c r="E33" s="714">
        <v>449.26</v>
      </c>
      <c r="F33" s="715">
        <v>0</v>
      </c>
      <c r="G33" s="715">
        <f>RUAS!N32</f>
        <v>21.469999999999995</v>
      </c>
      <c r="H33" s="711">
        <f>'SUBLEITO-BASE-SUB.'!I33+'SUBLEITO-BASE-SUB.'!K33+0.025</f>
        <v>0.42500000000000004</v>
      </c>
      <c r="I33" s="715">
        <f t="shared" si="0"/>
        <v>9.1199999999999992</v>
      </c>
      <c r="J33" s="715">
        <f t="shared" si="3"/>
        <v>458.38</v>
      </c>
      <c r="K33" s="716">
        <f t="shared" si="1"/>
        <v>0</v>
      </c>
      <c r="L33" s="715">
        <f t="shared" si="4"/>
        <v>458.38</v>
      </c>
      <c r="M33" s="715">
        <f t="shared" si="6"/>
        <v>1.25</v>
      </c>
      <c r="N33" s="717">
        <f>ÍNDICE!$E$15</f>
        <v>2.73</v>
      </c>
      <c r="O33" s="717">
        <f t="shared" si="5"/>
        <v>1564.22</v>
      </c>
      <c r="P33" s="717">
        <f t="shared" si="7"/>
        <v>6.72</v>
      </c>
      <c r="Q33" s="715">
        <f t="shared" si="2"/>
        <v>3850.3919999999998</v>
      </c>
    </row>
    <row r="34" spans="1:231" ht="15.9" customHeight="1" x14ac:dyDescent="0.2">
      <c r="A34" s="711">
        <f>RUAS!A33</f>
        <v>30</v>
      </c>
      <c r="B34" s="712" t="str">
        <f>RUAS!B33</f>
        <v>RUA CARAZINHO</v>
      </c>
      <c r="C34" s="713">
        <f>RUAS!K33</f>
        <v>195.55</v>
      </c>
      <c r="D34" s="713">
        <f>RUAS!L33+0.9</f>
        <v>9.3000000000000007</v>
      </c>
      <c r="E34" s="714">
        <v>499.6</v>
      </c>
      <c r="F34" s="715">
        <v>0</v>
      </c>
      <c r="G34" s="715">
        <f>RUAS!N33</f>
        <v>67.73</v>
      </c>
      <c r="H34" s="711">
        <f>'SUBLEITO-BASE-SUB.'!I34+'SUBLEITO-BASE-SUB.'!K34+0.025</f>
        <v>0.42500000000000004</v>
      </c>
      <c r="I34" s="715">
        <f t="shared" si="0"/>
        <v>28.78</v>
      </c>
      <c r="J34" s="715">
        <f t="shared" si="3"/>
        <v>528.38</v>
      </c>
      <c r="K34" s="716">
        <f t="shared" si="1"/>
        <v>0</v>
      </c>
      <c r="L34" s="715">
        <f t="shared" si="4"/>
        <v>528.38</v>
      </c>
      <c r="M34" s="715">
        <f t="shared" si="6"/>
        <v>1.25</v>
      </c>
      <c r="N34" s="717">
        <f>ÍNDICE!$E$15</f>
        <v>2.73</v>
      </c>
      <c r="O34" s="717">
        <f t="shared" si="5"/>
        <v>1803.09</v>
      </c>
      <c r="P34" s="717">
        <f t="shared" si="7"/>
        <v>6.72</v>
      </c>
      <c r="Q34" s="715">
        <f t="shared" si="2"/>
        <v>4438.3919999999998</v>
      </c>
    </row>
    <row r="35" spans="1:231" ht="15.9" customHeight="1" x14ac:dyDescent="0.2">
      <c r="A35" s="711">
        <f>RUAS!A34</f>
        <v>31</v>
      </c>
      <c r="B35" s="712" t="str">
        <f>RUAS!B34</f>
        <v>RUA LONDRINA</v>
      </c>
      <c r="C35" s="713">
        <f>RUAS!K34</f>
        <v>169.91</v>
      </c>
      <c r="D35" s="713">
        <f>RUAS!L34+0.9</f>
        <v>7.3000000000000007</v>
      </c>
      <c r="E35" s="714">
        <v>459.49</v>
      </c>
      <c r="F35" s="715">
        <v>0</v>
      </c>
      <c r="G35" s="715">
        <f>RUAS!N34</f>
        <v>10.41</v>
      </c>
      <c r="H35" s="711">
        <f>'SUBLEITO-BASE-SUB.'!I35+'SUBLEITO-BASE-SUB.'!K35+0.025</f>
        <v>0.42500000000000004</v>
      </c>
      <c r="I35" s="715">
        <f t="shared" si="0"/>
        <v>4.42</v>
      </c>
      <c r="J35" s="715">
        <f t="shared" si="3"/>
        <v>463.91</v>
      </c>
      <c r="K35" s="716">
        <f t="shared" si="1"/>
        <v>0</v>
      </c>
      <c r="L35" s="715">
        <f t="shared" si="4"/>
        <v>463.91</v>
      </c>
      <c r="M35" s="715">
        <f t="shared" si="6"/>
        <v>1.25</v>
      </c>
      <c r="N35" s="717">
        <f>ÍNDICE!$E$15</f>
        <v>2.73</v>
      </c>
      <c r="O35" s="717">
        <f t="shared" si="5"/>
        <v>1583.09</v>
      </c>
      <c r="P35" s="717">
        <f t="shared" si="7"/>
        <v>6.72</v>
      </c>
      <c r="Q35" s="715">
        <f t="shared" si="2"/>
        <v>3896.8440000000001</v>
      </c>
    </row>
    <row r="36" spans="1:231" ht="15.9" customHeight="1" x14ac:dyDescent="0.2">
      <c r="A36" s="711">
        <f>RUAS!A35</f>
        <v>32</v>
      </c>
      <c r="B36" s="712" t="str">
        <f>RUAS!B35</f>
        <v>RUA CENTRO NOVO</v>
      </c>
      <c r="C36" s="713">
        <f>RUAS!K35</f>
        <v>302.98</v>
      </c>
      <c r="D36" s="713">
        <f>RUAS!L35+0.9</f>
        <v>7.3000000000000007</v>
      </c>
      <c r="E36" s="715">
        <v>648.69000000000005</v>
      </c>
      <c r="F36" s="716">
        <v>10.17</v>
      </c>
      <c r="G36" s="715">
        <f>RUAS!N35</f>
        <v>22.2</v>
      </c>
      <c r="H36" s="711">
        <f>'SUBLEITO-BASE-SUB.'!I36+'SUBLEITO-BASE-SUB.'!K36+0.025</f>
        <v>0.42500000000000004</v>
      </c>
      <c r="I36" s="715">
        <f t="shared" si="0"/>
        <v>9.43</v>
      </c>
      <c r="J36" s="715">
        <f t="shared" si="3"/>
        <v>658.12</v>
      </c>
      <c r="K36" s="716">
        <f t="shared" si="1"/>
        <v>10.17</v>
      </c>
      <c r="L36" s="715">
        <f t="shared" si="4"/>
        <v>647.95000000000005</v>
      </c>
      <c r="M36" s="715">
        <f t="shared" si="6"/>
        <v>1.25</v>
      </c>
      <c r="N36" s="717">
        <f>ÍNDICE!$E$15</f>
        <v>2.73</v>
      </c>
      <c r="O36" s="717">
        <f t="shared" si="5"/>
        <v>2211.12</v>
      </c>
      <c r="P36" s="717">
        <f t="shared" si="7"/>
        <v>6.72</v>
      </c>
      <c r="Q36" s="715">
        <f t="shared" si="2"/>
        <v>5442.78</v>
      </c>
    </row>
    <row r="37" spans="1:231" ht="15.9" customHeight="1" x14ac:dyDescent="0.2">
      <c r="A37" s="711">
        <f>RUAS!A36</f>
        <v>33</v>
      </c>
      <c r="B37" s="712" t="str">
        <f>RUAS!B36</f>
        <v>RUA DESEMIGRADOS</v>
      </c>
      <c r="C37" s="713">
        <f>RUAS!K36</f>
        <v>347.62</v>
      </c>
      <c r="D37" s="713">
        <f>RUAS!L36+0.9</f>
        <v>9.3000000000000007</v>
      </c>
      <c r="E37" s="714">
        <v>984.2</v>
      </c>
      <c r="F37" s="715">
        <v>0</v>
      </c>
      <c r="G37" s="715">
        <f>RUAS!N36</f>
        <v>10.73</v>
      </c>
      <c r="H37" s="711">
        <f>'SUBLEITO-BASE-SUB.'!I37+'SUBLEITO-BASE-SUB.'!K37+0.025</f>
        <v>0.42500000000000004</v>
      </c>
      <c r="I37" s="715">
        <f t="shared" si="0"/>
        <v>4.5599999999999996</v>
      </c>
      <c r="J37" s="715">
        <f t="shared" si="3"/>
        <v>988.76</v>
      </c>
      <c r="K37" s="716">
        <f t="shared" si="1"/>
        <v>0</v>
      </c>
      <c r="L37" s="715">
        <f t="shared" si="4"/>
        <v>988.76</v>
      </c>
      <c r="M37" s="715">
        <f t="shared" si="6"/>
        <v>1.25</v>
      </c>
      <c r="N37" s="717">
        <f>ÍNDICE!$E$15</f>
        <v>2.73</v>
      </c>
      <c r="O37" s="717">
        <f t="shared" si="5"/>
        <v>3374.14</v>
      </c>
      <c r="P37" s="717">
        <f t="shared" si="7"/>
        <v>6.72</v>
      </c>
      <c r="Q37" s="715">
        <f t="shared" si="2"/>
        <v>8305.5840000000007</v>
      </c>
    </row>
    <row r="38" spans="1:231" ht="15.9" customHeight="1" x14ac:dyDescent="0.2">
      <c r="A38" s="711">
        <f>RUAS!A37</f>
        <v>34</v>
      </c>
      <c r="B38" s="712" t="str">
        <f>RUAS!B37</f>
        <v>RUA MARIALVA - T1</v>
      </c>
      <c r="C38" s="713">
        <f>RUAS!K37</f>
        <v>501.6</v>
      </c>
      <c r="D38" s="713">
        <f>RUAS!L37+0.9</f>
        <v>7.3000000000000007</v>
      </c>
      <c r="E38" s="714">
        <v>1018.6</v>
      </c>
      <c r="F38" s="715">
        <v>0.35</v>
      </c>
      <c r="G38" s="715">
        <f>RUAS!N37</f>
        <v>21.48</v>
      </c>
      <c r="H38" s="711">
        <f>'SUBLEITO-BASE-SUB.'!I38+'SUBLEITO-BASE-SUB.'!K38+0.025</f>
        <v>0.42500000000000004</v>
      </c>
      <c r="I38" s="715">
        <f t="shared" si="0"/>
        <v>9.1199999999999992</v>
      </c>
      <c r="J38" s="715">
        <f t="shared" si="3"/>
        <v>1027.72</v>
      </c>
      <c r="K38" s="716">
        <f t="shared" si="1"/>
        <v>0.35</v>
      </c>
      <c r="L38" s="715">
        <f t="shared" si="4"/>
        <v>1027.3699999999999</v>
      </c>
      <c r="M38" s="715">
        <f t="shared" si="6"/>
        <v>1.25</v>
      </c>
      <c r="N38" s="717">
        <f>ÍNDICE!$E$15</f>
        <v>2.73</v>
      </c>
      <c r="O38" s="717">
        <f t="shared" si="5"/>
        <v>3505.9</v>
      </c>
      <c r="P38" s="717">
        <f t="shared" si="7"/>
        <v>6.72</v>
      </c>
      <c r="Q38" s="715">
        <f t="shared" si="2"/>
        <v>8629.9079999999994</v>
      </c>
    </row>
    <row r="39" spans="1:231" ht="15.9" customHeight="1" x14ac:dyDescent="0.2">
      <c r="A39" s="711">
        <f>RUAS!A38</f>
        <v>35</v>
      </c>
      <c r="B39" s="712" t="str">
        <f>RUAS!B38</f>
        <v>RUA MARIALVA - T2</v>
      </c>
      <c r="C39" s="713">
        <f>RUAS!K38</f>
        <v>35.36</v>
      </c>
      <c r="D39" s="713">
        <f>RUAS!L38+0.9</f>
        <v>7.3000000000000007</v>
      </c>
      <c r="E39" s="714">
        <v>101.9</v>
      </c>
      <c r="F39" s="715">
        <v>0</v>
      </c>
      <c r="G39" s="715">
        <f>RUAS!N38</f>
        <v>21.470000000000002</v>
      </c>
      <c r="H39" s="711">
        <f>'SUBLEITO-BASE-SUB.'!I39+'SUBLEITO-BASE-SUB.'!K39+0.025</f>
        <v>0.42500000000000004</v>
      </c>
      <c r="I39" s="715">
        <f t="shared" si="0"/>
        <v>9.1199999999999992</v>
      </c>
      <c r="J39" s="715">
        <f t="shared" si="3"/>
        <v>111.02000000000001</v>
      </c>
      <c r="K39" s="716">
        <f t="shared" si="1"/>
        <v>0</v>
      </c>
      <c r="L39" s="715">
        <f t="shared" si="4"/>
        <v>111.02</v>
      </c>
      <c r="M39" s="715">
        <f t="shared" si="6"/>
        <v>1.25</v>
      </c>
      <c r="N39" s="717">
        <f>ÍNDICE!$E$15</f>
        <v>2.73</v>
      </c>
      <c r="O39" s="717">
        <f t="shared" si="5"/>
        <v>378.85</v>
      </c>
      <c r="P39" s="717">
        <f t="shared" si="7"/>
        <v>6.72</v>
      </c>
      <c r="Q39" s="715">
        <f t="shared" si="2"/>
        <v>932.56799999999998</v>
      </c>
    </row>
    <row r="40" spans="1:231" ht="15.9" customHeight="1" x14ac:dyDescent="0.2">
      <c r="A40" s="711">
        <f>RUAS!A39</f>
        <v>36</v>
      </c>
      <c r="B40" s="712" t="str">
        <f>RUAS!B39</f>
        <v>RUA MARIALVA - T3</v>
      </c>
      <c r="C40" s="713">
        <f>RUAS!K39</f>
        <v>138.94999999999999</v>
      </c>
      <c r="D40" s="713">
        <f>RUAS!L39+0.9</f>
        <v>7.3000000000000007</v>
      </c>
      <c r="E40" s="714">
        <v>348.64</v>
      </c>
      <c r="F40" s="715">
        <v>0</v>
      </c>
      <c r="G40" s="715">
        <f>RUAS!N39</f>
        <v>21.74</v>
      </c>
      <c r="H40" s="711">
        <f>'SUBLEITO-BASE-SUB.'!I40+'SUBLEITO-BASE-SUB.'!K40+0.025</f>
        <v>0.42500000000000004</v>
      </c>
      <c r="I40" s="715">
        <f t="shared" si="0"/>
        <v>9.23</v>
      </c>
      <c r="J40" s="715">
        <f t="shared" si="3"/>
        <v>357.87</v>
      </c>
      <c r="K40" s="716">
        <f t="shared" si="1"/>
        <v>0</v>
      </c>
      <c r="L40" s="715">
        <f t="shared" si="4"/>
        <v>357.87</v>
      </c>
      <c r="M40" s="715">
        <f t="shared" si="6"/>
        <v>1.25</v>
      </c>
      <c r="N40" s="717">
        <f>ÍNDICE!$E$15</f>
        <v>2.73</v>
      </c>
      <c r="O40" s="717">
        <f t="shared" si="5"/>
        <v>1221.23</v>
      </c>
      <c r="P40" s="717">
        <f t="shared" si="7"/>
        <v>6.72</v>
      </c>
      <c r="Q40" s="715">
        <f t="shared" si="2"/>
        <v>3006.1080000000002</v>
      </c>
    </row>
    <row r="41" spans="1:231" ht="15.9" customHeight="1" x14ac:dyDescent="0.2">
      <c r="A41" s="711">
        <f>RUAS!A40</f>
        <v>37</v>
      </c>
      <c r="B41" s="712" t="str">
        <f>RUAS!B40</f>
        <v>RUA CAMPO LARGO</v>
      </c>
      <c r="C41" s="713">
        <f>RUAS!K40</f>
        <v>78.400000000000006</v>
      </c>
      <c r="D41" s="713">
        <f>RUAS!L40+0.9</f>
        <v>7.3000000000000007</v>
      </c>
      <c r="E41" s="714">
        <v>245.53</v>
      </c>
      <c r="F41" s="715">
        <v>0</v>
      </c>
      <c r="G41" s="715">
        <f>RUAS!N40</f>
        <v>21.46</v>
      </c>
      <c r="H41" s="711">
        <f>'SUBLEITO-BASE-SUB.'!I41+'SUBLEITO-BASE-SUB.'!K41+0.025</f>
        <v>0.42500000000000004</v>
      </c>
      <c r="I41" s="715">
        <f t="shared" si="0"/>
        <v>9.1199999999999992</v>
      </c>
      <c r="J41" s="715">
        <f t="shared" si="3"/>
        <v>254.65</v>
      </c>
      <c r="K41" s="716">
        <f t="shared" si="1"/>
        <v>0</v>
      </c>
      <c r="L41" s="715">
        <f t="shared" si="4"/>
        <v>254.65</v>
      </c>
      <c r="M41" s="715">
        <f t="shared" si="6"/>
        <v>1.25</v>
      </c>
      <c r="N41" s="717">
        <f>ÍNDICE!$E$15</f>
        <v>2.73</v>
      </c>
      <c r="O41" s="717">
        <f t="shared" si="5"/>
        <v>868.99</v>
      </c>
      <c r="P41" s="717">
        <f t="shared" si="7"/>
        <v>6.72</v>
      </c>
      <c r="Q41" s="715">
        <f t="shared" si="2"/>
        <v>2139.06</v>
      </c>
    </row>
    <row r="42" spans="1:231" ht="15.9" customHeight="1" x14ac:dyDescent="0.25">
      <c r="A42" s="711">
        <f>RUAS!A41</f>
        <v>38</v>
      </c>
      <c r="B42" s="712" t="str">
        <f>RUAS!B41</f>
        <v>RUA PARANAGUÁ</v>
      </c>
      <c r="C42" s="713">
        <f>RUAS!K41</f>
        <v>787.23</v>
      </c>
      <c r="D42" s="713">
        <f>RUAS!L41+0.6</f>
        <v>7</v>
      </c>
      <c r="E42" s="714">
        <v>1057.79</v>
      </c>
      <c r="F42" s="715">
        <v>42.43</v>
      </c>
      <c r="G42" s="715">
        <f>RUAS!N41</f>
        <v>46.459999999999994</v>
      </c>
      <c r="H42" s="711">
        <f>'SUBLEITO-BASE-SUB.'!I42+'SUBLEITO-BASE-SUB.'!K42+0.025</f>
        <v>0.42500000000000004</v>
      </c>
      <c r="I42" s="715">
        <f t="shared" si="0"/>
        <v>19.739999999999998</v>
      </c>
      <c r="J42" s="715">
        <f t="shared" si="3"/>
        <v>1077.53</v>
      </c>
      <c r="K42" s="716">
        <f t="shared" si="1"/>
        <v>42.43</v>
      </c>
      <c r="L42" s="715">
        <f t="shared" si="4"/>
        <v>1035.0999999999999</v>
      </c>
      <c r="M42" s="715">
        <f t="shared" si="6"/>
        <v>1.25</v>
      </c>
      <c r="N42" s="717">
        <f>ÍNDICE!$E$15</f>
        <v>2.73</v>
      </c>
      <c r="O42" s="717">
        <f t="shared" si="5"/>
        <v>3532.27</v>
      </c>
      <c r="P42" s="717">
        <f t="shared" si="7"/>
        <v>6.72</v>
      </c>
      <c r="Q42" s="715">
        <f t="shared" si="2"/>
        <v>8694.84</v>
      </c>
    </row>
    <row r="43" spans="1:231" ht="15.9" customHeight="1" x14ac:dyDescent="0.25">
      <c r="A43" s="711">
        <f>RUAS!A42</f>
        <v>39</v>
      </c>
      <c r="B43" s="712" t="str">
        <f>RUAS!B42</f>
        <v>RUA CAMPINAS</v>
      </c>
      <c r="C43" s="713">
        <f>RUAS!K42</f>
        <v>404.93</v>
      </c>
      <c r="D43" s="713">
        <f>RUAS!L42+0.6</f>
        <v>7.6</v>
      </c>
      <c r="E43" s="714">
        <v>814.6</v>
      </c>
      <c r="F43" s="715">
        <v>1.67</v>
      </c>
      <c r="G43" s="715">
        <f>RUAS!N42</f>
        <v>54.1</v>
      </c>
      <c r="H43" s="711">
        <f>'SUBLEITO-BASE-SUB.'!I43+'SUBLEITO-BASE-SUB.'!K43+0.025</f>
        <v>0.42500000000000004</v>
      </c>
      <c r="I43" s="715">
        <f t="shared" si="0"/>
        <v>22.99</v>
      </c>
      <c r="J43" s="715">
        <f t="shared" si="3"/>
        <v>837.59</v>
      </c>
      <c r="K43" s="716">
        <f t="shared" si="1"/>
        <v>1.67</v>
      </c>
      <c r="L43" s="715">
        <f t="shared" si="4"/>
        <v>835.92</v>
      </c>
      <c r="M43" s="715">
        <f t="shared" si="6"/>
        <v>1.25</v>
      </c>
      <c r="N43" s="717">
        <f>ÍNDICE!$E$15</f>
        <v>2.73</v>
      </c>
      <c r="O43" s="717">
        <f t="shared" si="5"/>
        <v>2852.57</v>
      </c>
      <c r="P43" s="717">
        <f t="shared" si="7"/>
        <v>6.72</v>
      </c>
      <c r="Q43" s="715">
        <f t="shared" si="2"/>
        <v>7021.7280000000001</v>
      </c>
    </row>
    <row r="44" spans="1:231" ht="15.9" customHeight="1" x14ac:dyDescent="0.25">
      <c r="A44" s="711">
        <f>RUAS!A43</f>
        <v>40</v>
      </c>
      <c r="B44" s="712" t="str">
        <f>RUAS!B43</f>
        <v>ACESSO 1</v>
      </c>
      <c r="C44" s="713">
        <f>RUAS!K43</f>
        <v>20.7</v>
      </c>
      <c r="D44" s="713">
        <f>RUAS!L43+0.3</f>
        <v>8.3000000000000007</v>
      </c>
      <c r="E44" s="714">
        <v>57.37</v>
      </c>
      <c r="F44" s="715">
        <v>0</v>
      </c>
      <c r="G44" s="715">
        <v>0</v>
      </c>
      <c r="H44" s="711">
        <f>'SUBLEITO-BASE-SUB.'!I44+'SUBLEITO-BASE-SUB.'!K44+0.025</f>
        <v>0.42500000000000004</v>
      </c>
      <c r="I44" s="715">
        <f t="shared" si="0"/>
        <v>0</v>
      </c>
      <c r="J44" s="715">
        <f t="shared" si="3"/>
        <v>57.37</v>
      </c>
      <c r="K44" s="716">
        <f t="shared" si="1"/>
        <v>0</v>
      </c>
      <c r="L44" s="715">
        <f t="shared" si="4"/>
        <v>57.37</v>
      </c>
      <c r="M44" s="715">
        <f t="shared" si="6"/>
        <v>1.25</v>
      </c>
      <c r="N44" s="717">
        <f>ÍNDICE!$E$15</f>
        <v>2.73</v>
      </c>
      <c r="O44" s="717">
        <f t="shared" si="5"/>
        <v>195.77</v>
      </c>
      <c r="P44" s="717">
        <f t="shared" si="7"/>
        <v>6.72</v>
      </c>
      <c r="Q44" s="715">
        <f t="shared" si="2"/>
        <v>481.90800000000002</v>
      </c>
    </row>
    <row r="45" spans="1:231" ht="15.9" customHeight="1" x14ac:dyDescent="0.25">
      <c r="A45" s="711">
        <f>RUAS!A44</f>
        <v>41</v>
      </c>
      <c r="B45" s="712" t="str">
        <f>RUAS!B44</f>
        <v>ACESSO 2</v>
      </c>
      <c r="C45" s="713">
        <f>RUAS!K44</f>
        <v>21.2</v>
      </c>
      <c r="D45" s="713">
        <f>RUAS!L44+0.3</f>
        <v>8.3000000000000007</v>
      </c>
      <c r="E45" s="714">
        <v>33.75</v>
      </c>
      <c r="F45" s="715">
        <v>4.47</v>
      </c>
      <c r="G45" s="715">
        <v>0</v>
      </c>
      <c r="H45" s="711">
        <f>'SUBLEITO-BASE-SUB.'!I45+'SUBLEITO-BASE-SUB.'!K45+0.025</f>
        <v>0.42500000000000004</v>
      </c>
      <c r="I45" s="715">
        <f t="shared" si="0"/>
        <v>0</v>
      </c>
      <c r="J45" s="715">
        <f t="shared" si="3"/>
        <v>33.75</v>
      </c>
      <c r="K45" s="716">
        <f t="shared" si="1"/>
        <v>4.47</v>
      </c>
      <c r="L45" s="715">
        <f t="shared" si="4"/>
        <v>29.28</v>
      </c>
      <c r="M45" s="715">
        <f t="shared" si="6"/>
        <v>1.25</v>
      </c>
      <c r="N45" s="717">
        <f>ÍNDICE!$E$15</f>
        <v>2.73</v>
      </c>
      <c r="O45" s="717">
        <f t="shared" si="5"/>
        <v>99.91</v>
      </c>
      <c r="P45" s="717">
        <f t="shared" si="7"/>
        <v>6.72</v>
      </c>
      <c r="Q45" s="715">
        <f t="shared" si="2"/>
        <v>245.952</v>
      </c>
    </row>
    <row r="46" spans="1:231" ht="30" customHeight="1" x14ac:dyDescent="0.25">
      <c r="A46" s="1227" t="s">
        <v>498</v>
      </c>
      <c r="B46" s="1228"/>
      <c r="C46" s="695">
        <f>TRUNC(SUM(C5:C45),2)</f>
        <v>5903.17</v>
      </c>
      <c r="D46" s="695"/>
      <c r="E46" s="695">
        <f>TRUNC(SUM(E5:E45),2)</f>
        <v>16916.57</v>
      </c>
      <c r="F46" s="695">
        <f>TRUNC(SUM(F5:F45),2)</f>
        <v>59.45</v>
      </c>
      <c r="G46" s="695"/>
      <c r="H46" s="718"/>
      <c r="I46" s="695">
        <f>TRUNC(SUM(I5:I45),2)</f>
        <v>340.39</v>
      </c>
      <c r="J46" s="695">
        <f>TRUNC(SUM(J5:J45),2)</f>
        <v>17256.96</v>
      </c>
      <c r="K46" s="695">
        <f>TRUNC(SUM(K5:K45),2)</f>
        <v>59.45</v>
      </c>
      <c r="L46" s="695">
        <f>TRUNC(SUM(L5:L45),2)</f>
        <v>17197.509999999998</v>
      </c>
      <c r="M46" s="695"/>
      <c r="N46" s="695"/>
      <c r="O46" s="695">
        <f>TRUNC(SUM(O5:O45),2)</f>
        <v>58686.31</v>
      </c>
      <c r="P46" s="695"/>
      <c r="Q46" s="695">
        <f>TRUNC(SUM(Q5:Q45),2)</f>
        <v>144459.07999999999</v>
      </c>
      <c r="R46" s="465"/>
      <c r="S46" s="463"/>
      <c r="T46" s="463"/>
      <c r="U46" s="463"/>
      <c r="V46" s="463"/>
      <c r="W46" s="464"/>
      <c r="X46" s="465"/>
      <c r="Y46" s="463"/>
      <c r="Z46" s="463"/>
      <c r="AA46" s="463"/>
      <c r="AB46" s="463"/>
      <c r="AC46" s="464"/>
      <c r="AD46" s="465"/>
      <c r="AE46" s="463"/>
      <c r="AF46" s="463"/>
      <c r="AG46" s="463"/>
      <c r="AH46" s="463"/>
      <c r="AI46" s="464"/>
      <c r="AJ46" s="465"/>
      <c r="AK46" s="463"/>
      <c r="AL46" s="463"/>
      <c r="AM46" s="463"/>
      <c r="AN46" s="463"/>
      <c r="AO46" s="464"/>
      <c r="AP46" s="465"/>
      <c r="AQ46" s="463"/>
      <c r="AR46" s="463"/>
      <c r="AS46" s="463"/>
      <c r="AT46" s="463"/>
      <c r="AU46" s="464"/>
      <c r="AV46" s="465"/>
      <c r="AW46" s="463"/>
      <c r="AX46" s="463"/>
      <c r="AY46" s="463"/>
      <c r="AZ46" s="463"/>
      <c r="BA46" s="464"/>
      <c r="BB46" s="465"/>
      <c r="BC46" s="463"/>
      <c r="BD46" s="463"/>
      <c r="BE46" s="463"/>
      <c r="BF46" s="463"/>
      <c r="BG46" s="464"/>
      <c r="BH46" s="465"/>
      <c r="BI46" s="463"/>
      <c r="BJ46" s="463"/>
      <c r="BK46" s="463"/>
      <c r="BL46" s="463"/>
      <c r="BM46" s="464"/>
      <c r="BN46" s="465"/>
      <c r="BO46" s="463"/>
      <c r="BP46" s="463"/>
      <c r="BQ46" s="463"/>
      <c r="BR46" s="463"/>
      <c r="BS46" s="464"/>
      <c r="BT46" s="465"/>
      <c r="BU46" s="463"/>
      <c r="BV46" s="463"/>
      <c r="BW46" s="463"/>
      <c r="BX46" s="463"/>
      <c r="BY46" s="464"/>
      <c r="BZ46" s="465"/>
      <c r="CA46" s="463"/>
      <c r="CB46" s="463"/>
      <c r="CC46" s="463"/>
      <c r="CD46" s="463"/>
      <c r="CE46" s="464"/>
      <c r="CF46" s="465"/>
      <c r="CG46" s="463"/>
      <c r="CH46" s="463"/>
      <c r="CI46" s="463"/>
      <c r="CJ46" s="463"/>
      <c r="CK46" s="464"/>
      <c r="CL46" s="465"/>
      <c r="CM46" s="463"/>
      <c r="CN46" s="463"/>
      <c r="CO46" s="463"/>
      <c r="CP46" s="463"/>
      <c r="CQ46" s="464"/>
      <c r="CR46" s="465"/>
      <c r="CS46" s="463"/>
      <c r="CT46" s="463"/>
      <c r="CU46" s="463"/>
      <c r="CV46" s="463"/>
      <c r="CW46" s="464"/>
      <c r="CX46" s="465"/>
      <c r="CY46" s="463"/>
      <c r="CZ46" s="463"/>
      <c r="DA46" s="463"/>
      <c r="DB46" s="463"/>
      <c r="DC46" s="464"/>
      <c r="DD46" s="465"/>
      <c r="DE46" s="463"/>
      <c r="DF46" s="463"/>
      <c r="DG46" s="463"/>
      <c r="DH46" s="463"/>
      <c r="DI46" s="464"/>
      <c r="DJ46" s="465"/>
      <c r="DK46" s="463"/>
      <c r="DL46" s="463"/>
      <c r="DM46" s="463"/>
      <c r="DN46" s="463"/>
      <c r="DO46" s="464"/>
      <c r="DP46" s="465"/>
      <c r="DQ46" s="463"/>
      <c r="DR46" s="463"/>
      <c r="DS46" s="463"/>
      <c r="DT46" s="463"/>
      <c r="DU46" s="464"/>
      <c r="DV46" s="465"/>
      <c r="DW46" s="463"/>
      <c r="DX46" s="463"/>
      <c r="DY46" s="463"/>
      <c r="DZ46" s="463"/>
      <c r="EA46" s="464"/>
      <c r="EB46" s="465"/>
      <c r="EC46" s="463"/>
      <c r="ED46" s="463"/>
      <c r="EE46" s="463"/>
      <c r="EF46" s="463"/>
      <c r="EG46" s="464"/>
      <c r="EH46" s="465"/>
      <c r="EI46" s="463"/>
      <c r="EJ46" s="463"/>
      <c r="EK46" s="463"/>
      <c r="EL46" s="463"/>
      <c r="EM46" s="464"/>
      <c r="EN46" s="465"/>
      <c r="EO46" s="463"/>
      <c r="EP46" s="463"/>
      <c r="EQ46" s="463"/>
      <c r="ER46" s="463"/>
      <c r="ES46" s="464"/>
      <c r="ET46" s="465"/>
      <c r="EU46" s="463"/>
      <c r="EV46" s="463"/>
      <c r="EW46" s="463"/>
      <c r="EX46" s="463"/>
      <c r="EY46" s="464"/>
      <c r="EZ46" s="465"/>
      <c r="FA46" s="463"/>
      <c r="FB46" s="463"/>
      <c r="FC46" s="463"/>
      <c r="FD46" s="463"/>
      <c r="FE46" s="464"/>
      <c r="FF46" s="465"/>
      <c r="FG46" s="463"/>
      <c r="FH46" s="463"/>
      <c r="FI46" s="463"/>
      <c r="FJ46" s="463"/>
      <c r="FK46" s="464"/>
      <c r="FL46" s="465"/>
      <c r="FM46" s="463"/>
      <c r="FN46" s="463"/>
      <c r="FO46" s="463"/>
      <c r="FP46" s="463"/>
      <c r="FQ46" s="464"/>
      <c r="FR46" s="465"/>
      <c r="FS46" s="463"/>
      <c r="FT46" s="463"/>
      <c r="FU46" s="463"/>
      <c r="FV46" s="463"/>
      <c r="FW46" s="464"/>
      <c r="FX46" s="465"/>
      <c r="FY46" s="463"/>
      <c r="FZ46" s="463"/>
      <c r="GA46" s="463"/>
      <c r="GB46" s="463"/>
      <c r="GC46" s="464"/>
      <c r="GD46" s="465"/>
      <c r="GE46" s="463"/>
      <c r="GF46" s="463"/>
      <c r="GG46" s="463"/>
      <c r="GH46" s="463"/>
      <c r="GI46" s="464"/>
      <c r="GJ46" s="465"/>
      <c r="GK46" s="463"/>
      <c r="GL46" s="463"/>
      <c r="GM46" s="463"/>
      <c r="GN46" s="463"/>
      <c r="GO46" s="464"/>
      <c r="GP46" s="465"/>
      <c r="GQ46" s="463"/>
      <c r="GR46" s="463"/>
      <c r="GS46" s="463"/>
      <c r="GT46" s="463"/>
      <c r="GU46" s="464"/>
      <c r="GV46" s="465"/>
      <c r="GW46" s="463"/>
      <c r="GX46" s="463"/>
      <c r="GY46" s="463"/>
      <c r="GZ46" s="463"/>
      <c r="HA46" s="464"/>
      <c r="HB46" s="465"/>
      <c r="HC46" s="463"/>
      <c r="HD46" s="463"/>
      <c r="HE46" s="463"/>
      <c r="HF46" s="463"/>
      <c r="HG46" s="464"/>
      <c r="HH46" s="465"/>
      <c r="HI46" s="463"/>
      <c r="HJ46" s="463"/>
      <c r="HK46" s="463"/>
      <c r="HL46" s="463"/>
      <c r="HM46" s="464"/>
      <c r="HN46" s="465"/>
      <c r="HO46" s="463"/>
      <c r="HP46" s="463"/>
      <c r="HQ46" s="463"/>
      <c r="HR46" s="463"/>
      <c r="HS46" s="464"/>
      <c r="HT46" s="465"/>
      <c r="HU46" s="463"/>
      <c r="HV46" s="463"/>
      <c r="HW46" s="463"/>
    </row>
    <row r="47" spans="1:231" x14ac:dyDescent="0.25">
      <c r="A47" s="1284" t="s">
        <v>499</v>
      </c>
      <c r="B47" s="1285"/>
      <c r="C47" s="1285"/>
      <c r="D47" s="1285"/>
      <c r="E47" s="1285"/>
      <c r="F47" s="1285"/>
      <c r="G47" s="1285"/>
      <c r="H47" s="1285"/>
      <c r="I47" s="1285"/>
      <c r="J47" s="1285"/>
      <c r="K47" s="1285"/>
      <c r="L47" s="1285"/>
      <c r="M47" s="645"/>
      <c r="N47" s="645"/>
      <c r="O47" s="645"/>
      <c r="P47" s="645"/>
      <c r="Q47" s="719"/>
    </row>
    <row r="48" spans="1:231" x14ac:dyDescent="0.25">
      <c r="A48" s="1286" t="s">
        <v>500</v>
      </c>
      <c r="B48" s="1287"/>
      <c r="C48" s="1287"/>
      <c r="D48" s="1287"/>
      <c r="E48" s="1287"/>
      <c r="F48" s="1287"/>
      <c r="G48" s="1287"/>
      <c r="H48" s="1287"/>
      <c r="I48" s="1287"/>
      <c r="J48" s="1287"/>
      <c r="K48" s="1287"/>
      <c r="L48" s="1287"/>
      <c r="Q48" s="413"/>
    </row>
    <row r="49" spans="1:17" x14ac:dyDescent="0.25">
      <c r="A49" s="1288" t="s">
        <v>501</v>
      </c>
      <c r="B49" s="1289"/>
      <c r="C49" s="1289"/>
      <c r="D49" s="1289"/>
      <c r="E49" s="1289"/>
      <c r="F49" s="1289"/>
      <c r="G49" s="1289"/>
      <c r="H49" s="1289"/>
      <c r="I49" s="1289"/>
      <c r="J49" s="1289"/>
      <c r="K49" s="1289"/>
      <c r="L49" s="1289"/>
      <c r="M49" s="414"/>
      <c r="N49" s="414"/>
      <c r="O49" s="414"/>
      <c r="P49" s="414"/>
      <c r="Q49" s="416"/>
    </row>
    <row r="51" spans="1:17" x14ac:dyDescent="0.25">
      <c r="G51" s="645"/>
      <c r="I51" s="645"/>
      <c r="J51" s="645"/>
    </row>
    <row r="54" spans="1:17" x14ac:dyDescent="0.25">
      <c r="O54" s="720"/>
    </row>
  </sheetData>
  <mergeCells count="16">
    <mergeCell ref="A49:L49"/>
    <mergeCell ref="A1:Q1"/>
    <mergeCell ref="A2:A4"/>
    <mergeCell ref="B2:B4"/>
    <mergeCell ref="C2:C3"/>
    <mergeCell ref="D2:D3"/>
    <mergeCell ref="E2:F2"/>
    <mergeCell ref="G2:I2"/>
    <mergeCell ref="J2:J3"/>
    <mergeCell ref="K2:K3"/>
    <mergeCell ref="L2:L3"/>
    <mergeCell ref="M2:Q2"/>
    <mergeCell ref="M3:M4"/>
    <mergeCell ref="A46:B46"/>
    <mergeCell ref="A47:L47"/>
    <mergeCell ref="A48:L48"/>
  </mergeCells>
  <printOptions horizontalCentered="1"/>
  <pageMargins left="0.59055118110236227" right="0.59055118110236227" top="1.7716535433070868" bottom="0.78740157480314965" header="0" footer="0"/>
  <pageSetup paperSize="9" scale="51" fitToHeight="100" orientation="landscape" r:id="rId1"/>
  <headerFooter scaleWithDoc="0">
    <oddHeader>&amp;L&amp;G</oddHead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8">
    <tabColor rgb="FF00B0F0"/>
    <pageSetUpPr fitToPage="1"/>
  </sheetPr>
  <dimension ref="A1:M46"/>
  <sheetViews>
    <sheetView showGridLines="0" view="pageBreakPreview" zoomScale="85" zoomScaleNormal="85" zoomScaleSheetLayoutView="85" workbookViewId="0">
      <selection activeCell="K22" sqref="K22:L22"/>
    </sheetView>
  </sheetViews>
  <sheetFormatPr defaultColWidth="9.109375" defaultRowHeight="13.8" x14ac:dyDescent="0.25"/>
  <cols>
    <col min="1" max="1" width="10.6640625" style="721" customWidth="1"/>
    <col min="2" max="2" width="37.5546875" style="721" bestFit="1" customWidth="1"/>
    <col min="3" max="5" width="12.6640625" style="721" customWidth="1"/>
    <col min="6" max="6" width="15.88671875" style="721" customWidth="1"/>
    <col min="7" max="7" width="12.6640625" style="721" customWidth="1"/>
    <col min="8" max="8" width="1.6640625" style="721" customWidth="1"/>
    <col min="9" max="9" width="10.6640625" style="721" customWidth="1"/>
    <col min="10" max="10" width="15.6640625" style="721" customWidth="1"/>
    <col min="11" max="11" width="10.6640625" style="721" customWidth="1"/>
    <col min="12" max="13" width="15.6640625" style="721" customWidth="1"/>
    <col min="14" max="16384" width="9.109375" style="721"/>
  </cols>
  <sheetData>
    <row r="1" spans="1:13" ht="24.9" customHeight="1" x14ac:dyDescent="0.25">
      <c r="A1" s="1299" t="s">
        <v>502</v>
      </c>
      <c r="B1" s="1300"/>
      <c r="C1" s="1300"/>
      <c r="D1" s="1300"/>
      <c r="E1" s="1300"/>
      <c r="F1" s="1300"/>
      <c r="G1" s="1300"/>
      <c r="H1" s="1300"/>
      <c r="I1" s="1300"/>
      <c r="J1" s="1300"/>
      <c r="K1" s="1300"/>
      <c r="L1" s="1300"/>
      <c r="M1" s="1301"/>
    </row>
    <row r="2" spans="1:13" ht="31.5" customHeight="1" x14ac:dyDescent="0.25">
      <c r="A2" s="1302" t="s">
        <v>243</v>
      </c>
      <c r="B2" s="1302" t="s">
        <v>337</v>
      </c>
      <c r="C2" s="1304" t="s">
        <v>503</v>
      </c>
      <c r="D2" s="1305" t="s">
        <v>504</v>
      </c>
      <c r="E2" s="1305" t="s">
        <v>505</v>
      </c>
      <c r="F2" s="1305" t="s">
        <v>506</v>
      </c>
      <c r="G2" s="1305" t="s">
        <v>344</v>
      </c>
      <c r="H2" s="722"/>
      <c r="I2" s="1306" t="s">
        <v>507</v>
      </c>
      <c r="J2" s="1306"/>
      <c r="K2" s="1307" t="s">
        <v>508</v>
      </c>
      <c r="L2" s="1308"/>
      <c r="M2" s="723" t="s">
        <v>287</v>
      </c>
    </row>
    <row r="3" spans="1:13" x14ac:dyDescent="0.25">
      <c r="A3" s="1303"/>
      <c r="B3" s="1303"/>
      <c r="C3" s="1304"/>
      <c r="D3" s="1305"/>
      <c r="E3" s="1305"/>
      <c r="F3" s="1305"/>
      <c r="G3" s="1305"/>
      <c r="H3" s="722"/>
      <c r="I3" s="724" t="s">
        <v>509</v>
      </c>
      <c r="J3" s="724" t="s">
        <v>490</v>
      </c>
      <c r="K3" s="724" t="s">
        <v>509</v>
      </c>
      <c r="L3" s="724" t="s">
        <v>490</v>
      </c>
      <c r="M3" s="724" t="s">
        <v>490</v>
      </c>
    </row>
    <row r="4" spans="1:13" s="726" customFormat="1" ht="15" customHeight="1" x14ac:dyDescent="0.25">
      <c r="A4" s="1303"/>
      <c r="B4" s="1303"/>
      <c r="C4" s="725" t="s">
        <v>347</v>
      </c>
      <c r="D4" s="725" t="s">
        <v>347</v>
      </c>
      <c r="E4" s="725" t="s">
        <v>348</v>
      </c>
      <c r="F4" s="725" t="s">
        <v>348</v>
      </c>
      <c r="G4" s="725" t="s">
        <v>348</v>
      </c>
      <c r="H4" s="722"/>
      <c r="I4" s="725" t="s">
        <v>347</v>
      </c>
      <c r="J4" s="725" t="s">
        <v>495</v>
      </c>
      <c r="K4" s="725" t="s">
        <v>347</v>
      </c>
      <c r="L4" s="725" t="s">
        <v>495</v>
      </c>
      <c r="M4" s="725" t="s">
        <v>495</v>
      </c>
    </row>
    <row r="5" spans="1:13" s="726" customFormat="1" ht="15" customHeight="1" x14ac:dyDescent="0.25">
      <c r="A5" s="727">
        <f>RUAS!A4</f>
        <v>1</v>
      </c>
      <c r="B5" s="728" t="str">
        <f>RUAS!B4</f>
        <v>RUA LAGES</v>
      </c>
      <c r="C5" s="685">
        <f>RUAS!K4</f>
        <v>206.8</v>
      </c>
      <c r="D5" s="685">
        <f>TERRAPLENAGEM!D5</f>
        <v>9.3000000000000007</v>
      </c>
      <c r="E5" s="684">
        <f t="shared" ref="E5:E45" si="0">TRUNC(D5*C5,2)</f>
        <v>1923.24</v>
      </c>
      <c r="F5" s="684">
        <f>RUAS!N4</f>
        <v>0</v>
      </c>
      <c r="G5" s="729">
        <f>TRUNC((E5+F5),2)</f>
        <v>1923.24</v>
      </c>
      <c r="I5" s="685">
        <v>0.2</v>
      </c>
      <c r="J5" s="685">
        <f>G5*I5</f>
        <v>384.64800000000002</v>
      </c>
      <c r="K5" s="685">
        <v>0.2</v>
      </c>
      <c r="L5" s="685">
        <f>G5*K5</f>
        <v>384.64800000000002</v>
      </c>
      <c r="M5" s="685">
        <f>J5+L5</f>
        <v>769.29600000000005</v>
      </c>
    </row>
    <row r="6" spans="1:13" s="726" customFormat="1" ht="15" customHeight="1" x14ac:dyDescent="0.25">
      <c r="A6" s="727">
        <f>RUAS!A5</f>
        <v>2</v>
      </c>
      <c r="B6" s="728" t="str">
        <f>RUAS!B5</f>
        <v>RUA RESERVA - T1</v>
      </c>
      <c r="C6" s="685">
        <f>RUAS!K5</f>
        <v>60</v>
      </c>
      <c r="D6" s="685">
        <f>TERRAPLENAGEM!D6</f>
        <v>7.3000000000000007</v>
      </c>
      <c r="E6" s="684">
        <f t="shared" si="0"/>
        <v>438</v>
      </c>
      <c r="F6" s="684">
        <f>RUAS!N5</f>
        <v>10.74</v>
      </c>
      <c r="G6" s="729">
        <f t="shared" ref="G6:G45" si="1">TRUNC((E6+F6),2)</f>
        <v>448.74</v>
      </c>
      <c r="I6" s="685">
        <v>0.2</v>
      </c>
      <c r="J6" s="685">
        <f t="shared" ref="J6:J45" si="2">G6*I6</f>
        <v>89.748000000000005</v>
      </c>
      <c r="K6" s="685">
        <v>0.2</v>
      </c>
      <c r="L6" s="685">
        <f t="shared" ref="L6:L45" si="3">G6*K6</f>
        <v>89.748000000000005</v>
      </c>
      <c r="M6" s="685">
        <f t="shared" ref="M6:M45" si="4">J6+L6</f>
        <v>179.49600000000001</v>
      </c>
    </row>
    <row r="7" spans="1:13" s="726" customFormat="1" ht="15" customHeight="1" x14ac:dyDescent="0.25">
      <c r="A7" s="727">
        <f>RUAS!A6</f>
        <v>3</v>
      </c>
      <c r="B7" s="728" t="str">
        <f>RUAS!B6</f>
        <v>RUA RESERVA - T2</v>
      </c>
      <c r="C7" s="685">
        <f>RUAS!K6</f>
        <v>107.96</v>
      </c>
      <c r="D7" s="685">
        <f>TERRAPLENAGEM!D7</f>
        <v>7.3000000000000007</v>
      </c>
      <c r="E7" s="684">
        <f t="shared" si="0"/>
        <v>788.1</v>
      </c>
      <c r="F7" s="684">
        <f>RUAS!N6</f>
        <v>19.95</v>
      </c>
      <c r="G7" s="729">
        <f t="shared" si="1"/>
        <v>808.05</v>
      </c>
      <c r="I7" s="685">
        <v>0.2</v>
      </c>
      <c r="J7" s="685">
        <f t="shared" si="2"/>
        <v>161.61000000000001</v>
      </c>
      <c r="K7" s="685">
        <v>0.2</v>
      </c>
      <c r="L7" s="685">
        <f t="shared" si="3"/>
        <v>161.61000000000001</v>
      </c>
      <c r="M7" s="685">
        <f t="shared" si="4"/>
        <v>323.22000000000003</v>
      </c>
    </row>
    <row r="8" spans="1:13" s="726" customFormat="1" ht="15" customHeight="1" x14ac:dyDescent="0.25">
      <c r="A8" s="727">
        <f>RUAS!A7</f>
        <v>4</v>
      </c>
      <c r="B8" s="728" t="str">
        <f>RUAS!B7</f>
        <v>RUA ANDIRÁ - T1</v>
      </c>
      <c r="C8" s="685">
        <f>RUAS!K7</f>
        <v>62.75</v>
      </c>
      <c r="D8" s="685">
        <f>TERRAPLENAGEM!D8</f>
        <v>9.3000000000000007</v>
      </c>
      <c r="E8" s="684">
        <f t="shared" si="0"/>
        <v>583.57000000000005</v>
      </c>
      <c r="F8" s="684">
        <f>RUAS!N7</f>
        <v>10.870000000000001</v>
      </c>
      <c r="G8" s="729">
        <f t="shared" si="1"/>
        <v>594.44000000000005</v>
      </c>
      <c r="I8" s="685">
        <v>0.2</v>
      </c>
      <c r="J8" s="685">
        <f t="shared" si="2"/>
        <v>118.88800000000002</v>
      </c>
      <c r="K8" s="685">
        <v>0.2</v>
      </c>
      <c r="L8" s="685">
        <f t="shared" si="3"/>
        <v>118.88800000000002</v>
      </c>
      <c r="M8" s="685">
        <f t="shared" si="4"/>
        <v>237.77600000000004</v>
      </c>
    </row>
    <row r="9" spans="1:13" s="726" customFormat="1" ht="15" customHeight="1" x14ac:dyDescent="0.25">
      <c r="A9" s="727">
        <f>RUAS!A8</f>
        <v>5</v>
      </c>
      <c r="B9" s="728" t="str">
        <f>RUAS!B8</f>
        <v>RUA ANDIRÁ - T2</v>
      </c>
      <c r="C9" s="685">
        <f>RUAS!K8</f>
        <v>105.78</v>
      </c>
      <c r="D9" s="685">
        <f>TERRAPLENAGEM!D9</f>
        <v>9.3000000000000007</v>
      </c>
      <c r="E9" s="684">
        <f t="shared" si="0"/>
        <v>983.75</v>
      </c>
      <c r="F9" s="684">
        <f>RUAS!N8</f>
        <v>21.34</v>
      </c>
      <c r="G9" s="729">
        <f t="shared" si="1"/>
        <v>1005.09</v>
      </c>
      <c r="I9" s="685">
        <v>0.2</v>
      </c>
      <c r="J9" s="685">
        <f t="shared" si="2"/>
        <v>201.01800000000003</v>
      </c>
      <c r="K9" s="685">
        <v>0.2</v>
      </c>
      <c r="L9" s="685">
        <f t="shared" si="3"/>
        <v>201.01800000000003</v>
      </c>
      <c r="M9" s="685">
        <f t="shared" si="4"/>
        <v>402.03600000000006</v>
      </c>
    </row>
    <row r="10" spans="1:13" s="726" customFormat="1" ht="15" customHeight="1" x14ac:dyDescent="0.25">
      <c r="A10" s="727">
        <f>RUAS!A9</f>
        <v>6</v>
      </c>
      <c r="B10" s="728" t="str">
        <f>RUAS!B9</f>
        <v>AVENIDA SETE DE SETEMBRO - LE</v>
      </c>
      <c r="C10" s="685">
        <f>RUAS!K9</f>
        <v>172.34</v>
      </c>
      <c r="D10" s="685">
        <f>TERRAPLENAGEM!D10</f>
        <v>10.3</v>
      </c>
      <c r="E10" s="684">
        <f t="shared" si="0"/>
        <v>1775.1</v>
      </c>
      <c r="F10" s="684">
        <f>RUAS!N9</f>
        <v>10.74</v>
      </c>
      <c r="G10" s="729">
        <f t="shared" si="1"/>
        <v>1785.84</v>
      </c>
      <c r="I10" s="685">
        <v>0.2</v>
      </c>
      <c r="J10" s="685">
        <f t="shared" si="2"/>
        <v>357.16800000000001</v>
      </c>
      <c r="K10" s="685">
        <v>0.2</v>
      </c>
      <c r="L10" s="685">
        <f t="shared" si="3"/>
        <v>357.16800000000001</v>
      </c>
      <c r="M10" s="685">
        <f t="shared" si="4"/>
        <v>714.33600000000001</v>
      </c>
    </row>
    <row r="11" spans="1:13" s="726" customFormat="1" ht="15" customHeight="1" x14ac:dyDescent="0.25">
      <c r="A11" s="727">
        <f>RUAS!A10</f>
        <v>7</v>
      </c>
      <c r="B11" s="728" t="str">
        <f>RUAS!B10</f>
        <v>AVENIDA SETE DE SETEMBRO - LD</v>
      </c>
      <c r="C11" s="685">
        <f>RUAS!K10</f>
        <v>174.87</v>
      </c>
      <c r="D11" s="685">
        <f>TERRAPLENAGEM!D11</f>
        <v>10.3</v>
      </c>
      <c r="E11" s="684">
        <f t="shared" si="0"/>
        <v>1801.16</v>
      </c>
      <c r="F11" s="684">
        <f>RUAS!N10</f>
        <v>10.73</v>
      </c>
      <c r="G11" s="729">
        <f t="shared" si="1"/>
        <v>1811.89</v>
      </c>
      <c r="I11" s="685">
        <v>0.2</v>
      </c>
      <c r="J11" s="685">
        <f t="shared" si="2"/>
        <v>362.37800000000004</v>
      </c>
      <c r="K11" s="685">
        <v>0.2</v>
      </c>
      <c r="L11" s="685">
        <f t="shared" si="3"/>
        <v>362.37800000000004</v>
      </c>
      <c r="M11" s="685">
        <f t="shared" si="4"/>
        <v>724.75600000000009</v>
      </c>
    </row>
    <row r="12" spans="1:13" s="726" customFormat="1" ht="15" customHeight="1" x14ac:dyDescent="0.25">
      <c r="A12" s="727">
        <f>RUAS!A11</f>
        <v>8</v>
      </c>
      <c r="B12" s="728" t="str">
        <f>RUAS!B11</f>
        <v>RUA INDEPENDÊNCIA - T1</v>
      </c>
      <c r="C12" s="685">
        <f>RUAS!K11</f>
        <v>64.849999999999994</v>
      </c>
      <c r="D12" s="685">
        <f>TERRAPLENAGEM!D12</f>
        <v>9.3000000000000007</v>
      </c>
      <c r="E12" s="684">
        <f t="shared" si="0"/>
        <v>603.1</v>
      </c>
      <c r="F12" s="684">
        <f>RUAS!N11</f>
        <v>10.73</v>
      </c>
      <c r="G12" s="729">
        <f t="shared" si="1"/>
        <v>613.83000000000004</v>
      </c>
      <c r="I12" s="685">
        <v>0.2</v>
      </c>
      <c r="J12" s="685">
        <f t="shared" si="2"/>
        <v>122.76600000000002</v>
      </c>
      <c r="K12" s="685">
        <v>0.2</v>
      </c>
      <c r="L12" s="685">
        <f t="shared" si="3"/>
        <v>122.76600000000002</v>
      </c>
      <c r="M12" s="685">
        <f t="shared" si="4"/>
        <v>245.53200000000004</v>
      </c>
    </row>
    <row r="13" spans="1:13" s="726" customFormat="1" ht="15" customHeight="1" x14ac:dyDescent="0.25">
      <c r="A13" s="727">
        <f>RUAS!A12</f>
        <v>9</v>
      </c>
      <c r="B13" s="728" t="str">
        <f>RUAS!B12</f>
        <v>RUA INDEPENDÊNCIA - T2</v>
      </c>
      <c r="C13" s="685">
        <f>RUAS!K12</f>
        <v>106</v>
      </c>
      <c r="D13" s="685">
        <f>TERRAPLENAGEM!D13</f>
        <v>9.3000000000000007</v>
      </c>
      <c r="E13" s="684">
        <f t="shared" si="0"/>
        <v>985.8</v>
      </c>
      <c r="F13" s="684">
        <f>RUAS!N12</f>
        <v>21.47</v>
      </c>
      <c r="G13" s="729">
        <f t="shared" si="1"/>
        <v>1007.27</v>
      </c>
      <c r="I13" s="685">
        <v>0.2</v>
      </c>
      <c r="J13" s="685">
        <f t="shared" si="2"/>
        <v>201.45400000000001</v>
      </c>
      <c r="K13" s="685">
        <v>0.2</v>
      </c>
      <c r="L13" s="685">
        <f t="shared" si="3"/>
        <v>201.45400000000001</v>
      </c>
      <c r="M13" s="685">
        <f t="shared" si="4"/>
        <v>402.90800000000002</v>
      </c>
    </row>
    <row r="14" spans="1:13" s="726" customFormat="1" ht="15" customHeight="1" x14ac:dyDescent="0.25">
      <c r="A14" s="727">
        <f>RUAS!A13</f>
        <v>10</v>
      </c>
      <c r="B14" s="728" t="str">
        <f>RUAS!B13</f>
        <v>RUA PARANAVAÍ - T1</v>
      </c>
      <c r="C14" s="685">
        <f>RUAS!K13</f>
        <v>56.22</v>
      </c>
      <c r="D14" s="685">
        <f>TERRAPLENAGEM!D14</f>
        <v>9.3000000000000007</v>
      </c>
      <c r="E14" s="684">
        <f t="shared" si="0"/>
        <v>522.84</v>
      </c>
      <c r="F14" s="684">
        <f>RUAS!N13</f>
        <v>10.81</v>
      </c>
      <c r="G14" s="729">
        <f t="shared" si="1"/>
        <v>533.65</v>
      </c>
      <c r="I14" s="685">
        <v>0.2</v>
      </c>
      <c r="J14" s="685">
        <f t="shared" si="2"/>
        <v>106.73</v>
      </c>
      <c r="K14" s="685">
        <v>0.2</v>
      </c>
      <c r="L14" s="685">
        <f t="shared" si="3"/>
        <v>106.73</v>
      </c>
      <c r="M14" s="685">
        <f t="shared" si="4"/>
        <v>213.46</v>
      </c>
    </row>
    <row r="15" spans="1:13" s="726" customFormat="1" ht="15" customHeight="1" x14ac:dyDescent="0.25">
      <c r="A15" s="727">
        <f>RUAS!A14</f>
        <v>11</v>
      </c>
      <c r="B15" s="728" t="str">
        <f>RUAS!B14</f>
        <v>RUA PARANAVAÍ - T2</v>
      </c>
      <c r="C15" s="685">
        <f>RUAS!K14</f>
        <v>105.74</v>
      </c>
      <c r="D15" s="685">
        <f>TERRAPLENAGEM!D15</f>
        <v>9.3000000000000007</v>
      </c>
      <c r="E15" s="684">
        <f t="shared" si="0"/>
        <v>983.38</v>
      </c>
      <c r="F15" s="684">
        <f>RUAS!N14</f>
        <v>21.37</v>
      </c>
      <c r="G15" s="729">
        <f t="shared" si="1"/>
        <v>1004.75</v>
      </c>
      <c r="I15" s="685">
        <v>0.2</v>
      </c>
      <c r="J15" s="685">
        <f t="shared" si="2"/>
        <v>200.95000000000002</v>
      </c>
      <c r="K15" s="685">
        <v>0.2</v>
      </c>
      <c r="L15" s="685">
        <f t="shared" si="3"/>
        <v>200.95000000000002</v>
      </c>
      <c r="M15" s="685">
        <f t="shared" si="4"/>
        <v>401.90000000000003</v>
      </c>
    </row>
    <row r="16" spans="1:13" s="726" customFormat="1" ht="15" customHeight="1" x14ac:dyDescent="0.25">
      <c r="A16" s="727">
        <f>RUAS!A15</f>
        <v>12</v>
      </c>
      <c r="B16" s="728" t="str">
        <f>RUAS!B15</f>
        <v>RUA PONTA GROSSA - T1</v>
      </c>
      <c r="C16" s="685">
        <f>RUAS!K15</f>
        <v>153.6</v>
      </c>
      <c r="D16" s="685">
        <f>TERRAPLENAGEM!D16</f>
        <v>9.3000000000000007</v>
      </c>
      <c r="E16" s="684">
        <f t="shared" si="0"/>
        <v>1428.48</v>
      </c>
      <c r="F16" s="684">
        <f>RUAS!N15</f>
        <v>10.73</v>
      </c>
      <c r="G16" s="729">
        <f t="shared" si="1"/>
        <v>1439.21</v>
      </c>
      <c r="I16" s="685">
        <v>0.2</v>
      </c>
      <c r="J16" s="685">
        <f t="shared" si="2"/>
        <v>287.84200000000004</v>
      </c>
      <c r="K16" s="685">
        <v>0.2</v>
      </c>
      <c r="L16" s="685">
        <f t="shared" si="3"/>
        <v>287.84200000000004</v>
      </c>
      <c r="M16" s="685">
        <f t="shared" si="4"/>
        <v>575.68400000000008</v>
      </c>
    </row>
    <row r="17" spans="1:13" s="726" customFormat="1" ht="15" customHeight="1" x14ac:dyDescent="0.25">
      <c r="A17" s="727">
        <f>RUAS!A16</f>
        <v>13</v>
      </c>
      <c r="B17" s="728" t="str">
        <f>RUAS!B16</f>
        <v>RUA PONTA GROSSA - T2</v>
      </c>
      <c r="C17" s="685">
        <f>RUAS!K16</f>
        <v>82.35</v>
      </c>
      <c r="D17" s="685">
        <f>TERRAPLENAGEM!D17</f>
        <v>9.3000000000000007</v>
      </c>
      <c r="E17" s="684">
        <f t="shared" si="0"/>
        <v>765.85</v>
      </c>
      <c r="F17" s="684">
        <f>RUAS!N16</f>
        <v>21.56</v>
      </c>
      <c r="G17" s="729">
        <f t="shared" si="1"/>
        <v>787.41</v>
      </c>
      <c r="I17" s="685">
        <v>0.2</v>
      </c>
      <c r="J17" s="685">
        <f t="shared" si="2"/>
        <v>157.482</v>
      </c>
      <c r="K17" s="685">
        <v>0.2</v>
      </c>
      <c r="L17" s="685">
        <f t="shared" si="3"/>
        <v>157.482</v>
      </c>
      <c r="M17" s="685">
        <f t="shared" si="4"/>
        <v>314.964</v>
      </c>
    </row>
    <row r="18" spans="1:13" s="726" customFormat="1" ht="15" customHeight="1" x14ac:dyDescent="0.25">
      <c r="A18" s="727">
        <f>RUAS!A17</f>
        <v>14</v>
      </c>
      <c r="B18" s="728" t="str">
        <f>RUAS!B17</f>
        <v>RUA PONTA GROSSA - T3</v>
      </c>
      <c r="C18" s="685">
        <f>RUAS!K17</f>
        <v>106.62</v>
      </c>
      <c r="D18" s="685">
        <f>TERRAPLENAGEM!D18</f>
        <v>9.3000000000000007</v>
      </c>
      <c r="E18" s="684">
        <f t="shared" si="0"/>
        <v>991.56</v>
      </c>
      <c r="F18" s="684">
        <f>RUAS!N17</f>
        <v>21.4</v>
      </c>
      <c r="G18" s="729">
        <f t="shared" si="1"/>
        <v>1012.96</v>
      </c>
      <c r="I18" s="685">
        <v>0.2</v>
      </c>
      <c r="J18" s="685">
        <f t="shared" si="2"/>
        <v>202.59200000000001</v>
      </c>
      <c r="K18" s="685">
        <v>0.2</v>
      </c>
      <c r="L18" s="685">
        <f t="shared" si="3"/>
        <v>202.59200000000001</v>
      </c>
      <c r="M18" s="685">
        <f t="shared" si="4"/>
        <v>405.18400000000003</v>
      </c>
    </row>
    <row r="19" spans="1:13" s="726" customFormat="1" ht="15" customHeight="1" x14ac:dyDescent="0.25">
      <c r="A19" s="727">
        <f>RUAS!A18</f>
        <v>15</v>
      </c>
      <c r="B19" s="728" t="str">
        <f>RUAS!B18</f>
        <v>RUA ASTORGA - T1</v>
      </c>
      <c r="C19" s="685">
        <f>RUAS!K18</f>
        <v>69.680000000000007</v>
      </c>
      <c r="D19" s="685">
        <f>TERRAPLENAGEM!D19</f>
        <v>9.3000000000000007</v>
      </c>
      <c r="E19" s="684">
        <f t="shared" si="0"/>
        <v>648.02</v>
      </c>
      <c r="F19" s="684">
        <f>RUAS!N18</f>
        <v>21.21</v>
      </c>
      <c r="G19" s="729">
        <f t="shared" si="1"/>
        <v>669.23</v>
      </c>
      <c r="I19" s="685">
        <v>0.2</v>
      </c>
      <c r="J19" s="685">
        <f t="shared" si="2"/>
        <v>133.846</v>
      </c>
      <c r="K19" s="685">
        <v>0.2</v>
      </c>
      <c r="L19" s="685">
        <f t="shared" si="3"/>
        <v>133.846</v>
      </c>
      <c r="M19" s="685">
        <f t="shared" si="4"/>
        <v>267.69200000000001</v>
      </c>
    </row>
    <row r="20" spans="1:13" s="726" customFormat="1" ht="15" customHeight="1" x14ac:dyDescent="0.25">
      <c r="A20" s="727">
        <f>RUAS!A19</f>
        <v>16</v>
      </c>
      <c r="B20" s="728" t="str">
        <f>RUAS!B19</f>
        <v>RUA ASTORGA - T2</v>
      </c>
      <c r="C20" s="685">
        <f>RUAS!K19</f>
        <v>105.91</v>
      </c>
      <c r="D20" s="685">
        <f>TERRAPLENAGEM!D20</f>
        <v>9.3000000000000007</v>
      </c>
      <c r="E20" s="684">
        <f t="shared" si="0"/>
        <v>984.96</v>
      </c>
      <c r="F20" s="684">
        <f>RUAS!N19</f>
        <v>21.46</v>
      </c>
      <c r="G20" s="729">
        <f t="shared" si="1"/>
        <v>1006.42</v>
      </c>
      <c r="I20" s="685">
        <v>0.2</v>
      </c>
      <c r="J20" s="685">
        <f t="shared" si="2"/>
        <v>201.28399999999999</v>
      </c>
      <c r="K20" s="685">
        <v>0.2</v>
      </c>
      <c r="L20" s="685">
        <f t="shared" si="3"/>
        <v>201.28399999999999</v>
      </c>
      <c r="M20" s="685">
        <f t="shared" si="4"/>
        <v>402.56799999999998</v>
      </c>
    </row>
    <row r="21" spans="1:13" s="726" customFormat="1" ht="15" customHeight="1" x14ac:dyDescent="0.25">
      <c r="A21" s="727">
        <f>RUAS!A20</f>
        <v>17</v>
      </c>
      <c r="B21" s="728" t="str">
        <f>RUAS!B20</f>
        <v>RUA ASTORGA - T3</v>
      </c>
      <c r="C21" s="685">
        <f>RUAS!K20</f>
        <v>81.88</v>
      </c>
      <c r="D21" s="685">
        <f>TERRAPLENAGEM!D21</f>
        <v>9.3000000000000007</v>
      </c>
      <c r="E21" s="684">
        <f t="shared" si="0"/>
        <v>761.48</v>
      </c>
      <c r="F21" s="684">
        <f>RUAS!N20</f>
        <v>21.47</v>
      </c>
      <c r="G21" s="729">
        <f t="shared" si="1"/>
        <v>782.95</v>
      </c>
      <c r="I21" s="685">
        <v>0.2</v>
      </c>
      <c r="J21" s="685">
        <f t="shared" si="2"/>
        <v>156.59000000000003</v>
      </c>
      <c r="K21" s="685">
        <v>0.2</v>
      </c>
      <c r="L21" s="685">
        <f t="shared" si="3"/>
        <v>156.59000000000003</v>
      </c>
      <c r="M21" s="685">
        <f t="shared" si="4"/>
        <v>313.18000000000006</v>
      </c>
    </row>
    <row r="22" spans="1:13" s="726" customFormat="1" ht="15" customHeight="1" x14ac:dyDescent="0.25">
      <c r="A22" s="727">
        <f>RUAS!A21</f>
        <v>18</v>
      </c>
      <c r="B22" s="728" t="str">
        <f>RUAS!B21</f>
        <v>RUA ASTORGA - T4</v>
      </c>
      <c r="C22" s="685">
        <f>RUAS!K21</f>
        <v>107.06</v>
      </c>
      <c r="D22" s="685">
        <f>TERRAPLENAGEM!D22</f>
        <v>9.3000000000000007</v>
      </c>
      <c r="E22" s="684">
        <f t="shared" si="0"/>
        <v>995.65</v>
      </c>
      <c r="F22" s="684">
        <f>RUAS!N21</f>
        <v>21.47</v>
      </c>
      <c r="G22" s="729">
        <f t="shared" si="1"/>
        <v>1017.12</v>
      </c>
      <c r="I22" s="685">
        <v>0.2</v>
      </c>
      <c r="J22" s="685">
        <f t="shared" si="2"/>
        <v>203.42400000000001</v>
      </c>
      <c r="K22" s="685">
        <v>0.2</v>
      </c>
      <c r="L22" s="685">
        <f t="shared" si="3"/>
        <v>203.42400000000001</v>
      </c>
      <c r="M22" s="685">
        <f t="shared" si="4"/>
        <v>406.84800000000001</v>
      </c>
    </row>
    <row r="23" spans="1:13" s="726" customFormat="1" ht="15" customHeight="1" x14ac:dyDescent="0.25">
      <c r="A23" s="727">
        <f>RUAS!A22</f>
        <v>19</v>
      </c>
      <c r="B23" s="728" t="str">
        <f>RUAS!B22</f>
        <v>RUA SÃO JOSÉ DOS PINHAIS - T1</v>
      </c>
      <c r="C23" s="685">
        <f>RUAS!K22</f>
        <v>41.1</v>
      </c>
      <c r="D23" s="685">
        <f>TERRAPLENAGEM!D23</f>
        <v>9.3000000000000007</v>
      </c>
      <c r="E23" s="684">
        <f t="shared" si="0"/>
        <v>382.23</v>
      </c>
      <c r="F23" s="684">
        <f>RUAS!N22</f>
        <v>11.39</v>
      </c>
      <c r="G23" s="729">
        <f t="shared" si="1"/>
        <v>393.62</v>
      </c>
      <c r="I23" s="685">
        <v>0.2</v>
      </c>
      <c r="J23" s="685">
        <f t="shared" si="2"/>
        <v>78.724000000000004</v>
      </c>
      <c r="K23" s="685">
        <v>0.2</v>
      </c>
      <c r="L23" s="685">
        <f t="shared" si="3"/>
        <v>78.724000000000004</v>
      </c>
      <c r="M23" s="685">
        <f t="shared" si="4"/>
        <v>157.44800000000001</v>
      </c>
    </row>
    <row r="24" spans="1:13" s="726" customFormat="1" ht="15" customHeight="1" x14ac:dyDescent="0.25">
      <c r="A24" s="727">
        <f>RUAS!A23</f>
        <v>20</v>
      </c>
      <c r="B24" s="728" t="str">
        <f>RUAS!B23</f>
        <v>RUA SÃO JOSÉ DOS PINHAIS - T2</v>
      </c>
      <c r="C24" s="685">
        <f>RUAS!K23</f>
        <v>106.74</v>
      </c>
      <c r="D24" s="685">
        <f>TERRAPLENAGEM!D24</f>
        <v>9.3000000000000007</v>
      </c>
      <c r="E24" s="684">
        <f t="shared" si="0"/>
        <v>992.68</v>
      </c>
      <c r="F24" s="684">
        <f>RUAS!N23</f>
        <v>21.57</v>
      </c>
      <c r="G24" s="729">
        <f t="shared" si="1"/>
        <v>1014.25</v>
      </c>
      <c r="I24" s="685">
        <v>0.2</v>
      </c>
      <c r="J24" s="685">
        <f t="shared" si="2"/>
        <v>202.85000000000002</v>
      </c>
      <c r="K24" s="685">
        <v>0.2</v>
      </c>
      <c r="L24" s="685">
        <f t="shared" si="3"/>
        <v>202.85000000000002</v>
      </c>
      <c r="M24" s="685">
        <f t="shared" si="4"/>
        <v>405.70000000000005</v>
      </c>
    </row>
    <row r="25" spans="1:13" s="726" customFormat="1" ht="15" customHeight="1" x14ac:dyDescent="0.25">
      <c r="A25" s="727">
        <f>RUAS!A24</f>
        <v>21</v>
      </c>
      <c r="B25" s="728" t="str">
        <f>RUAS!B24</f>
        <v>RUA SÃO JOSÉ DOS PINHAIS - T3</v>
      </c>
      <c r="C25" s="685">
        <f>RUAS!K24</f>
        <v>83</v>
      </c>
      <c r="D25" s="685">
        <f>TERRAPLENAGEM!D25</f>
        <v>9.3000000000000007</v>
      </c>
      <c r="E25" s="684">
        <f t="shared" si="0"/>
        <v>771.9</v>
      </c>
      <c r="F25" s="684">
        <f>RUAS!N24</f>
        <v>21.47</v>
      </c>
      <c r="G25" s="729">
        <f t="shared" si="1"/>
        <v>793.37</v>
      </c>
      <c r="I25" s="685">
        <v>0.2</v>
      </c>
      <c r="J25" s="685">
        <f t="shared" si="2"/>
        <v>158.67400000000001</v>
      </c>
      <c r="K25" s="685">
        <v>0.2</v>
      </c>
      <c r="L25" s="685">
        <f t="shared" si="3"/>
        <v>158.67400000000001</v>
      </c>
      <c r="M25" s="685">
        <f t="shared" si="4"/>
        <v>317.34800000000001</v>
      </c>
    </row>
    <row r="26" spans="1:13" s="726" customFormat="1" ht="15" customHeight="1" x14ac:dyDescent="0.25">
      <c r="A26" s="727">
        <f>RUAS!A25</f>
        <v>22</v>
      </c>
      <c r="B26" s="728" t="str">
        <f>RUAS!B25</f>
        <v>RUA SÃO JOSÉ DOS PINHAIS - T4</v>
      </c>
      <c r="C26" s="685">
        <f>RUAS!K25</f>
        <v>105.9</v>
      </c>
      <c r="D26" s="685">
        <f>TERRAPLENAGEM!D26</f>
        <v>9.3000000000000007</v>
      </c>
      <c r="E26" s="684">
        <f t="shared" si="0"/>
        <v>984.87</v>
      </c>
      <c r="F26" s="684">
        <f>RUAS!N25</f>
        <v>21.47</v>
      </c>
      <c r="G26" s="729">
        <f t="shared" si="1"/>
        <v>1006.34</v>
      </c>
      <c r="I26" s="685">
        <v>0.2</v>
      </c>
      <c r="J26" s="685">
        <f t="shared" si="2"/>
        <v>201.26800000000003</v>
      </c>
      <c r="K26" s="685">
        <v>0.2</v>
      </c>
      <c r="L26" s="685">
        <f t="shared" si="3"/>
        <v>201.26800000000003</v>
      </c>
      <c r="M26" s="685">
        <f t="shared" si="4"/>
        <v>402.53600000000006</v>
      </c>
    </row>
    <row r="27" spans="1:13" s="726" customFormat="1" ht="15" customHeight="1" x14ac:dyDescent="0.25">
      <c r="A27" s="727">
        <f>RUAS!A26</f>
        <v>23</v>
      </c>
      <c r="B27" s="728" t="str">
        <f>RUAS!B26</f>
        <v>RUA COLORADO - T1</v>
      </c>
      <c r="C27" s="685">
        <f>RUAS!K26</f>
        <v>106.36</v>
      </c>
      <c r="D27" s="685">
        <f>TERRAPLENAGEM!D27</f>
        <v>9.3000000000000007</v>
      </c>
      <c r="E27" s="684">
        <f t="shared" si="0"/>
        <v>989.14</v>
      </c>
      <c r="F27" s="684">
        <f>RUAS!N26</f>
        <v>21.48</v>
      </c>
      <c r="G27" s="729">
        <f t="shared" si="1"/>
        <v>1010.62</v>
      </c>
      <c r="I27" s="685">
        <v>0.2</v>
      </c>
      <c r="J27" s="685">
        <f t="shared" si="2"/>
        <v>202.12400000000002</v>
      </c>
      <c r="K27" s="685">
        <v>0.2</v>
      </c>
      <c r="L27" s="685">
        <f t="shared" si="3"/>
        <v>202.12400000000002</v>
      </c>
      <c r="M27" s="685">
        <f t="shared" si="4"/>
        <v>404.24800000000005</v>
      </c>
    </row>
    <row r="28" spans="1:13" s="726" customFormat="1" ht="15" customHeight="1" x14ac:dyDescent="0.25">
      <c r="A28" s="727">
        <f>RUAS!A27</f>
        <v>24</v>
      </c>
      <c r="B28" s="728" t="str">
        <f>RUAS!B27</f>
        <v>RUA COLORADO - T2</v>
      </c>
      <c r="C28" s="685">
        <f>RUAS!K27</f>
        <v>82.82</v>
      </c>
      <c r="D28" s="685">
        <f>TERRAPLENAGEM!D28</f>
        <v>9.3000000000000007</v>
      </c>
      <c r="E28" s="684">
        <f t="shared" si="0"/>
        <v>770.22</v>
      </c>
      <c r="F28" s="684">
        <f>RUAS!N27</f>
        <v>21.490000000000002</v>
      </c>
      <c r="G28" s="729">
        <f t="shared" si="1"/>
        <v>791.71</v>
      </c>
      <c r="I28" s="685">
        <v>0.2</v>
      </c>
      <c r="J28" s="685">
        <f t="shared" si="2"/>
        <v>158.34200000000001</v>
      </c>
      <c r="K28" s="685">
        <v>0.2</v>
      </c>
      <c r="L28" s="685">
        <f t="shared" si="3"/>
        <v>158.34200000000001</v>
      </c>
      <c r="M28" s="685">
        <f t="shared" si="4"/>
        <v>316.68400000000003</v>
      </c>
    </row>
    <row r="29" spans="1:13" s="726" customFormat="1" ht="15" customHeight="1" x14ac:dyDescent="0.25">
      <c r="A29" s="727">
        <f>RUAS!A28</f>
        <v>25</v>
      </c>
      <c r="B29" s="728" t="str">
        <f>RUAS!B28</f>
        <v>RUA COLORADO - T3</v>
      </c>
      <c r="C29" s="685">
        <f>RUAS!K28</f>
        <v>106.06</v>
      </c>
      <c r="D29" s="685">
        <f>TERRAPLENAGEM!D29</f>
        <v>9.3000000000000007</v>
      </c>
      <c r="E29" s="684">
        <f t="shared" si="0"/>
        <v>986.35</v>
      </c>
      <c r="F29" s="684">
        <f>RUAS!N28</f>
        <v>21.48</v>
      </c>
      <c r="G29" s="729">
        <f t="shared" si="1"/>
        <v>1007.83</v>
      </c>
      <c r="I29" s="685">
        <v>0.2</v>
      </c>
      <c r="J29" s="685">
        <f t="shared" si="2"/>
        <v>201.56600000000003</v>
      </c>
      <c r="K29" s="685">
        <v>0.2</v>
      </c>
      <c r="L29" s="685">
        <f t="shared" si="3"/>
        <v>201.56600000000003</v>
      </c>
      <c r="M29" s="685">
        <f t="shared" si="4"/>
        <v>403.13200000000006</v>
      </c>
    </row>
    <row r="30" spans="1:13" s="726" customFormat="1" ht="15" customHeight="1" x14ac:dyDescent="0.25">
      <c r="A30" s="727">
        <f>RUAS!A29</f>
        <v>26</v>
      </c>
      <c r="B30" s="728" t="str">
        <f>RUAS!B29</f>
        <v>RUA FOZ DO IGUAÇU - T1</v>
      </c>
      <c r="C30" s="685">
        <f>RUAS!K29</f>
        <v>41.57</v>
      </c>
      <c r="D30" s="685">
        <f>TERRAPLENAGEM!D30</f>
        <v>9.3000000000000007</v>
      </c>
      <c r="E30" s="684">
        <f t="shared" si="0"/>
        <v>386.6</v>
      </c>
      <c r="F30" s="684">
        <f>RUAS!N29</f>
        <v>10.99</v>
      </c>
      <c r="G30" s="729">
        <f t="shared" si="1"/>
        <v>397.59</v>
      </c>
      <c r="I30" s="685">
        <v>0.2</v>
      </c>
      <c r="J30" s="685">
        <f t="shared" si="2"/>
        <v>79.518000000000001</v>
      </c>
      <c r="K30" s="685">
        <v>0.2</v>
      </c>
      <c r="L30" s="685">
        <f t="shared" si="3"/>
        <v>79.518000000000001</v>
      </c>
      <c r="M30" s="685">
        <f t="shared" si="4"/>
        <v>159.036</v>
      </c>
    </row>
    <row r="31" spans="1:13" s="726" customFormat="1" ht="15" customHeight="1" x14ac:dyDescent="0.25">
      <c r="A31" s="727">
        <f>RUAS!A30</f>
        <v>27</v>
      </c>
      <c r="B31" s="728" t="str">
        <f>RUAS!B30</f>
        <v>RUA FOZ DO IGUAÇU - T2</v>
      </c>
      <c r="C31" s="685">
        <f>RUAS!K30</f>
        <v>105.8</v>
      </c>
      <c r="D31" s="685">
        <f>TERRAPLENAGEM!D31</f>
        <v>9.3000000000000007</v>
      </c>
      <c r="E31" s="684">
        <f t="shared" si="0"/>
        <v>983.94</v>
      </c>
      <c r="F31" s="684">
        <f>RUAS!N30</f>
        <v>21.2</v>
      </c>
      <c r="G31" s="729">
        <f t="shared" si="1"/>
        <v>1005.14</v>
      </c>
      <c r="I31" s="685">
        <v>0.2</v>
      </c>
      <c r="J31" s="685">
        <f t="shared" si="2"/>
        <v>201.02800000000002</v>
      </c>
      <c r="K31" s="685">
        <v>0.2</v>
      </c>
      <c r="L31" s="685">
        <f t="shared" si="3"/>
        <v>201.02800000000002</v>
      </c>
      <c r="M31" s="685">
        <f t="shared" si="4"/>
        <v>402.05600000000004</v>
      </c>
    </row>
    <row r="32" spans="1:13" s="726" customFormat="1" ht="15" customHeight="1" x14ac:dyDescent="0.25">
      <c r="A32" s="727">
        <f>RUAS!A31</f>
        <v>28</v>
      </c>
      <c r="B32" s="728" t="str">
        <f>RUAS!B31</f>
        <v>RUA FOZ DO IGUAÇU - T3</v>
      </c>
      <c r="C32" s="685">
        <f>RUAS!K31</f>
        <v>81.83</v>
      </c>
      <c r="D32" s="685">
        <f>TERRAPLENAGEM!D32</f>
        <v>9.3000000000000007</v>
      </c>
      <c r="E32" s="684">
        <f t="shared" si="0"/>
        <v>761.01</v>
      </c>
      <c r="F32" s="684">
        <f>RUAS!N31</f>
        <v>21.47</v>
      </c>
      <c r="G32" s="729">
        <f t="shared" si="1"/>
        <v>782.48</v>
      </c>
      <c r="I32" s="685">
        <v>0.2</v>
      </c>
      <c r="J32" s="685">
        <f t="shared" si="2"/>
        <v>156.49600000000001</v>
      </c>
      <c r="K32" s="685">
        <v>0.2</v>
      </c>
      <c r="L32" s="685">
        <f t="shared" si="3"/>
        <v>156.49600000000001</v>
      </c>
      <c r="M32" s="685">
        <f t="shared" si="4"/>
        <v>312.99200000000002</v>
      </c>
    </row>
    <row r="33" spans="1:13" s="726" customFormat="1" ht="15" customHeight="1" x14ac:dyDescent="0.25">
      <c r="A33" s="727">
        <f>RUAS!A32</f>
        <v>29</v>
      </c>
      <c r="B33" s="728" t="str">
        <f>RUAS!B32</f>
        <v>RUA FOZ DO IGUAÇU - T4</v>
      </c>
      <c r="C33" s="685">
        <f>RUAS!K32</f>
        <v>107.15</v>
      </c>
      <c r="D33" s="685">
        <f>TERRAPLENAGEM!D33</f>
        <v>9.3000000000000007</v>
      </c>
      <c r="E33" s="684">
        <f t="shared" si="0"/>
        <v>996.49</v>
      </c>
      <c r="F33" s="684">
        <f>RUAS!N32</f>
        <v>21.469999999999995</v>
      </c>
      <c r="G33" s="729">
        <f t="shared" si="1"/>
        <v>1017.96</v>
      </c>
      <c r="I33" s="685">
        <v>0.2</v>
      </c>
      <c r="J33" s="685">
        <f t="shared" si="2"/>
        <v>203.59200000000001</v>
      </c>
      <c r="K33" s="685">
        <v>0.2</v>
      </c>
      <c r="L33" s="685">
        <f t="shared" si="3"/>
        <v>203.59200000000001</v>
      </c>
      <c r="M33" s="685">
        <f t="shared" si="4"/>
        <v>407.18400000000003</v>
      </c>
    </row>
    <row r="34" spans="1:13" s="726" customFormat="1" ht="15" customHeight="1" x14ac:dyDescent="0.25">
      <c r="A34" s="727">
        <f>RUAS!A33</f>
        <v>30</v>
      </c>
      <c r="B34" s="728" t="str">
        <f>RUAS!B33</f>
        <v>RUA CARAZINHO</v>
      </c>
      <c r="C34" s="685">
        <f>RUAS!K33</f>
        <v>195.55</v>
      </c>
      <c r="D34" s="685">
        <f>TERRAPLENAGEM!D34</f>
        <v>9.3000000000000007</v>
      </c>
      <c r="E34" s="684">
        <f t="shared" si="0"/>
        <v>1818.61</v>
      </c>
      <c r="F34" s="684">
        <f>RUAS!N33</f>
        <v>67.73</v>
      </c>
      <c r="G34" s="729">
        <f t="shared" si="1"/>
        <v>1886.34</v>
      </c>
      <c r="I34" s="685">
        <v>0.2</v>
      </c>
      <c r="J34" s="685">
        <f t="shared" si="2"/>
        <v>377.26800000000003</v>
      </c>
      <c r="K34" s="685">
        <v>0.2</v>
      </c>
      <c r="L34" s="685">
        <f t="shared" si="3"/>
        <v>377.26800000000003</v>
      </c>
      <c r="M34" s="685">
        <f t="shared" si="4"/>
        <v>754.53600000000006</v>
      </c>
    </row>
    <row r="35" spans="1:13" s="726" customFormat="1" ht="15" customHeight="1" x14ac:dyDescent="0.25">
      <c r="A35" s="727">
        <f>RUAS!A34</f>
        <v>31</v>
      </c>
      <c r="B35" s="728" t="str">
        <f>RUAS!B34</f>
        <v>RUA LONDRINA</v>
      </c>
      <c r="C35" s="685">
        <f>RUAS!K34</f>
        <v>169.91</v>
      </c>
      <c r="D35" s="685">
        <f>TERRAPLENAGEM!D35</f>
        <v>7.3000000000000007</v>
      </c>
      <c r="E35" s="684">
        <f t="shared" si="0"/>
        <v>1240.3399999999999</v>
      </c>
      <c r="F35" s="684">
        <f>RUAS!N34</f>
        <v>10.41</v>
      </c>
      <c r="G35" s="729">
        <f t="shared" si="1"/>
        <v>1250.75</v>
      </c>
      <c r="I35" s="685">
        <v>0.2</v>
      </c>
      <c r="J35" s="685">
        <f t="shared" si="2"/>
        <v>250.15</v>
      </c>
      <c r="K35" s="685">
        <v>0.2</v>
      </c>
      <c r="L35" s="685">
        <f t="shared" si="3"/>
        <v>250.15</v>
      </c>
      <c r="M35" s="685">
        <f t="shared" si="4"/>
        <v>500.3</v>
      </c>
    </row>
    <row r="36" spans="1:13" s="726" customFormat="1" ht="15" customHeight="1" x14ac:dyDescent="0.3">
      <c r="A36" s="727">
        <f>RUAS!A35</f>
        <v>32</v>
      </c>
      <c r="B36" s="728" t="str">
        <f>RUAS!B35</f>
        <v>RUA CENTRO NOVO</v>
      </c>
      <c r="C36" s="685">
        <f>RUAS!K35</f>
        <v>302.98</v>
      </c>
      <c r="D36" s="685">
        <f>TERRAPLENAGEM!D36</f>
        <v>7.3000000000000007</v>
      </c>
      <c r="E36" s="684">
        <f t="shared" si="0"/>
        <v>2211.75</v>
      </c>
      <c r="F36" s="684">
        <f>RUAS!N35</f>
        <v>22.2</v>
      </c>
      <c r="G36" s="729">
        <f t="shared" si="1"/>
        <v>2233.9499999999998</v>
      </c>
      <c r="I36" s="685">
        <v>0.2</v>
      </c>
      <c r="J36" s="685">
        <f t="shared" si="2"/>
        <v>446.78999999999996</v>
      </c>
      <c r="K36" s="685">
        <v>0.2</v>
      </c>
      <c r="L36" s="685">
        <f t="shared" si="3"/>
        <v>446.78999999999996</v>
      </c>
      <c r="M36" s="685">
        <f t="shared" si="4"/>
        <v>893.57999999999993</v>
      </c>
    </row>
    <row r="37" spans="1:13" s="726" customFormat="1" ht="15" customHeight="1" x14ac:dyDescent="0.3">
      <c r="A37" s="727">
        <f>RUAS!A36</f>
        <v>33</v>
      </c>
      <c r="B37" s="728" t="str">
        <f>RUAS!B36</f>
        <v>RUA DESEMIGRADOS</v>
      </c>
      <c r="C37" s="685">
        <f>RUAS!K36</f>
        <v>347.62</v>
      </c>
      <c r="D37" s="685">
        <f>TERRAPLENAGEM!D37</f>
        <v>9.3000000000000007</v>
      </c>
      <c r="E37" s="684">
        <f t="shared" si="0"/>
        <v>3232.86</v>
      </c>
      <c r="F37" s="684">
        <f>RUAS!N36</f>
        <v>10.73</v>
      </c>
      <c r="G37" s="729">
        <f t="shared" si="1"/>
        <v>3243.59</v>
      </c>
      <c r="I37" s="685">
        <v>0.2</v>
      </c>
      <c r="J37" s="685">
        <f t="shared" si="2"/>
        <v>648.71800000000007</v>
      </c>
      <c r="K37" s="685">
        <v>0.2</v>
      </c>
      <c r="L37" s="685">
        <f t="shared" si="3"/>
        <v>648.71800000000007</v>
      </c>
      <c r="M37" s="685">
        <f t="shared" si="4"/>
        <v>1297.4360000000001</v>
      </c>
    </row>
    <row r="38" spans="1:13" s="726" customFormat="1" ht="15" customHeight="1" x14ac:dyDescent="0.3">
      <c r="A38" s="727">
        <f>RUAS!A37</f>
        <v>34</v>
      </c>
      <c r="B38" s="728" t="str">
        <f>RUAS!B37</f>
        <v>RUA MARIALVA - T1</v>
      </c>
      <c r="C38" s="685">
        <f>RUAS!K37</f>
        <v>501.6</v>
      </c>
      <c r="D38" s="685">
        <f>TERRAPLENAGEM!D38</f>
        <v>7.3000000000000007</v>
      </c>
      <c r="E38" s="684">
        <f t="shared" si="0"/>
        <v>3661.68</v>
      </c>
      <c r="F38" s="684">
        <f>RUAS!N37</f>
        <v>21.48</v>
      </c>
      <c r="G38" s="729">
        <f t="shared" si="1"/>
        <v>3683.16</v>
      </c>
      <c r="I38" s="685">
        <v>0.2</v>
      </c>
      <c r="J38" s="685">
        <f t="shared" si="2"/>
        <v>736.63200000000006</v>
      </c>
      <c r="K38" s="685">
        <v>0.2</v>
      </c>
      <c r="L38" s="685">
        <f t="shared" si="3"/>
        <v>736.63200000000006</v>
      </c>
      <c r="M38" s="685">
        <f t="shared" si="4"/>
        <v>1473.2640000000001</v>
      </c>
    </row>
    <row r="39" spans="1:13" s="726" customFormat="1" ht="15" customHeight="1" x14ac:dyDescent="0.3">
      <c r="A39" s="727">
        <f>RUAS!A38</f>
        <v>35</v>
      </c>
      <c r="B39" s="728" t="str">
        <f>RUAS!B38</f>
        <v>RUA MARIALVA - T2</v>
      </c>
      <c r="C39" s="685">
        <f>RUAS!K38</f>
        <v>35.36</v>
      </c>
      <c r="D39" s="685">
        <f>TERRAPLENAGEM!D39</f>
        <v>7.3000000000000007</v>
      </c>
      <c r="E39" s="684">
        <f t="shared" si="0"/>
        <v>258.12</v>
      </c>
      <c r="F39" s="684">
        <f>RUAS!N38</f>
        <v>21.470000000000002</v>
      </c>
      <c r="G39" s="729">
        <f t="shared" si="1"/>
        <v>279.58999999999997</v>
      </c>
      <c r="I39" s="685">
        <v>0.2</v>
      </c>
      <c r="J39" s="685">
        <f t="shared" si="2"/>
        <v>55.917999999999999</v>
      </c>
      <c r="K39" s="685">
        <v>0.2</v>
      </c>
      <c r="L39" s="685">
        <f t="shared" si="3"/>
        <v>55.917999999999999</v>
      </c>
      <c r="M39" s="685">
        <f t="shared" si="4"/>
        <v>111.836</v>
      </c>
    </row>
    <row r="40" spans="1:13" s="726" customFormat="1" ht="15" customHeight="1" x14ac:dyDescent="0.3">
      <c r="A40" s="727">
        <f>RUAS!A39</f>
        <v>36</v>
      </c>
      <c r="B40" s="728" t="str">
        <f>RUAS!B39</f>
        <v>RUA MARIALVA - T3</v>
      </c>
      <c r="C40" s="685">
        <f>RUAS!K39</f>
        <v>138.94999999999999</v>
      </c>
      <c r="D40" s="685">
        <f>TERRAPLENAGEM!D40</f>
        <v>7.3000000000000007</v>
      </c>
      <c r="E40" s="684">
        <f t="shared" si="0"/>
        <v>1014.33</v>
      </c>
      <c r="F40" s="684">
        <f>RUAS!N39</f>
        <v>21.74</v>
      </c>
      <c r="G40" s="729">
        <f t="shared" si="1"/>
        <v>1036.07</v>
      </c>
      <c r="I40" s="685">
        <v>0.2</v>
      </c>
      <c r="J40" s="685">
        <f t="shared" si="2"/>
        <v>207.214</v>
      </c>
      <c r="K40" s="685">
        <v>0.2</v>
      </c>
      <c r="L40" s="685">
        <f t="shared" si="3"/>
        <v>207.214</v>
      </c>
      <c r="M40" s="685">
        <f t="shared" si="4"/>
        <v>414.428</v>
      </c>
    </row>
    <row r="41" spans="1:13" s="726" customFormat="1" ht="15" customHeight="1" x14ac:dyDescent="0.3">
      <c r="A41" s="727">
        <f>RUAS!A40</f>
        <v>37</v>
      </c>
      <c r="B41" s="728" t="str">
        <f>RUAS!B40</f>
        <v>RUA CAMPO LARGO</v>
      </c>
      <c r="C41" s="685">
        <f>RUAS!K40</f>
        <v>78.400000000000006</v>
      </c>
      <c r="D41" s="685">
        <f>TERRAPLENAGEM!D41</f>
        <v>7.3000000000000007</v>
      </c>
      <c r="E41" s="684">
        <f t="shared" si="0"/>
        <v>572.32000000000005</v>
      </c>
      <c r="F41" s="684">
        <f>RUAS!N40</f>
        <v>21.46</v>
      </c>
      <c r="G41" s="729">
        <f t="shared" si="1"/>
        <v>593.78</v>
      </c>
      <c r="I41" s="685">
        <v>0.2</v>
      </c>
      <c r="J41" s="685">
        <f t="shared" si="2"/>
        <v>118.756</v>
      </c>
      <c r="K41" s="685">
        <v>0.2</v>
      </c>
      <c r="L41" s="685">
        <f t="shared" si="3"/>
        <v>118.756</v>
      </c>
      <c r="M41" s="685">
        <f t="shared" si="4"/>
        <v>237.512</v>
      </c>
    </row>
    <row r="42" spans="1:13" s="726" customFormat="1" ht="15" customHeight="1" x14ac:dyDescent="0.3">
      <c r="A42" s="727">
        <f>RUAS!A41</f>
        <v>38</v>
      </c>
      <c r="B42" s="728" t="str">
        <f>RUAS!B41</f>
        <v>RUA PARANAGUÁ</v>
      </c>
      <c r="C42" s="685">
        <f>RUAS!K41</f>
        <v>787.23</v>
      </c>
      <c r="D42" s="685">
        <f>TERRAPLENAGEM!D42</f>
        <v>7</v>
      </c>
      <c r="E42" s="684">
        <f t="shared" si="0"/>
        <v>5510.61</v>
      </c>
      <c r="F42" s="684">
        <f>RUAS!N41</f>
        <v>46.459999999999994</v>
      </c>
      <c r="G42" s="729">
        <f t="shared" si="1"/>
        <v>5557.07</v>
      </c>
      <c r="I42" s="685">
        <v>0.2</v>
      </c>
      <c r="J42" s="685">
        <f t="shared" si="2"/>
        <v>1111.414</v>
      </c>
      <c r="K42" s="685">
        <v>0.2</v>
      </c>
      <c r="L42" s="685">
        <f t="shared" si="3"/>
        <v>1111.414</v>
      </c>
      <c r="M42" s="685">
        <f t="shared" si="4"/>
        <v>2222.828</v>
      </c>
    </row>
    <row r="43" spans="1:13" s="726" customFormat="1" ht="15" customHeight="1" x14ac:dyDescent="0.3">
      <c r="A43" s="727">
        <f>RUAS!A42</f>
        <v>39</v>
      </c>
      <c r="B43" s="728" t="str">
        <f>RUAS!B42</f>
        <v>RUA CAMPINAS</v>
      </c>
      <c r="C43" s="685">
        <f>RUAS!K42</f>
        <v>404.93</v>
      </c>
      <c r="D43" s="685">
        <f>TERRAPLENAGEM!D43</f>
        <v>7.6</v>
      </c>
      <c r="E43" s="684">
        <f t="shared" si="0"/>
        <v>3077.46</v>
      </c>
      <c r="F43" s="684">
        <f>RUAS!N42</f>
        <v>54.1</v>
      </c>
      <c r="G43" s="729">
        <f t="shared" si="1"/>
        <v>3131.56</v>
      </c>
      <c r="I43" s="685">
        <v>0.2</v>
      </c>
      <c r="J43" s="685">
        <f t="shared" si="2"/>
        <v>626.31200000000001</v>
      </c>
      <c r="K43" s="685">
        <v>0.2</v>
      </c>
      <c r="L43" s="685">
        <f t="shared" si="3"/>
        <v>626.31200000000001</v>
      </c>
      <c r="M43" s="685">
        <f t="shared" si="4"/>
        <v>1252.624</v>
      </c>
    </row>
    <row r="44" spans="1:13" s="726" customFormat="1" ht="15" customHeight="1" x14ac:dyDescent="0.3">
      <c r="A44" s="727">
        <f>RUAS!A43</f>
        <v>40</v>
      </c>
      <c r="B44" s="728" t="str">
        <f>RUAS!B43</f>
        <v>ACESSO 1</v>
      </c>
      <c r="C44" s="685">
        <f>RUAS!K43</f>
        <v>20.7</v>
      </c>
      <c r="D44" s="685">
        <f>TERRAPLENAGEM!D44</f>
        <v>8.3000000000000007</v>
      </c>
      <c r="E44" s="684">
        <f t="shared" si="0"/>
        <v>171.81</v>
      </c>
      <c r="F44" s="684">
        <f>RUAS!N43</f>
        <v>22.25</v>
      </c>
      <c r="G44" s="729">
        <f t="shared" si="1"/>
        <v>194.06</v>
      </c>
      <c r="I44" s="685">
        <v>0.2</v>
      </c>
      <c r="J44" s="685">
        <f t="shared" si="2"/>
        <v>38.812000000000005</v>
      </c>
      <c r="K44" s="685">
        <v>0.2</v>
      </c>
      <c r="L44" s="685">
        <f t="shared" si="3"/>
        <v>38.812000000000005</v>
      </c>
      <c r="M44" s="685">
        <f t="shared" si="4"/>
        <v>77.624000000000009</v>
      </c>
    </row>
    <row r="45" spans="1:13" s="726" customFormat="1" ht="15" customHeight="1" x14ac:dyDescent="0.3">
      <c r="A45" s="727">
        <f>RUAS!A44</f>
        <v>41</v>
      </c>
      <c r="B45" s="728" t="str">
        <f>RUAS!B44</f>
        <v>ACESSO 2</v>
      </c>
      <c r="C45" s="685">
        <f>RUAS!K44</f>
        <v>21.2</v>
      </c>
      <c r="D45" s="685">
        <f>TERRAPLENAGEM!D45</f>
        <v>8.3000000000000007</v>
      </c>
      <c r="E45" s="684">
        <f t="shared" si="0"/>
        <v>175.96</v>
      </c>
      <c r="F45" s="684">
        <f>RUAS!N44</f>
        <v>25.869999999999997</v>
      </c>
      <c r="G45" s="729">
        <f t="shared" si="1"/>
        <v>201.83</v>
      </c>
      <c r="I45" s="685">
        <v>0.2</v>
      </c>
      <c r="J45" s="685">
        <f t="shared" si="2"/>
        <v>40.366000000000007</v>
      </c>
      <c r="K45" s="685">
        <v>0.2</v>
      </c>
      <c r="L45" s="685">
        <f t="shared" si="3"/>
        <v>40.366000000000007</v>
      </c>
      <c r="M45" s="685">
        <f t="shared" si="4"/>
        <v>80.732000000000014</v>
      </c>
    </row>
    <row r="46" spans="1:13" ht="30" customHeight="1" x14ac:dyDescent="0.25">
      <c r="A46" s="1297" t="s">
        <v>510</v>
      </c>
      <c r="B46" s="1298"/>
      <c r="C46" s="730">
        <f>TRUNC(SUM(C5:C45),2)</f>
        <v>5903.17</v>
      </c>
      <c r="D46" s="731"/>
      <c r="E46" s="730">
        <f>TRUNC(SUM(E5:E45),2)</f>
        <v>49915.32</v>
      </c>
      <c r="F46" s="730">
        <f>TRUNC(SUM(F5:F45),2)</f>
        <v>849.43</v>
      </c>
      <c r="G46" s="730">
        <f>TRUNC(SUM(G5:G45),2)</f>
        <v>50764.75</v>
      </c>
      <c r="H46" s="732"/>
      <c r="I46" s="730"/>
      <c r="J46" s="730">
        <f>TRUNC(SUM(J5:J45),2)</f>
        <v>10152.950000000001</v>
      </c>
      <c r="K46" s="730"/>
      <c r="L46" s="730">
        <f>TRUNC(SUM(L5:L45),2)</f>
        <v>10152.950000000001</v>
      </c>
      <c r="M46" s="730">
        <f>TRUNC(SUM(M5:M45),2)</f>
        <v>20305.900000000001</v>
      </c>
    </row>
  </sheetData>
  <mergeCells count="11">
    <mergeCell ref="A46:B46"/>
    <mergeCell ref="A1:M1"/>
    <mergeCell ref="A2:A4"/>
    <mergeCell ref="B2:B4"/>
    <mergeCell ref="C2:C3"/>
    <mergeCell ref="D2:D3"/>
    <mergeCell ref="E2:E3"/>
    <mergeCell ref="F2:F3"/>
    <mergeCell ref="G2:G3"/>
    <mergeCell ref="I2:J2"/>
    <mergeCell ref="K2:L2"/>
  </mergeCells>
  <printOptions horizontalCentered="1"/>
  <pageMargins left="0.59055118110236227" right="0.59055118110236227" top="1.7716535433070868" bottom="0.78740157480314965" header="0" footer="0"/>
  <pageSetup paperSize="9" scale="55" orientation="landscape" r:id="rId1"/>
  <headerFooter scaleWithDoc="0">
    <oddHeader>&amp;L&amp;G</oddHeader>
  </headerFooter>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3">
    <tabColor rgb="FF00B0F0"/>
  </sheetPr>
  <dimension ref="A1:B12"/>
  <sheetViews>
    <sheetView showGridLines="0" view="pageBreakPreview" zoomScaleNormal="85" zoomScaleSheetLayoutView="100" workbookViewId="0">
      <selection activeCell="K22" sqref="K22:L22"/>
    </sheetView>
  </sheetViews>
  <sheetFormatPr defaultColWidth="9.109375" defaultRowHeight="13.8" x14ac:dyDescent="0.25"/>
  <cols>
    <col min="1" max="1" width="10.6640625" style="721" customWidth="1"/>
    <col min="2" max="2" width="31.44140625" style="721" customWidth="1"/>
    <col min="3" max="16384" width="9.109375" style="721"/>
  </cols>
  <sheetData>
    <row r="1" spans="1:2" ht="24.9" customHeight="1" x14ac:dyDescent="0.25">
      <c r="A1" s="1299" t="s">
        <v>511</v>
      </c>
      <c r="B1" s="1301"/>
    </row>
    <row r="2" spans="1:2" ht="50.25" customHeight="1" x14ac:dyDescent="0.25">
      <c r="A2" s="1303" t="s">
        <v>512</v>
      </c>
      <c r="B2" s="1303" t="s">
        <v>513</v>
      </c>
    </row>
    <row r="3" spans="1:2" x14ac:dyDescent="0.25">
      <c r="A3" s="1303"/>
      <c r="B3" s="1303"/>
    </row>
    <row r="4" spans="1:2" ht="18" customHeight="1" x14ac:dyDescent="0.2">
      <c r="A4" s="733">
        <v>1</v>
      </c>
      <c r="B4" s="734" t="s">
        <v>514</v>
      </c>
    </row>
    <row r="5" spans="1:2" ht="18" customHeight="1" x14ac:dyDescent="0.2">
      <c r="A5" s="733">
        <v>2</v>
      </c>
      <c r="B5" s="735" t="s">
        <v>515</v>
      </c>
    </row>
    <row r="6" spans="1:2" ht="18" customHeight="1" x14ac:dyDescent="0.2">
      <c r="A6" s="733">
        <v>3</v>
      </c>
      <c r="B6" s="735" t="s">
        <v>516</v>
      </c>
    </row>
    <row r="7" spans="1:2" ht="18" customHeight="1" x14ac:dyDescent="0.2">
      <c r="A7" s="733">
        <v>4</v>
      </c>
      <c r="B7" s="735" t="s">
        <v>517</v>
      </c>
    </row>
    <row r="8" spans="1:2" ht="18" customHeight="1" x14ac:dyDescent="0.2">
      <c r="A8" s="733">
        <v>5</v>
      </c>
      <c r="B8" s="735" t="s">
        <v>518</v>
      </c>
    </row>
    <row r="9" spans="1:2" ht="18" customHeight="1" x14ac:dyDescent="0.2">
      <c r="A9" s="733">
        <v>6</v>
      </c>
      <c r="B9" s="735" t="s">
        <v>519</v>
      </c>
    </row>
    <row r="10" spans="1:2" s="726" customFormat="1" ht="18" customHeight="1" x14ac:dyDescent="0.25">
      <c r="A10" s="736">
        <v>7</v>
      </c>
      <c r="B10" s="737" t="s">
        <v>520</v>
      </c>
    </row>
    <row r="11" spans="1:2" s="726" customFormat="1" ht="18" customHeight="1" x14ac:dyDescent="0.25">
      <c r="A11" s="736">
        <v>8</v>
      </c>
      <c r="B11" s="737" t="s">
        <v>521</v>
      </c>
    </row>
    <row r="12" spans="1:2" ht="30" customHeight="1" x14ac:dyDescent="0.2">
      <c r="A12" s="1309"/>
      <c r="B12" s="1310"/>
    </row>
  </sheetData>
  <mergeCells count="4">
    <mergeCell ref="A1:B1"/>
    <mergeCell ref="A2:A3"/>
    <mergeCell ref="B2:B3"/>
    <mergeCell ref="A12:B12"/>
  </mergeCells>
  <printOptions horizontalCentered="1"/>
  <pageMargins left="0.59055118110236227" right="0.59055118110236227" top="1.7716535433070868" bottom="0.78740157480314965" header="0" footer="0"/>
  <pageSetup paperSize="9" scale="97" fitToHeight="100" orientation="portrait" r:id="rId1"/>
  <headerFooter scaleWithDoc="0">
    <oddHeader>&amp;L&amp;G</oddHead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2">
    <tabColor rgb="FF00B0F0"/>
  </sheetPr>
  <dimension ref="A1:K49"/>
  <sheetViews>
    <sheetView showGridLines="0" view="pageBreakPreview" topLeftCell="A14" zoomScale="85" zoomScaleNormal="85" zoomScaleSheetLayoutView="85" workbookViewId="0">
      <selection activeCell="K22" sqref="K22:L22"/>
    </sheetView>
  </sheetViews>
  <sheetFormatPr defaultColWidth="9.109375" defaultRowHeight="13.8" x14ac:dyDescent="0.25"/>
  <cols>
    <col min="1" max="1" width="10.6640625" style="721" customWidth="1"/>
    <col min="2" max="2" width="37.5546875" style="721" bestFit="1" customWidth="1"/>
    <col min="3" max="5" width="12.6640625" style="721" customWidth="1"/>
    <col min="6" max="6" width="15.5546875" style="721" customWidth="1"/>
    <col min="7" max="7" width="12.6640625" style="721" customWidth="1"/>
    <col min="8" max="8" width="12.5546875" style="721" customWidth="1"/>
    <col min="9" max="9" width="9.5546875" style="721" customWidth="1"/>
    <col min="10" max="10" width="12.5546875" style="721" customWidth="1"/>
    <col min="11" max="11" width="9.5546875" style="721" customWidth="1"/>
    <col min="12" max="16384" width="9.109375" style="721"/>
  </cols>
  <sheetData>
    <row r="1" spans="1:11" ht="24.9" customHeight="1" x14ac:dyDescent="0.25">
      <c r="A1" s="1299" t="s">
        <v>522</v>
      </c>
      <c r="B1" s="1300"/>
      <c r="C1" s="1300"/>
      <c r="D1" s="1300"/>
      <c r="E1" s="1300"/>
      <c r="F1" s="1300"/>
      <c r="G1" s="1300"/>
      <c r="H1" s="1300"/>
      <c r="I1" s="1300"/>
      <c r="J1" s="1300"/>
      <c r="K1" s="1301"/>
    </row>
    <row r="2" spans="1:11" ht="50.25" customHeight="1" x14ac:dyDescent="0.25">
      <c r="A2" s="1303" t="s">
        <v>243</v>
      </c>
      <c r="B2" s="1303" t="s">
        <v>337</v>
      </c>
      <c r="C2" s="738" t="s">
        <v>503</v>
      </c>
      <c r="D2" s="739" t="s">
        <v>341</v>
      </c>
      <c r="E2" s="738" t="s">
        <v>342</v>
      </c>
      <c r="F2" s="739" t="s">
        <v>506</v>
      </c>
      <c r="G2" s="739" t="s">
        <v>344</v>
      </c>
      <c r="H2" s="1311" t="s">
        <v>523</v>
      </c>
      <c r="I2" s="1312"/>
      <c r="J2" s="1311" t="s">
        <v>524</v>
      </c>
      <c r="K2" s="1312"/>
    </row>
    <row r="3" spans="1:11" x14ac:dyDescent="0.25">
      <c r="A3" s="1303"/>
      <c r="B3" s="1303"/>
      <c r="C3" s="725" t="s">
        <v>347</v>
      </c>
      <c r="D3" s="725" t="s">
        <v>347</v>
      </c>
      <c r="E3" s="725" t="s">
        <v>348</v>
      </c>
      <c r="F3" s="725" t="s">
        <v>348</v>
      </c>
      <c r="G3" s="725" t="s">
        <v>348</v>
      </c>
      <c r="H3" s="740" t="s">
        <v>525</v>
      </c>
      <c r="I3" s="741" t="s">
        <v>287</v>
      </c>
      <c r="J3" s="740" t="s">
        <v>525</v>
      </c>
      <c r="K3" s="741" t="s">
        <v>287</v>
      </c>
    </row>
    <row r="4" spans="1:11" s="726" customFormat="1" ht="20.100000000000001" customHeight="1" x14ac:dyDescent="0.25">
      <c r="A4" s="736">
        <f>RUAS!A4</f>
        <v>1</v>
      </c>
      <c r="B4" s="742" t="str">
        <f>RUAS!B4</f>
        <v>RUA LAGES</v>
      </c>
      <c r="C4" s="685">
        <f>RUAS!K4</f>
        <v>206.8</v>
      </c>
      <c r="D4" s="685">
        <f>RUAS!L4</f>
        <v>8.4</v>
      </c>
      <c r="E4" s="715">
        <f t="shared" ref="E4:E44" si="0">TRUNC(D4*C4,2)</f>
        <v>1737.12</v>
      </c>
      <c r="F4" s="729">
        <f>RUAS!N4</f>
        <v>0</v>
      </c>
      <c r="G4" s="729">
        <f>TRUNC((E4+F4),2)</f>
        <v>1737.12</v>
      </c>
      <c r="H4" s="743">
        <v>1.2999999999999999E-3</v>
      </c>
      <c r="I4" s="744">
        <f>G4*H4</f>
        <v>2.2582559999999998</v>
      </c>
      <c r="J4" s="743">
        <v>3.5000000000000001E-3</v>
      </c>
      <c r="K4" s="744">
        <f>G4*J4</f>
        <v>6.0799199999999995</v>
      </c>
    </row>
    <row r="5" spans="1:11" s="726" customFormat="1" ht="20.100000000000001" customHeight="1" x14ac:dyDescent="0.25">
      <c r="A5" s="736">
        <f>RUAS!A5</f>
        <v>2</v>
      </c>
      <c r="B5" s="742" t="str">
        <f>RUAS!B5</f>
        <v>RUA RESERVA - T1</v>
      </c>
      <c r="C5" s="685">
        <f>RUAS!K5</f>
        <v>60</v>
      </c>
      <c r="D5" s="685">
        <f>RUAS!L5</f>
        <v>6.4</v>
      </c>
      <c r="E5" s="715">
        <f t="shared" si="0"/>
        <v>384</v>
      </c>
      <c r="F5" s="729">
        <f>RUAS!N5</f>
        <v>10.74</v>
      </c>
      <c r="G5" s="729">
        <f t="shared" ref="G5:G44" si="1">TRUNC((E5+F5),2)</f>
        <v>394.74</v>
      </c>
      <c r="H5" s="743">
        <f>H4</f>
        <v>1.2999999999999999E-3</v>
      </c>
      <c r="I5" s="744">
        <f t="shared" ref="I5:I44" si="2">G5*H5</f>
        <v>0.51316200000000001</v>
      </c>
      <c r="J5" s="743">
        <f>J4</f>
        <v>3.5000000000000001E-3</v>
      </c>
      <c r="K5" s="744">
        <f t="shared" ref="K5:K44" si="3">G5*J5</f>
        <v>1.3815900000000001</v>
      </c>
    </row>
    <row r="6" spans="1:11" s="726" customFormat="1" ht="20.100000000000001" customHeight="1" x14ac:dyDescent="0.25">
      <c r="A6" s="736">
        <f>RUAS!A6</f>
        <v>3</v>
      </c>
      <c r="B6" s="742" t="str">
        <f>RUAS!B6</f>
        <v>RUA RESERVA - T2</v>
      </c>
      <c r="C6" s="685">
        <f>RUAS!K6</f>
        <v>107.96</v>
      </c>
      <c r="D6" s="685">
        <f>RUAS!L6</f>
        <v>6.4</v>
      </c>
      <c r="E6" s="715">
        <f t="shared" si="0"/>
        <v>690.94</v>
      </c>
      <c r="F6" s="729">
        <f>RUAS!N6</f>
        <v>19.95</v>
      </c>
      <c r="G6" s="729">
        <f t="shared" si="1"/>
        <v>710.89</v>
      </c>
      <c r="H6" s="743">
        <f t="shared" ref="H6:H44" si="4">H5</f>
        <v>1.2999999999999999E-3</v>
      </c>
      <c r="I6" s="744">
        <f t="shared" si="2"/>
        <v>0.9241569999999999</v>
      </c>
      <c r="J6" s="743">
        <f t="shared" ref="J6:J44" si="5">J5</f>
        <v>3.5000000000000001E-3</v>
      </c>
      <c r="K6" s="744">
        <f t="shared" si="3"/>
        <v>2.4881150000000001</v>
      </c>
    </row>
    <row r="7" spans="1:11" s="726" customFormat="1" ht="20.100000000000001" customHeight="1" x14ac:dyDescent="0.25">
      <c r="A7" s="736">
        <f>RUAS!A7</f>
        <v>4</v>
      </c>
      <c r="B7" s="742" t="str">
        <f>RUAS!B7</f>
        <v>RUA ANDIRÁ - T1</v>
      </c>
      <c r="C7" s="685">
        <f>RUAS!K7</f>
        <v>62.75</v>
      </c>
      <c r="D7" s="685">
        <f>RUAS!L7</f>
        <v>8.4</v>
      </c>
      <c r="E7" s="715">
        <f t="shared" si="0"/>
        <v>527.1</v>
      </c>
      <c r="F7" s="729">
        <f>RUAS!N7</f>
        <v>10.870000000000001</v>
      </c>
      <c r="G7" s="729">
        <f t="shared" si="1"/>
        <v>537.97</v>
      </c>
      <c r="H7" s="743">
        <f t="shared" si="4"/>
        <v>1.2999999999999999E-3</v>
      </c>
      <c r="I7" s="744">
        <f t="shared" si="2"/>
        <v>0.69936100000000001</v>
      </c>
      <c r="J7" s="743">
        <f t="shared" si="5"/>
        <v>3.5000000000000001E-3</v>
      </c>
      <c r="K7" s="744">
        <f t="shared" si="3"/>
        <v>1.8828950000000002</v>
      </c>
    </row>
    <row r="8" spans="1:11" s="726" customFormat="1" ht="20.100000000000001" customHeight="1" x14ac:dyDescent="0.25">
      <c r="A8" s="736">
        <f>RUAS!A8</f>
        <v>5</v>
      </c>
      <c r="B8" s="742" t="str">
        <f>RUAS!B8</f>
        <v>RUA ANDIRÁ - T2</v>
      </c>
      <c r="C8" s="685">
        <f>RUAS!K8</f>
        <v>105.78</v>
      </c>
      <c r="D8" s="685">
        <f>RUAS!L8</f>
        <v>8.4</v>
      </c>
      <c r="E8" s="715">
        <f t="shared" si="0"/>
        <v>888.55</v>
      </c>
      <c r="F8" s="729">
        <f>RUAS!N8</f>
        <v>21.34</v>
      </c>
      <c r="G8" s="729">
        <f t="shared" si="1"/>
        <v>909.89</v>
      </c>
      <c r="H8" s="743">
        <f t="shared" si="4"/>
        <v>1.2999999999999999E-3</v>
      </c>
      <c r="I8" s="744">
        <f t="shared" si="2"/>
        <v>1.1828569999999998</v>
      </c>
      <c r="J8" s="743">
        <f t="shared" si="5"/>
        <v>3.5000000000000001E-3</v>
      </c>
      <c r="K8" s="744">
        <f t="shared" si="3"/>
        <v>3.184615</v>
      </c>
    </row>
    <row r="9" spans="1:11" s="726" customFormat="1" ht="20.100000000000001" customHeight="1" x14ac:dyDescent="0.25">
      <c r="A9" s="736">
        <f>RUAS!A9</f>
        <v>6</v>
      </c>
      <c r="B9" s="742" t="str">
        <f>RUAS!B9</f>
        <v>AVENIDA SETE DE SETEMBRO - LE</v>
      </c>
      <c r="C9" s="685">
        <f>RUAS!K9</f>
        <v>172.34</v>
      </c>
      <c r="D9" s="685">
        <f>RUAS!L9</f>
        <v>9.4</v>
      </c>
      <c r="E9" s="715">
        <f t="shared" si="0"/>
        <v>1619.99</v>
      </c>
      <c r="F9" s="729">
        <f>RUAS!N9</f>
        <v>10.74</v>
      </c>
      <c r="G9" s="729">
        <f t="shared" si="1"/>
        <v>1630.73</v>
      </c>
      <c r="H9" s="743">
        <f t="shared" si="4"/>
        <v>1.2999999999999999E-3</v>
      </c>
      <c r="I9" s="744">
        <f t="shared" si="2"/>
        <v>2.1199490000000001</v>
      </c>
      <c r="J9" s="743">
        <f t="shared" si="5"/>
        <v>3.5000000000000001E-3</v>
      </c>
      <c r="K9" s="744">
        <f t="shared" si="3"/>
        <v>5.7075550000000002</v>
      </c>
    </row>
    <row r="10" spans="1:11" s="726" customFormat="1" ht="20.100000000000001" customHeight="1" x14ac:dyDescent="0.25">
      <c r="A10" s="736">
        <f>RUAS!A10</f>
        <v>7</v>
      </c>
      <c r="B10" s="742" t="str">
        <f>RUAS!B10</f>
        <v>AVENIDA SETE DE SETEMBRO - LD</v>
      </c>
      <c r="C10" s="685">
        <f>RUAS!K10</f>
        <v>174.87</v>
      </c>
      <c r="D10" s="685">
        <f>RUAS!L10</f>
        <v>9.4</v>
      </c>
      <c r="E10" s="715">
        <f t="shared" si="0"/>
        <v>1643.77</v>
      </c>
      <c r="F10" s="729">
        <f>RUAS!N10</f>
        <v>10.73</v>
      </c>
      <c r="G10" s="729">
        <f t="shared" si="1"/>
        <v>1654.5</v>
      </c>
      <c r="H10" s="743">
        <f t="shared" si="4"/>
        <v>1.2999999999999999E-3</v>
      </c>
      <c r="I10" s="744">
        <f t="shared" si="2"/>
        <v>2.1508499999999997</v>
      </c>
      <c r="J10" s="743">
        <f t="shared" si="5"/>
        <v>3.5000000000000001E-3</v>
      </c>
      <c r="K10" s="744">
        <f t="shared" si="3"/>
        <v>5.7907500000000001</v>
      </c>
    </row>
    <row r="11" spans="1:11" s="726" customFormat="1" ht="20.100000000000001" customHeight="1" x14ac:dyDescent="0.25">
      <c r="A11" s="736">
        <f>RUAS!A11</f>
        <v>8</v>
      </c>
      <c r="B11" s="742" t="str">
        <f>RUAS!B11</f>
        <v>RUA INDEPENDÊNCIA - T1</v>
      </c>
      <c r="C11" s="685">
        <f>RUAS!K11</f>
        <v>64.849999999999994</v>
      </c>
      <c r="D11" s="685">
        <f>RUAS!L11</f>
        <v>8.4</v>
      </c>
      <c r="E11" s="715">
        <f t="shared" si="0"/>
        <v>544.74</v>
      </c>
      <c r="F11" s="729">
        <f>RUAS!N11</f>
        <v>10.73</v>
      </c>
      <c r="G11" s="729">
        <f t="shared" si="1"/>
        <v>555.47</v>
      </c>
      <c r="H11" s="743">
        <f t="shared" si="4"/>
        <v>1.2999999999999999E-3</v>
      </c>
      <c r="I11" s="744">
        <f t="shared" si="2"/>
        <v>0.72211099999999995</v>
      </c>
      <c r="J11" s="743">
        <f t="shared" si="5"/>
        <v>3.5000000000000001E-3</v>
      </c>
      <c r="K11" s="744">
        <f t="shared" si="3"/>
        <v>1.9441450000000002</v>
      </c>
    </row>
    <row r="12" spans="1:11" s="726" customFormat="1" ht="20.100000000000001" customHeight="1" x14ac:dyDescent="0.25">
      <c r="A12" s="736">
        <f>RUAS!A12</f>
        <v>9</v>
      </c>
      <c r="B12" s="742" t="str">
        <f>RUAS!B12</f>
        <v>RUA INDEPENDÊNCIA - T2</v>
      </c>
      <c r="C12" s="685">
        <f>RUAS!K12</f>
        <v>106</v>
      </c>
      <c r="D12" s="685">
        <f>RUAS!L12</f>
        <v>8.4</v>
      </c>
      <c r="E12" s="715">
        <f t="shared" si="0"/>
        <v>890.4</v>
      </c>
      <c r="F12" s="729">
        <f>RUAS!N12</f>
        <v>21.47</v>
      </c>
      <c r="G12" s="729">
        <f t="shared" si="1"/>
        <v>911.87</v>
      </c>
      <c r="H12" s="743">
        <f t="shared" si="4"/>
        <v>1.2999999999999999E-3</v>
      </c>
      <c r="I12" s="744">
        <f t="shared" si="2"/>
        <v>1.1854309999999999</v>
      </c>
      <c r="J12" s="743">
        <f t="shared" si="5"/>
        <v>3.5000000000000001E-3</v>
      </c>
      <c r="K12" s="744">
        <f t="shared" si="3"/>
        <v>3.1915450000000001</v>
      </c>
    </row>
    <row r="13" spans="1:11" s="726" customFormat="1" ht="20.100000000000001" customHeight="1" x14ac:dyDescent="0.25">
      <c r="A13" s="736">
        <f>RUAS!A13</f>
        <v>10</v>
      </c>
      <c r="B13" s="742" t="str">
        <f>RUAS!B13</f>
        <v>RUA PARANAVAÍ - T1</v>
      </c>
      <c r="C13" s="685">
        <f>RUAS!K13</f>
        <v>56.22</v>
      </c>
      <c r="D13" s="685">
        <f>RUAS!L13</f>
        <v>8.4</v>
      </c>
      <c r="E13" s="715">
        <f t="shared" si="0"/>
        <v>472.24</v>
      </c>
      <c r="F13" s="729">
        <f>RUAS!N13</f>
        <v>10.81</v>
      </c>
      <c r="G13" s="729">
        <f t="shared" si="1"/>
        <v>483.05</v>
      </c>
      <c r="H13" s="743">
        <f t="shared" si="4"/>
        <v>1.2999999999999999E-3</v>
      </c>
      <c r="I13" s="744">
        <f t="shared" si="2"/>
        <v>0.627965</v>
      </c>
      <c r="J13" s="743">
        <f t="shared" si="5"/>
        <v>3.5000000000000001E-3</v>
      </c>
      <c r="K13" s="744">
        <f t="shared" si="3"/>
        <v>1.6906750000000001</v>
      </c>
    </row>
    <row r="14" spans="1:11" s="726" customFormat="1" ht="20.100000000000001" customHeight="1" x14ac:dyDescent="0.25">
      <c r="A14" s="736">
        <f>RUAS!A14</f>
        <v>11</v>
      </c>
      <c r="B14" s="742" t="str">
        <f>RUAS!B14</f>
        <v>RUA PARANAVAÍ - T2</v>
      </c>
      <c r="C14" s="685">
        <f>RUAS!K14</f>
        <v>105.74</v>
      </c>
      <c r="D14" s="685">
        <f>RUAS!L14</f>
        <v>8.4</v>
      </c>
      <c r="E14" s="715">
        <f t="shared" si="0"/>
        <v>888.21</v>
      </c>
      <c r="F14" s="729">
        <f>RUAS!N14</f>
        <v>21.37</v>
      </c>
      <c r="G14" s="729">
        <f t="shared" si="1"/>
        <v>909.58</v>
      </c>
      <c r="H14" s="743">
        <f t="shared" si="4"/>
        <v>1.2999999999999999E-3</v>
      </c>
      <c r="I14" s="744">
        <f t="shared" si="2"/>
        <v>1.1824539999999999</v>
      </c>
      <c r="J14" s="743">
        <f t="shared" si="5"/>
        <v>3.5000000000000001E-3</v>
      </c>
      <c r="K14" s="744">
        <f t="shared" si="3"/>
        <v>3.1835300000000002</v>
      </c>
    </row>
    <row r="15" spans="1:11" s="726" customFormat="1" ht="20.100000000000001" customHeight="1" x14ac:dyDescent="0.25">
      <c r="A15" s="736">
        <f>RUAS!A15</f>
        <v>12</v>
      </c>
      <c r="B15" s="742" t="str">
        <f>RUAS!B15</f>
        <v>RUA PONTA GROSSA - T1</v>
      </c>
      <c r="C15" s="685">
        <f>RUAS!K15</f>
        <v>153.6</v>
      </c>
      <c r="D15" s="685">
        <f>RUAS!L15</f>
        <v>8.4</v>
      </c>
      <c r="E15" s="715">
        <f t="shared" si="0"/>
        <v>1290.24</v>
      </c>
      <c r="F15" s="729">
        <f>RUAS!N15</f>
        <v>10.73</v>
      </c>
      <c r="G15" s="729">
        <f t="shared" si="1"/>
        <v>1300.97</v>
      </c>
      <c r="H15" s="743">
        <f t="shared" si="4"/>
        <v>1.2999999999999999E-3</v>
      </c>
      <c r="I15" s="744">
        <f t="shared" si="2"/>
        <v>1.6912609999999999</v>
      </c>
      <c r="J15" s="743">
        <f t="shared" si="5"/>
        <v>3.5000000000000001E-3</v>
      </c>
      <c r="K15" s="744">
        <f t="shared" si="3"/>
        <v>4.5533950000000001</v>
      </c>
    </row>
    <row r="16" spans="1:11" s="726" customFormat="1" ht="20.100000000000001" customHeight="1" x14ac:dyDescent="0.25">
      <c r="A16" s="736">
        <f>RUAS!A16</f>
        <v>13</v>
      </c>
      <c r="B16" s="742" t="str">
        <f>RUAS!B16</f>
        <v>RUA PONTA GROSSA - T2</v>
      </c>
      <c r="C16" s="685">
        <f>RUAS!K16</f>
        <v>82.35</v>
      </c>
      <c r="D16" s="685">
        <f>RUAS!L16</f>
        <v>8.4</v>
      </c>
      <c r="E16" s="715">
        <f t="shared" si="0"/>
        <v>691.74</v>
      </c>
      <c r="F16" s="729">
        <f>RUAS!N16</f>
        <v>21.56</v>
      </c>
      <c r="G16" s="729">
        <f t="shared" si="1"/>
        <v>713.3</v>
      </c>
      <c r="H16" s="743">
        <f t="shared" si="4"/>
        <v>1.2999999999999999E-3</v>
      </c>
      <c r="I16" s="744">
        <f t="shared" si="2"/>
        <v>0.92728999999999995</v>
      </c>
      <c r="J16" s="743">
        <f t="shared" si="5"/>
        <v>3.5000000000000001E-3</v>
      </c>
      <c r="K16" s="744">
        <f t="shared" si="3"/>
        <v>2.49655</v>
      </c>
    </row>
    <row r="17" spans="1:11" s="726" customFormat="1" ht="20.100000000000001" customHeight="1" x14ac:dyDescent="0.25">
      <c r="A17" s="736">
        <f>RUAS!A17</f>
        <v>14</v>
      </c>
      <c r="B17" s="742" t="str">
        <f>RUAS!B17</f>
        <v>RUA PONTA GROSSA - T3</v>
      </c>
      <c r="C17" s="685">
        <f>RUAS!K17</f>
        <v>106.62</v>
      </c>
      <c r="D17" s="685">
        <f>RUAS!L17</f>
        <v>8.4</v>
      </c>
      <c r="E17" s="715">
        <f t="shared" si="0"/>
        <v>895.6</v>
      </c>
      <c r="F17" s="729">
        <f>RUAS!N17</f>
        <v>21.4</v>
      </c>
      <c r="G17" s="729">
        <f t="shared" si="1"/>
        <v>917</v>
      </c>
      <c r="H17" s="743">
        <f t="shared" si="4"/>
        <v>1.2999999999999999E-3</v>
      </c>
      <c r="I17" s="744">
        <f t="shared" si="2"/>
        <v>1.1920999999999999</v>
      </c>
      <c r="J17" s="743">
        <f t="shared" si="5"/>
        <v>3.5000000000000001E-3</v>
      </c>
      <c r="K17" s="744">
        <f t="shared" si="3"/>
        <v>3.2095000000000002</v>
      </c>
    </row>
    <row r="18" spans="1:11" s="726" customFormat="1" ht="20.100000000000001" customHeight="1" x14ac:dyDescent="0.25">
      <c r="A18" s="736">
        <f>RUAS!A18</f>
        <v>15</v>
      </c>
      <c r="B18" s="742" t="str">
        <f>RUAS!B18</f>
        <v>RUA ASTORGA - T1</v>
      </c>
      <c r="C18" s="685">
        <f>RUAS!K18</f>
        <v>69.680000000000007</v>
      </c>
      <c r="D18" s="685">
        <f>RUAS!L18</f>
        <v>8.4</v>
      </c>
      <c r="E18" s="715">
        <f t="shared" si="0"/>
        <v>585.30999999999995</v>
      </c>
      <c r="F18" s="729">
        <f>RUAS!N18</f>
        <v>21.21</v>
      </c>
      <c r="G18" s="729">
        <f t="shared" si="1"/>
        <v>606.52</v>
      </c>
      <c r="H18" s="743">
        <f t="shared" si="4"/>
        <v>1.2999999999999999E-3</v>
      </c>
      <c r="I18" s="744">
        <f t="shared" si="2"/>
        <v>0.78847599999999995</v>
      </c>
      <c r="J18" s="743">
        <f t="shared" si="5"/>
        <v>3.5000000000000001E-3</v>
      </c>
      <c r="K18" s="744">
        <f t="shared" si="3"/>
        <v>2.1228199999999999</v>
      </c>
    </row>
    <row r="19" spans="1:11" s="726" customFormat="1" ht="20.100000000000001" customHeight="1" x14ac:dyDescent="0.25">
      <c r="A19" s="736">
        <f>RUAS!A19</f>
        <v>16</v>
      </c>
      <c r="B19" s="742" t="str">
        <f>RUAS!B19</f>
        <v>RUA ASTORGA - T2</v>
      </c>
      <c r="C19" s="685">
        <f>RUAS!K19</f>
        <v>105.91</v>
      </c>
      <c r="D19" s="685">
        <f>RUAS!L19</f>
        <v>8.4</v>
      </c>
      <c r="E19" s="715">
        <f t="shared" si="0"/>
        <v>889.64</v>
      </c>
      <c r="F19" s="729">
        <f>RUAS!N19</f>
        <v>21.46</v>
      </c>
      <c r="G19" s="729">
        <f t="shared" si="1"/>
        <v>911.1</v>
      </c>
      <c r="H19" s="743">
        <f t="shared" si="4"/>
        <v>1.2999999999999999E-3</v>
      </c>
      <c r="I19" s="744">
        <f t="shared" si="2"/>
        <v>1.1844299999999999</v>
      </c>
      <c r="J19" s="743">
        <f t="shared" si="5"/>
        <v>3.5000000000000001E-3</v>
      </c>
      <c r="K19" s="744">
        <f t="shared" si="3"/>
        <v>3.18885</v>
      </c>
    </row>
    <row r="20" spans="1:11" s="726" customFormat="1" ht="20.100000000000001" customHeight="1" x14ac:dyDescent="0.25">
      <c r="A20" s="736">
        <f>RUAS!A20</f>
        <v>17</v>
      </c>
      <c r="B20" s="742" t="str">
        <f>RUAS!B20</f>
        <v>RUA ASTORGA - T3</v>
      </c>
      <c r="C20" s="685">
        <f>RUAS!K20</f>
        <v>81.88</v>
      </c>
      <c r="D20" s="685">
        <f>RUAS!L20</f>
        <v>8.4</v>
      </c>
      <c r="E20" s="715">
        <f t="shared" si="0"/>
        <v>687.79</v>
      </c>
      <c r="F20" s="729">
        <f>RUAS!N20</f>
        <v>21.47</v>
      </c>
      <c r="G20" s="729">
        <f t="shared" si="1"/>
        <v>709.26</v>
      </c>
      <c r="H20" s="743">
        <f t="shared" si="4"/>
        <v>1.2999999999999999E-3</v>
      </c>
      <c r="I20" s="744">
        <f t="shared" si="2"/>
        <v>0.92203799999999991</v>
      </c>
      <c r="J20" s="743">
        <f t="shared" si="5"/>
        <v>3.5000000000000001E-3</v>
      </c>
      <c r="K20" s="744">
        <f t="shared" si="3"/>
        <v>2.4824100000000002</v>
      </c>
    </row>
    <row r="21" spans="1:11" s="726" customFormat="1" ht="20.100000000000001" customHeight="1" x14ac:dyDescent="0.25">
      <c r="A21" s="736">
        <f>RUAS!A21</f>
        <v>18</v>
      </c>
      <c r="B21" s="742" t="str">
        <f>RUAS!B21</f>
        <v>RUA ASTORGA - T4</v>
      </c>
      <c r="C21" s="685">
        <f>RUAS!K21</f>
        <v>107.06</v>
      </c>
      <c r="D21" s="685">
        <f>RUAS!L21</f>
        <v>8.4</v>
      </c>
      <c r="E21" s="715">
        <f t="shared" si="0"/>
        <v>899.3</v>
      </c>
      <c r="F21" s="729">
        <f>RUAS!N21</f>
        <v>21.47</v>
      </c>
      <c r="G21" s="729">
        <f t="shared" si="1"/>
        <v>920.77</v>
      </c>
      <c r="H21" s="743">
        <f t="shared" si="4"/>
        <v>1.2999999999999999E-3</v>
      </c>
      <c r="I21" s="744">
        <f t="shared" si="2"/>
        <v>1.197001</v>
      </c>
      <c r="J21" s="743">
        <f t="shared" si="5"/>
        <v>3.5000000000000001E-3</v>
      </c>
      <c r="K21" s="744">
        <f t="shared" si="3"/>
        <v>3.2226949999999999</v>
      </c>
    </row>
    <row r="22" spans="1:11" s="726" customFormat="1" ht="20.100000000000001" customHeight="1" x14ac:dyDescent="0.25">
      <c r="A22" s="736">
        <f>RUAS!A22</f>
        <v>19</v>
      </c>
      <c r="B22" s="742" t="str">
        <f>RUAS!B22</f>
        <v>RUA SÃO JOSÉ DOS PINHAIS - T1</v>
      </c>
      <c r="C22" s="685">
        <f>RUAS!K22</f>
        <v>41.1</v>
      </c>
      <c r="D22" s="685">
        <f>RUAS!L22</f>
        <v>8.4</v>
      </c>
      <c r="E22" s="715">
        <f t="shared" si="0"/>
        <v>345.24</v>
      </c>
      <c r="F22" s="729">
        <f>RUAS!N22</f>
        <v>11.39</v>
      </c>
      <c r="G22" s="729">
        <f t="shared" si="1"/>
        <v>356.63</v>
      </c>
      <c r="H22" s="743">
        <f t="shared" si="4"/>
        <v>1.2999999999999999E-3</v>
      </c>
      <c r="I22" s="744">
        <f t="shared" si="2"/>
        <v>0.46361899999999995</v>
      </c>
      <c r="J22" s="743">
        <f t="shared" si="5"/>
        <v>3.5000000000000001E-3</v>
      </c>
      <c r="K22" s="744">
        <f t="shared" si="3"/>
        <v>1.248205</v>
      </c>
    </row>
    <row r="23" spans="1:11" s="726" customFormat="1" ht="20.100000000000001" customHeight="1" x14ac:dyDescent="0.25">
      <c r="A23" s="736">
        <f>RUAS!A23</f>
        <v>20</v>
      </c>
      <c r="B23" s="742" t="str">
        <f>RUAS!B23</f>
        <v>RUA SÃO JOSÉ DOS PINHAIS - T2</v>
      </c>
      <c r="C23" s="685">
        <f>RUAS!K23</f>
        <v>106.74</v>
      </c>
      <c r="D23" s="685">
        <f>RUAS!L23</f>
        <v>8.4</v>
      </c>
      <c r="E23" s="715">
        <f t="shared" si="0"/>
        <v>896.61</v>
      </c>
      <c r="F23" s="729">
        <f>RUAS!N23</f>
        <v>21.57</v>
      </c>
      <c r="G23" s="729">
        <f t="shared" si="1"/>
        <v>918.18</v>
      </c>
      <c r="H23" s="743">
        <f t="shared" si="4"/>
        <v>1.2999999999999999E-3</v>
      </c>
      <c r="I23" s="744">
        <f t="shared" si="2"/>
        <v>1.1936339999999999</v>
      </c>
      <c r="J23" s="743">
        <f t="shared" si="5"/>
        <v>3.5000000000000001E-3</v>
      </c>
      <c r="K23" s="744">
        <f t="shared" si="3"/>
        <v>3.2136299999999998</v>
      </c>
    </row>
    <row r="24" spans="1:11" s="726" customFormat="1" ht="20.100000000000001" customHeight="1" x14ac:dyDescent="0.25">
      <c r="A24" s="736">
        <f>RUAS!A24</f>
        <v>21</v>
      </c>
      <c r="B24" s="742" t="str">
        <f>RUAS!B24</f>
        <v>RUA SÃO JOSÉ DOS PINHAIS - T3</v>
      </c>
      <c r="C24" s="685">
        <f>RUAS!K24</f>
        <v>83</v>
      </c>
      <c r="D24" s="685">
        <f>RUAS!L24</f>
        <v>8.4</v>
      </c>
      <c r="E24" s="715">
        <f t="shared" si="0"/>
        <v>697.2</v>
      </c>
      <c r="F24" s="729">
        <f>RUAS!N24</f>
        <v>21.47</v>
      </c>
      <c r="G24" s="729">
        <f t="shared" si="1"/>
        <v>718.67</v>
      </c>
      <c r="H24" s="743">
        <f t="shared" si="4"/>
        <v>1.2999999999999999E-3</v>
      </c>
      <c r="I24" s="744">
        <f t="shared" si="2"/>
        <v>0.93427099999999985</v>
      </c>
      <c r="J24" s="743">
        <f t="shared" si="5"/>
        <v>3.5000000000000001E-3</v>
      </c>
      <c r="K24" s="744">
        <f t="shared" si="3"/>
        <v>2.5153449999999999</v>
      </c>
    </row>
    <row r="25" spans="1:11" s="726" customFormat="1" ht="20.100000000000001" customHeight="1" x14ac:dyDescent="0.25">
      <c r="A25" s="736">
        <f>RUAS!A25</f>
        <v>22</v>
      </c>
      <c r="B25" s="742" t="str">
        <f>RUAS!B25</f>
        <v>RUA SÃO JOSÉ DOS PINHAIS - T4</v>
      </c>
      <c r="C25" s="685">
        <f>RUAS!K25</f>
        <v>105.9</v>
      </c>
      <c r="D25" s="685">
        <f>RUAS!L25</f>
        <v>8.4</v>
      </c>
      <c r="E25" s="715">
        <f t="shared" si="0"/>
        <v>889.56</v>
      </c>
      <c r="F25" s="729">
        <f>RUAS!N25</f>
        <v>21.47</v>
      </c>
      <c r="G25" s="729">
        <f t="shared" si="1"/>
        <v>911.03</v>
      </c>
      <c r="H25" s="743">
        <f t="shared" si="4"/>
        <v>1.2999999999999999E-3</v>
      </c>
      <c r="I25" s="744">
        <f t="shared" si="2"/>
        <v>1.1843389999999998</v>
      </c>
      <c r="J25" s="743">
        <f t="shared" si="5"/>
        <v>3.5000000000000001E-3</v>
      </c>
      <c r="K25" s="744">
        <f t="shared" si="3"/>
        <v>3.1886049999999999</v>
      </c>
    </row>
    <row r="26" spans="1:11" s="726" customFormat="1" ht="20.100000000000001" customHeight="1" x14ac:dyDescent="0.25">
      <c r="A26" s="736">
        <f>RUAS!A26</f>
        <v>23</v>
      </c>
      <c r="B26" s="742" t="str">
        <f>RUAS!B26</f>
        <v>RUA COLORADO - T1</v>
      </c>
      <c r="C26" s="685">
        <f>RUAS!K26</f>
        <v>106.36</v>
      </c>
      <c r="D26" s="685">
        <f>RUAS!L26</f>
        <v>8.4</v>
      </c>
      <c r="E26" s="715">
        <f t="shared" si="0"/>
        <v>893.42</v>
      </c>
      <c r="F26" s="729">
        <f>RUAS!N26</f>
        <v>21.48</v>
      </c>
      <c r="G26" s="729">
        <f t="shared" si="1"/>
        <v>914.9</v>
      </c>
      <c r="H26" s="743">
        <f t="shared" si="4"/>
        <v>1.2999999999999999E-3</v>
      </c>
      <c r="I26" s="744">
        <f t="shared" si="2"/>
        <v>1.1893699999999998</v>
      </c>
      <c r="J26" s="743">
        <f t="shared" si="5"/>
        <v>3.5000000000000001E-3</v>
      </c>
      <c r="K26" s="744">
        <f t="shared" si="3"/>
        <v>3.2021500000000001</v>
      </c>
    </row>
    <row r="27" spans="1:11" s="726" customFormat="1" ht="20.100000000000001" customHeight="1" x14ac:dyDescent="0.25">
      <c r="A27" s="736">
        <f>RUAS!A27</f>
        <v>24</v>
      </c>
      <c r="B27" s="742" t="str">
        <f>RUAS!B27</f>
        <v>RUA COLORADO - T2</v>
      </c>
      <c r="C27" s="685">
        <f>RUAS!K27</f>
        <v>82.82</v>
      </c>
      <c r="D27" s="685">
        <f>RUAS!L27</f>
        <v>8.4</v>
      </c>
      <c r="E27" s="715">
        <f t="shared" si="0"/>
        <v>695.68</v>
      </c>
      <c r="F27" s="729">
        <f>RUAS!N27</f>
        <v>21.490000000000002</v>
      </c>
      <c r="G27" s="729">
        <f t="shared" si="1"/>
        <v>717.17</v>
      </c>
      <c r="H27" s="743">
        <f t="shared" si="4"/>
        <v>1.2999999999999999E-3</v>
      </c>
      <c r="I27" s="744">
        <f t="shared" si="2"/>
        <v>0.93232099999999996</v>
      </c>
      <c r="J27" s="743">
        <f t="shared" si="5"/>
        <v>3.5000000000000001E-3</v>
      </c>
      <c r="K27" s="744">
        <f t="shared" si="3"/>
        <v>2.5100949999999997</v>
      </c>
    </row>
    <row r="28" spans="1:11" s="726" customFormat="1" ht="20.100000000000001" customHeight="1" x14ac:dyDescent="0.25">
      <c r="A28" s="736">
        <f>RUAS!A28</f>
        <v>25</v>
      </c>
      <c r="B28" s="742" t="str">
        <f>RUAS!B28</f>
        <v>RUA COLORADO - T3</v>
      </c>
      <c r="C28" s="685">
        <f>RUAS!K28</f>
        <v>106.06</v>
      </c>
      <c r="D28" s="685">
        <f>RUAS!L28</f>
        <v>8.4</v>
      </c>
      <c r="E28" s="715">
        <f t="shared" si="0"/>
        <v>890.9</v>
      </c>
      <c r="F28" s="729">
        <f>RUAS!N28</f>
        <v>21.48</v>
      </c>
      <c r="G28" s="729">
        <f t="shared" si="1"/>
        <v>912.38</v>
      </c>
      <c r="H28" s="743">
        <f t="shared" si="4"/>
        <v>1.2999999999999999E-3</v>
      </c>
      <c r="I28" s="744">
        <f t="shared" si="2"/>
        <v>1.186094</v>
      </c>
      <c r="J28" s="743">
        <f t="shared" si="5"/>
        <v>3.5000000000000001E-3</v>
      </c>
      <c r="K28" s="744">
        <f t="shared" si="3"/>
        <v>3.19333</v>
      </c>
    </row>
    <row r="29" spans="1:11" s="726" customFormat="1" ht="20.100000000000001" customHeight="1" x14ac:dyDescent="0.25">
      <c r="A29" s="736">
        <f>RUAS!A29</f>
        <v>26</v>
      </c>
      <c r="B29" s="742" t="str">
        <f>RUAS!B29</f>
        <v>RUA FOZ DO IGUAÇU - T1</v>
      </c>
      <c r="C29" s="685">
        <f>RUAS!K29</f>
        <v>41.57</v>
      </c>
      <c r="D29" s="685">
        <f>RUAS!L29</f>
        <v>8.4</v>
      </c>
      <c r="E29" s="715">
        <f t="shared" si="0"/>
        <v>349.18</v>
      </c>
      <c r="F29" s="729">
        <f>RUAS!N29</f>
        <v>10.99</v>
      </c>
      <c r="G29" s="729">
        <f t="shared" si="1"/>
        <v>360.17</v>
      </c>
      <c r="H29" s="743">
        <f t="shared" si="4"/>
        <v>1.2999999999999999E-3</v>
      </c>
      <c r="I29" s="744">
        <f t="shared" si="2"/>
        <v>0.468221</v>
      </c>
      <c r="J29" s="743">
        <f t="shared" si="5"/>
        <v>3.5000000000000001E-3</v>
      </c>
      <c r="K29" s="744">
        <f t="shared" si="3"/>
        <v>1.2605950000000001</v>
      </c>
    </row>
    <row r="30" spans="1:11" s="726" customFormat="1" ht="20.100000000000001" customHeight="1" x14ac:dyDescent="0.25">
      <c r="A30" s="736">
        <f>RUAS!A30</f>
        <v>27</v>
      </c>
      <c r="B30" s="742" t="str">
        <f>RUAS!B30</f>
        <v>RUA FOZ DO IGUAÇU - T2</v>
      </c>
      <c r="C30" s="685">
        <f>RUAS!K30</f>
        <v>105.8</v>
      </c>
      <c r="D30" s="685">
        <f>RUAS!L30</f>
        <v>8.4</v>
      </c>
      <c r="E30" s="715">
        <f t="shared" si="0"/>
        <v>888.72</v>
      </c>
      <c r="F30" s="729">
        <f>RUAS!N30</f>
        <v>21.2</v>
      </c>
      <c r="G30" s="729">
        <f t="shared" si="1"/>
        <v>909.92</v>
      </c>
      <c r="H30" s="743">
        <f t="shared" si="4"/>
        <v>1.2999999999999999E-3</v>
      </c>
      <c r="I30" s="744">
        <f t="shared" si="2"/>
        <v>1.1828959999999999</v>
      </c>
      <c r="J30" s="743">
        <f t="shared" si="5"/>
        <v>3.5000000000000001E-3</v>
      </c>
      <c r="K30" s="744">
        <f t="shared" si="3"/>
        <v>3.18472</v>
      </c>
    </row>
    <row r="31" spans="1:11" s="726" customFormat="1" ht="20.100000000000001" customHeight="1" x14ac:dyDescent="0.25">
      <c r="A31" s="736">
        <f>RUAS!A31</f>
        <v>28</v>
      </c>
      <c r="B31" s="742" t="str">
        <f>RUAS!B31</f>
        <v>RUA FOZ DO IGUAÇU - T3</v>
      </c>
      <c r="C31" s="685">
        <f>RUAS!K31</f>
        <v>81.83</v>
      </c>
      <c r="D31" s="685">
        <f>RUAS!L31</f>
        <v>8.4</v>
      </c>
      <c r="E31" s="715">
        <f t="shared" si="0"/>
        <v>687.37</v>
      </c>
      <c r="F31" s="729">
        <f>RUAS!N31</f>
        <v>21.47</v>
      </c>
      <c r="G31" s="729">
        <f t="shared" si="1"/>
        <v>708.84</v>
      </c>
      <c r="H31" s="743">
        <f t="shared" si="4"/>
        <v>1.2999999999999999E-3</v>
      </c>
      <c r="I31" s="744">
        <f t="shared" si="2"/>
        <v>0.92149199999999998</v>
      </c>
      <c r="J31" s="743">
        <f t="shared" si="5"/>
        <v>3.5000000000000001E-3</v>
      </c>
      <c r="K31" s="744">
        <f t="shared" si="3"/>
        <v>2.4809400000000004</v>
      </c>
    </row>
    <row r="32" spans="1:11" s="726" customFormat="1" ht="20.100000000000001" customHeight="1" x14ac:dyDescent="0.25">
      <c r="A32" s="736">
        <f>RUAS!A32</f>
        <v>29</v>
      </c>
      <c r="B32" s="742" t="str">
        <f>RUAS!B32</f>
        <v>RUA FOZ DO IGUAÇU - T4</v>
      </c>
      <c r="C32" s="685">
        <f>RUAS!K32</f>
        <v>107.15</v>
      </c>
      <c r="D32" s="685">
        <f>RUAS!L32</f>
        <v>8.4</v>
      </c>
      <c r="E32" s="715">
        <f t="shared" si="0"/>
        <v>900.06</v>
      </c>
      <c r="F32" s="729">
        <f>RUAS!N32</f>
        <v>21.469999999999995</v>
      </c>
      <c r="G32" s="729">
        <f t="shared" si="1"/>
        <v>921.53</v>
      </c>
      <c r="H32" s="743">
        <f t="shared" si="4"/>
        <v>1.2999999999999999E-3</v>
      </c>
      <c r="I32" s="744">
        <f t="shared" si="2"/>
        <v>1.197989</v>
      </c>
      <c r="J32" s="743">
        <f t="shared" si="5"/>
        <v>3.5000000000000001E-3</v>
      </c>
      <c r="K32" s="744">
        <f t="shared" si="3"/>
        <v>3.225355</v>
      </c>
    </row>
    <row r="33" spans="1:11" s="726" customFormat="1" ht="20.100000000000001" customHeight="1" x14ac:dyDescent="0.25">
      <c r="A33" s="736">
        <f>RUAS!A33</f>
        <v>30</v>
      </c>
      <c r="B33" s="742" t="str">
        <f>RUAS!B33</f>
        <v>RUA CARAZINHO</v>
      </c>
      <c r="C33" s="685">
        <f>RUAS!K33</f>
        <v>195.55</v>
      </c>
      <c r="D33" s="685">
        <f>RUAS!L33</f>
        <v>8.4</v>
      </c>
      <c r="E33" s="715">
        <f t="shared" si="0"/>
        <v>1642.62</v>
      </c>
      <c r="F33" s="729">
        <f>RUAS!N33</f>
        <v>67.73</v>
      </c>
      <c r="G33" s="729">
        <f t="shared" si="1"/>
        <v>1710.35</v>
      </c>
      <c r="H33" s="743">
        <f t="shared" si="4"/>
        <v>1.2999999999999999E-3</v>
      </c>
      <c r="I33" s="744">
        <f t="shared" si="2"/>
        <v>2.223455</v>
      </c>
      <c r="J33" s="743">
        <f t="shared" si="5"/>
        <v>3.5000000000000001E-3</v>
      </c>
      <c r="K33" s="744">
        <f t="shared" si="3"/>
        <v>5.9862250000000001</v>
      </c>
    </row>
    <row r="34" spans="1:11" s="726" customFormat="1" ht="20.100000000000001" customHeight="1" x14ac:dyDescent="0.25">
      <c r="A34" s="736">
        <f>RUAS!A34</f>
        <v>31</v>
      </c>
      <c r="B34" s="742" t="str">
        <f>RUAS!B34</f>
        <v>RUA LONDRINA</v>
      </c>
      <c r="C34" s="685">
        <f>RUAS!K34</f>
        <v>169.91</v>
      </c>
      <c r="D34" s="685">
        <f>RUAS!L34</f>
        <v>6.4</v>
      </c>
      <c r="E34" s="715">
        <f t="shared" si="0"/>
        <v>1087.42</v>
      </c>
      <c r="F34" s="729">
        <f>RUAS!N34</f>
        <v>10.41</v>
      </c>
      <c r="G34" s="729">
        <f t="shared" si="1"/>
        <v>1097.83</v>
      </c>
      <c r="H34" s="743">
        <f t="shared" si="4"/>
        <v>1.2999999999999999E-3</v>
      </c>
      <c r="I34" s="744">
        <f t="shared" si="2"/>
        <v>1.4271789999999998</v>
      </c>
      <c r="J34" s="743">
        <f t="shared" si="5"/>
        <v>3.5000000000000001E-3</v>
      </c>
      <c r="K34" s="744">
        <f t="shared" si="3"/>
        <v>3.8424049999999998</v>
      </c>
    </row>
    <row r="35" spans="1:11" s="726" customFormat="1" ht="20.100000000000001" customHeight="1" x14ac:dyDescent="0.25">
      <c r="A35" s="736">
        <f>RUAS!A35</f>
        <v>32</v>
      </c>
      <c r="B35" s="742" t="str">
        <f>RUAS!B35</f>
        <v>RUA CENTRO NOVO</v>
      </c>
      <c r="C35" s="685">
        <f>RUAS!K35</f>
        <v>302.98</v>
      </c>
      <c r="D35" s="685">
        <f>RUAS!L35</f>
        <v>6.4</v>
      </c>
      <c r="E35" s="715">
        <f t="shared" si="0"/>
        <v>1939.07</v>
      </c>
      <c r="F35" s="729">
        <f>RUAS!N35</f>
        <v>22.2</v>
      </c>
      <c r="G35" s="729">
        <f t="shared" si="1"/>
        <v>1961.27</v>
      </c>
      <c r="H35" s="743">
        <f t="shared" si="4"/>
        <v>1.2999999999999999E-3</v>
      </c>
      <c r="I35" s="744">
        <f t="shared" si="2"/>
        <v>2.5496509999999999</v>
      </c>
      <c r="J35" s="743">
        <f t="shared" si="5"/>
        <v>3.5000000000000001E-3</v>
      </c>
      <c r="K35" s="744">
        <f t="shared" si="3"/>
        <v>6.8644449999999999</v>
      </c>
    </row>
    <row r="36" spans="1:11" s="726" customFormat="1" ht="20.100000000000001" customHeight="1" x14ac:dyDescent="0.25">
      <c r="A36" s="736">
        <f>RUAS!A36</f>
        <v>33</v>
      </c>
      <c r="B36" s="742" t="str">
        <f>RUAS!B36</f>
        <v>RUA DESEMIGRADOS</v>
      </c>
      <c r="C36" s="685">
        <f>RUAS!K36</f>
        <v>347.62</v>
      </c>
      <c r="D36" s="685">
        <f>RUAS!L36</f>
        <v>8.4</v>
      </c>
      <c r="E36" s="715">
        <f t="shared" si="0"/>
        <v>2920</v>
      </c>
      <c r="F36" s="729">
        <f>RUAS!N36</f>
        <v>10.73</v>
      </c>
      <c r="G36" s="729">
        <f t="shared" si="1"/>
        <v>2930.73</v>
      </c>
      <c r="H36" s="743">
        <f t="shared" si="4"/>
        <v>1.2999999999999999E-3</v>
      </c>
      <c r="I36" s="744">
        <f t="shared" si="2"/>
        <v>3.809949</v>
      </c>
      <c r="J36" s="743">
        <f t="shared" si="5"/>
        <v>3.5000000000000001E-3</v>
      </c>
      <c r="K36" s="744">
        <f t="shared" si="3"/>
        <v>10.257555</v>
      </c>
    </row>
    <row r="37" spans="1:11" s="726" customFormat="1" ht="20.100000000000001" customHeight="1" x14ac:dyDescent="0.25">
      <c r="A37" s="736">
        <f>RUAS!A37</f>
        <v>34</v>
      </c>
      <c r="B37" s="742" t="str">
        <f>RUAS!B37</f>
        <v>RUA MARIALVA - T1</v>
      </c>
      <c r="C37" s="685">
        <f>RUAS!K37</f>
        <v>501.6</v>
      </c>
      <c r="D37" s="685">
        <f>RUAS!L37</f>
        <v>6.4</v>
      </c>
      <c r="E37" s="715">
        <f t="shared" si="0"/>
        <v>3210.24</v>
      </c>
      <c r="F37" s="729">
        <f>RUAS!N37</f>
        <v>21.48</v>
      </c>
      <c r="G37" s="729">
        <f t="shared" si="1"/>
        <v>3231.72</v>
      </c>
      <c r="H37" s="743">
        <f t="shared" si="4"/>
        <v>1.2999999999999999E-3</v>
      </c>
      <c r="I37" s="744">
        <f t="shared" si="2"/>
        <v>4.2012359999999997</v>
      </c>
      <c r="J37" s="743">
        <f t="shared" si="5"/>
        <v>3.5000000000000001E-3</v>
      </c>
      <c r="K37" s="744">
        <f t="shared" si="3"/>
        <v>11.311019999999999</v>
      </c>
    </row>
    <row r="38" spans="1:11" s="726" customFormat="1" ht="20.100000000000001" customHeight="1" x14ac:dyDescent="0.25">
      <c r="A38" s="736">
        <f>RUAS!A38</f>
        <v>35</v>
      </c>
      <c r="B38" s="742" t="str">
        <f>RUAS!B38</f>
        <v>RUA MARIALVA - T2</v>
      </c>
      <c r="C38" s="685">
        <f>RUAS!K38</f>
        <v>35.36</v>
      </c>
      <c r="D38" s="685">
        <f>RUAS!L38</f>
        <v>6.4</v>
      </c>
      <c r="E38" s="715">
        <f t="shared" si="0"/>
        <v>226.3</v>
      </c>
      <c r="F38" s="729">
        <f>RUAS!N38</f>
        <v>21.470000000000002</v>
      </c>
      <c r="G38" s="729">
        <f t="shared" si="1"/>
        <v>247.77</v>
      </c>
      <c r="H38" s="743">
        <f t="shared" si="4"/>
        <v>1.2999999999999999E-3</v>
      </c>
      <c r="I38" s="744">
        <f t="shared" si="2"/>
        <v>0.32210100000000003</v>
      </c>
      <c r="J38" s="743">
        <f t="shared" si="5"/>
        <v>3.5000000000000001E-3</v>
      </c>
      <c r="K38" s="744">
        <f t="shared" si="3"/>
        <v>0.86719500000000005</v>
      </c>
    </row>
    <row r="39" spans="1:11" s="726" customFormat="1" ht="20.100000000000001" customHeight="1" x14ac:dyDescent="0.25">
      <c r="A39" s="736">
        <f>RUAS!A39</f>
        <v>36</v>
      </c>
      <c r="B39" s="742" t="str">
        <f>RUAS!B39</f>
        <v>RUA MARIALVA - T3</v>
      </c>
      <c r="C39" s="685">
        <f>RUAS!K39</f>
        <v>138.94999999999999</v>
      </c>
      <c r="D39" s="685">
        <f>RUAS!L39</f>
        <v>6.4</v>
      </c>
      <c r="E39" s="715">
        <f t="shared" si="0"/>
        <v>889.28</v>
      </c>
      <c r="F39" s="729">
        <f>RUAS!N39</f>
        <v>21.74</v>
      </c>
      <c r="G39" s="729">
        <f t="shared" si="1"/>
        <v>911.02</v>
      </c>
      <c r="H39" s="743">
        <f t="shared" si="4"/>
        <v>1.2999999999999999E-3</v>
      </c>
      <c r="I39" s="744">
        <f t="shared" si="2"/>
        <v>1.184326</v>
      </c>
      <c r="J39" s="743">
        <f t="shared" si="5"/>
        <v>3.5000000000000001E-3</v>
      </c>
      <c r="K39" s="744">
        <f t="shared" si="3"/>
        <v>3.1885699999999999</v>
      </c>
    </row>
    <row r="40" spans="1:11" s="726" customFormat="1" ht="20.100000000000001" customHeight="1" x14ac:dyDescent="0.25">
      <c r="A40" s="736">
        <f>RUAS!A40</f>
        <v>37</v>
      </c>
      <c r="B40" s="742" t="str">
        <f>RUAS!B40</f>
        <v>RUA CAMPO LARGO</v>
      </c>
      <c r="C40" s="685">
        <f>RUAS!K40</f>
        <v>78.400000000000006</v>
      </c>
      <c r="D40" s="685">
        <f>RUAS!L40</f>
        <v>6.4</v>
      </c>
      <c r="E40" s="715">
        <f t="shared" si="0"/>
        <v>501.76</v>
      </c>
      <c r="F40" s="729">
        <f>RUAS!N40</f>
        <v>21.46</v>
      </c>
      <c r="G40" s="729">
        <f t="shared" si="1"/>
        <v>523.22</v>
      </c>
      <c r="H40" s="743">
        <f t="shared" si="4"/>
        <v>1.2999999999999999E-3</v>
      </c>
      <c r="I40" s="744">
        <f t="shared" si="2"/>
        <v>0.68018599999999996</v>
      </c>
      <c r="J40" s="743">
        <f t="shared" si="5"/>
        <v>3.5000000000000001E-3</v>
      </c>
      <c r="K40" s="744">
        <f t="shared" si="3"/>
        <v>1.8312700000000002</v>
      </c>
    </row>
    <row r="41" spans="1:11" s="726" customFormat="1" ht="20.100000000000001" customHeight="1" x14ac:dyDescent="0.3">
      <c r="A41" s="736">
        <f>RUAS!A41</f>
        <v>38</v>
      </c>
      <c r="B41" s="742" t="str">
        <f>RUAS!B41</f>
        <v>RUA PARANAGUÁ</v>
      </c>
      <c r="C41" s="685">
        <f>RUAS!K41</f>
        <v>787.23</v>
      </c>
      <c r="D41" s="685">
        <f>RUAS!L41</f>
        <v>6.4</v>
      </c>
      <c r="E41" s="715">
        <f t="shared" si="0"/>
        <v>5038.2700000000004</v>
      </c>
      <c r="F41" s="729">
        <f>RUAS!N41</f>
        <v>46.459999999999994</v>
      </c>
      <c r="G41" s="729">
        <f t="shared" si="1"/>
        <v>5084.7299999999996</v>
      </c>
      <c r="H41" s="743">
        <f t="shared" si="4"/>
        <v>1.2999999999999999E-3</v>
      </c>
      <c r="I41" s="744">
        <f t="shared" si="2"/>
        <v>6.6101489999999989</v>
      </c>
      <c r="J41" s="743">
        <f t="shared" si="5"/>
        <v>3.5000000000000001E-3</v>
      </c>
      <c r="K41" s="744">
        <f t="shared" si="3"/>
        <v>17.796554999999998</v>
      </c>
    </row>
    <row r="42" spans="1:11" s="726" customFormat="1" ht="20.100000000000001" customHeight="1" x14ac:dyDescent="0.3">
      <c r="A42" s="736">
        <f>RUAS!A42</f>
        <v>39</v>
      </c>
      <c r="B42" s="742" t="str">
        <f>RUAS!B42</f>
        <v>RUA CAMPINAS</v>
      </c>
      <c r="C42" s="685">
        <f>RUAS!K42</f>
        <v>404.93</v>
      </c>
      <c r="D42" s="685">
        <f>RUAS!L42</f>
        <v>7</v>
      </c>
      <c r="E42" s="715">
        <f t="shared" si="0"/>
        <v>2834.51</v>
      </c>
      <c r="F42" s="729">
        <f>RUAS!N42</f>
        <v>54.1</v>
      </c>
      <c r="G42" s="729">
        <f t="shared" si="1"/>
        <v>2888.61</v>
      </c>
      <c r="H42" s="743">
        <f t="shared" si="4"/>
        <v>1.2999999999999999E-3</v>
      </c>
      <c r="I42" s="744">
        <f t="shared" si="2"/>
        <v>3.7551929999999998</v>
      </c>
      <c r="J42" s="743">
        <f t="shared" si="5"/>
        <v>3.5000000000000001E-3</v>
      </c>
      <c r="K42" s="744">
        <f t="shared" si="3"/>
        <v>10.110135000000001</v>
      </c>
    </row>
    <row r="43" spans="1:11" s="726" customFormat="1" ht="20.100000000000001" customHeight="1" x14ac:dyDescent="0.3">
      <c r="A43" s="736">
        <f>RUAS!A43</f>
        <v>40</v>
      </c>
      <c r="B43" s="742" t="str">
        <f>RUAS!B43</f>
        <v>ACESSO 1</v>
      </c>
      <c r="C43" s="685">
        <f>RUAS!K43</f>
        <v>20.7</v>
      </c>
      <c r="D43" s="685">
        <f>RUAS!L43</f>
        <v>8</v>
      </c>
      <c r="E43" s="715">
        <f t="shared" si="0"/>
        <v>165.6</v>
      </c>
      <c r="F43" s="729">
        <f>RUAS!N43</f>
        <v>22.25</v>
      </c>
      <c r="G43" s="729">
        <f t="shared" si="1"/>
        <v>187.85</v>
      </c>
      <c r="H43" s="743">
        <f t="shared" si="4"/>
        <v>1.2999999999999999E-3</v>
      </c>
      <c r="I43" s="744">
        <f t="shared" si="2"/>
        <v>0.24420499999999998</v>
      </c>
      <c r="J43" s="743">
        <f t="shared" si="5"/>
        <v>3.5000000000000001E-3</v>
      </c>
      <c r="K43" s="744">
        <f t="shared" si="3"/>
        <v>0.65747500000000003</v>
      </c>
    </row>
    <row r="44" spans="1:11" s="726" customFormat="1" ht="20.100000000000001" customHeight="1" x14ac:dyDescent="0.3">
      <c r="A44" s="736">
        <f>RUAS!A44</f>
        <v>41</v>
      </c>
      <c r="B44" s="742" t="str">
        <f>RUAS!B44</f>
        <v>ACESSO 2</v>
      </c>
      <c r="C44" s="685">
        <f>RUAS!K44</f>
        <v>21.2</v>
      </c>
      <c r="D44" s="685">
        <f>RUAS!L44</f>
        <v>8</v>
      </c>
      <c r="E44" s="715">
        <f t="shared" si="0"/>
        <v>169.6</v>
      </c>
      <c r="F44" s="729">
        <f>RUAS!N44</f>
        <v>25.869999999999997</v>
      </c>
      <c r="G44" s="729">
        <f t="shared" si="1"/>
        <v>195.47</v>
      </c>
      <c r="H44" s="743">
        <f t="shared" si="4"/>
        <v>1.2999999999999999E-3</v>
      </c>
      <c r="I44" s="744">
        <f t="shared" si="2"/>
        <v>0.25411099999999998</v>
      </c>
      <c r="J44" s="743">
        <f t="shared" si="5"/>
        <v>3.5000000000000001E-3</v>
      </c>
      <c r="K44" s="744">
        <f t="shared" si="3"/>
        <v>0.684145</v>
      </c>
    </row>
    <row r="45" spans="1:11" ht="30" customHeight="1" x14ac:dyDescent="0.25">
      <c r="A45" s="1309" t="s">
        <v>510</v>
      </c>
      <c r="B45" s="1313"/>
      <c r="C45" s="730">
        <f>TRUNC(SUM(C4:C44),2)</f>
        <v>5903.17</v>
      </c>
      <c r="D45" s="745"/>
      <c r="E45" s="730">
        <f>TRUNC(SUM(E4:E44),2)</f>
        <v>44985.29</v>
      </c>
      <c r="F45" s="730">
        <f>TRUNC(SUM(F4:F44),2)</f>
        <v>849.43</v>
      </c>
      <c r="G45" s="730">
        <f>TRUNC(SUM(G4:G44),2)</f>
        <v>45834.720000000001</v>
      </c>
      <c r="H45" s="746"/>
      <c r="I45" s="730">
        <f>TRUNC(SUM(I4:I44),2)</f>
        <v>59.58</v>
      </c>
      <c r="J45" s="746"/>
      <c r="K45" s="730">
        <f>TRUNC(SUM(K4:K44),2)</f>
        <v>160.41999999999999</v>
      </c>
    </row>
    <row r="48" spans="1:11" x14ac:dyDescent="0.25">
      <c r="G48" s="721">
        <f>TRUNC((G45*0.0013),2)</f>
        <v>59.58</v>
      </c>
    </row>
    <row r="49" spans="7:7" x14ac:dyDescent="0.25">
      <c r="G49" s="721">
        <f>TRUNC((G45*0.0035),2)</f>
        <v>160.41999999999999</v>
      </c>
    </row>
  </sheetData>
  <mergeCells count="6">
    <mergeCell ref="A45:B45"/>
    <mergeCell ref="A1:K1"/>
    <mergeCell ref="A2:A3"/>
    <mergeCell ref="B2:B3"/>
    <mergeCell ref="H2:I2"/>
    <mergeCell ref="J2:K2"/>
  </mergeCells>
  <printOptions horizontalCentered="1"/>
  <pageMargins left="0.59055118110236227" right="0.59055118110236227" top="1.7716535433070868" bottom="0.78740157480314965" header="0" footer="0"/>
  <pageSetup paperSize="9" scale="45" fitToHeight="100" orientation="landscape" r:id="rId1"/>
  <headerFooter scaleWithDoc="0">
    <oddHeader>&amp;L&amp;G</oddHeader>
  </headerFooter>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tabColor rgb="FFFF0000"/>
    <pageSetUpPr fitToPage="1"/>
  </sheetPr>
  <dimension ref="A1:G22"/>
  <sheetViews>
    <sheetView view="pageBreakPreview" zoomScaleNormal="100" zoomScaleSheetLayoutView="100" workbookViewId="0">
      <selection activeCell="F26" sqref="F26"/>
    </sheetView>
  </sheetViews>
  <sheetFormatPr defaultColWidth="8.88671875" defaultRowHeight="13.8" x14ac:dyDescent="0.3"/>
  <cols>
    <col min="1" max="1" width="45.88671875" style="301" customWidth="1"/>
    <col min="2" max="2" width="22.5546875" style="301" customWidth="1"/>
    <col min="3" max="3" width="37.6640625" style="301" customWidth="1"/>
    <col min="4" max="4" width="13.33203125" style="301" customWidth="1"/>
    <col min="5" max="7" width="11.6640625" style="301" customWidth="1"/>
    <col min="8" max="16384" width="8.88671875" style="301"/>
  </cols>
  <sheetData>
    <row r="1" spans="1:7" x14ac:dyDescent="0.3">
      <c r="A1" s="747" t="s">
        <v>526</v>
      </c>
      <c r="B1" s="748" t="s">
        <v>527</v>
      </c>
      <c r="C1" s="749"/>
      <c r="D1" s="301" t="s">
        <v>528</v>
      </c>
    </row>
    <row r="2" spans="1:7" ht="15" x14ac:dyDescent="0.25">
      <c r="A2" s="750" t="s">
        <v>529</v>
      </c>
      <c r="B2" s="9" t="s">
        <v>530</v>
      </c>
      <c r="C2" s="751"/>
    </row>
    <row r="3" spans="1:7" ht="15" x14ac:dyDescent="0.25">
      <c r="A3" s="750" t="s">
        <v>27</v>
      </c>
      <c r="B3" s="9" t="s">
        <v>531</v>
      </c>
      <c r="C3" s="751"/>
    </row>
    <row r="4" spans="1:7" ht="15" x14ac:dyDescent="0.25">
      <c r="A4" s="750" t="s">
        <v>29</v>
      </c>
      <c r="B4" s="304" t="str">
        <f ca="1">UPPER(TEXT(TODAY(),"mmmm/aaaa"))</f>
        <v>JUNHO/2026</v>
      </c>
      <c r="C4" s="751"/>
    </row>
    <row r="5" spans="1:7" x14ac:dyDescent="0.3">
      <c r="A5" s="750" t="s">
        <v>532</v>
      </c>
      <c r="B5" s="364">
        <f>RUAS!O45</f>
        <v>45834.720000000001</v>
      </c>
      <c r="C5" s="751"/>
    </row>
    <row r="6" spans="1:7" ht="14.4" thickBot="1" x14ac:dyDescent="0.35">
      <c r="A6" s="752" t="s">
        <v>533</v>
      </c>
      <c r="B6" s="753">
        <f>RUAS!K45</f>
        <v>5903.17</v>
      </c>
      <c r="C6" s="754"/>
    </row>
    <row r="8" spans="1:7" x14ac:dyDescent="0.3">
      <c r="A8" s="755" t="s">
        <v>534</v>
      </c>
      <c r="B8" s="301" t="s">
        <v>535</v>
      </c>
      <c r="C8" s="755" t="s">
        <v>536</v>
      </c>
      <c r="D8" s="301" t="s">
        <v>1227</v>
      </c>
    </row>
    <row r="9" spans="1:7" ht="15" x14ac:dyDescent="0.25">
      <c r="C9" s="755" t="s">
        <v>537</v>
      </c>
      <c r="D9" s="756">
        <v>325</v>
      </c>
    </row>
    <row r="10" spans="1:7" ht="15" x14ac:dyDescent="0.25">
      <c r="C10" s="755" t="s">
        <v>538</v>
      </c>
      <c r="D10" s="756">
        <v>0.35</v>
      </c>
    </row>
    <row r="12" spans="1:7" ht="30" customHeight="1" x14ac:dyDescent="0.3">
      <c r="A12" s="1315" t="s">
        <v>539</v>
      </c>
      <c r="B12" s="1316"/>
      <c r="C12" s="1316"/>
      <c r="D12" s="1316"/>
      <c r="E12" s="1316"/>
      <c r="F12" s="1316"/>
      <c r="G12" s="1317"/>
    </row>
    <row r="13" spans="1:7" ht="42" customHeight="1" x14ac:dyDescent="0.3">
      <c r="A13" s="1318" t="s">
        <v>295</v>
      </c>
      <c r="B13" s="1320" t="s">
        <v>540</v>
      </c>
      <c r="C13" s="1322" t="s">
        <v>541</v>
      </c>
      <c r="D13" s="1323"/>
      <c r="E13" s="1324" t="s">
        <v>542</v>
      </c>
      <c r="F13" s="1325"/>
      <c r="G13" s="1326"/>
    </row>
    <row r="14" spans="1:7" ht="20.100000000000001" customHeight="1" x14ac:dyDescent="0.3">
      <c r="A14" s="1319"/>
      <c r="B14" s="1321"/>
      <c r="C14" s="757" t="s">
        <v>56</v>
      </c>
      <c r="D14" s="757" t="s">
        <v>61</v>
      </c>
      <c r="E14" s="758" t="s">
        <v>144</v>
      </c>
      <c r="F14" s="758" t="s">
        <v>145</v>
      </c>
      <c r="G14" s="758" t="s">
        <v>287</v>
      </c>
    </row>
    <row r="15" spans="1:7" ht="20.100000000000001" customHeight="1" x14ac:dyDescent="0.25">
      <c r="A15" s="759" t="s">
        <v>543</v>
      </c>
      <c r="B15" s="760" t="s">
        <v>544</v>
      </c>
      <c r="C15" s="760" t="s">
        <v>545</v>
      </c>
      <c r="D15" s="761" t="s">
        <v>546</v>
      </c>
      <c r="E15" s="762">
        <f>0.35+2.38</f>
        <v>2.73</v>
      </c>
      <c r="F15" s="762">
        <f>6.72</f>
        <v>6.72</v>
      </c>
      <c r="G15" s="763">
        <f t="shared" ref="G15:G20" si="0">F15+E15</f>
        <v>9.4499999999999993</v>
      </c>
    </row>
    <row r="16" spans="1:7" ht="20.100000000000001" customHeight="1" x14ac:dyDescent="0.25">
      <c r="A16" s="764" t="s">
        <v>547</v>
      </c>
      <c r="B16" s="761" t="s">
        <v>544</v>
      </c>
      <c r="C16" s="761" t="s">
        <v>548</v>
      </c>
      <c r="D16" s="761" t="s">
        <v>545</v>
      </c>
      <c r="E16" s="762">
        <f>0.4+0.35</f>
        <v>0.75</v>
      </c>
      <c r="F16" s="762">
        <f>3.15+1.2</f>
        <v>4.3499999999999996</v>
      </c>
      <c r="G16" s="763">
        <f t="shared" si="0"/>
        <v>5.0999999999999996</v>
      </c>
    </row>
    <row r="17" spans="1:7" ht="20.100000000000001" customHeight="1" x14ac:dyDescent="0.3">
      <c r="A17" s="765" t="s">
        <v>549</v>
      </c>
      <c r="B17" s="766" t="s">
        <v>523</v>
      </c>
      <c r="C17" s="766" t="s">
        <v>550</v>
      </c>
      <c r="D17" s="767" t="s">
        <v>545</v>
      </c>
      <c r="E17" s="762">
        <v>0.35</v>
      </c>
      <c r="F17" s="762">
        <f>224+142+265.5</f>
        <v>631.5</v>
      </c>
      <c r="G17" s="768">
        <f t="shared" si="0"/>
        <v>631.85</v>
      </c>
    </row>
    <row r="18" spans="1:7" ht="20.100000000000001" customHeight="1" x14ac:dyDescent="0.3">
      <c r="A18" s="1327" t="s">
        <v>551</v>
      </c>
      <c r="B18" s="766" t="s">
        <v>552</v>
      </c>
      <c r="C18" s="766" t="s">
        <v>550</v>
      </c>
      <c r="D18" s="767" t="s">
        <v>545</v>
      </c>
      <c r="E18" s="762">
        <v>0.35</v>
      </c>
      <c r="F18" s="762">
        <f>224+142+265.5</f>
        <v>631.5</v>
      </c>
      <c r="G18" s="768">
        <f t="shared" si="0"/>
        <v>631.85</v>
      </c>
    </row>
    <row r="19" spans="1:7" ht="20.100000000000001" customHeight="1" x14ac:dyDescent="0.3">
      <c r="A19" s="1328"/>
      <c r="B19" s="766" t="s">
        <v>553</v>
      </c>
      <c r="C19" s="766" t="s">
        <v>554</v>
      </c>
      <c r="D19" s="766" t="s">
        <v>545</v>
      </c>
      <c r="E19" s="762">
        <f>3.85+0.35</f>
        <v>4.2</v>
      </c>
      <c r="F19" s="762">
        <f>58.1+36.5+1.2</f>
        <v>95.8</v>
      </c>
      <c r="G19" s="768">
        <f t="shared" si="0"/>
        <v>100</v>
      </c>
    </row>
    <row r="20" spans="1:7" ht="20.100000000000001" customHeight="1" x14ac:dyDescent="0.25">
      <c r="A20" s="765" t="s">
        <v>555</v>
      </c>
      <c r="B20" s="766" t="s">
        <v>556</v>
      </c>
      <c r="C20" s="766"/>
      <c r="D20" s="767" t="s">
        <v>545</v>
      </c>
      <c r="E20" s="762">
        <v>0.4</v>
      </c>
      <c r="F20" s="762">
        <v>325</v>
      </c>
      <c r="G20" s="768">
        <f t="shared" si="0"/>
        <v>325.39999999999998</v>
      </c>
    </row>
    <row r="21" spans="1:7" x14ac:dyDescent="0.3">
      <c r="A21" s="1314" t="s">
        <v>557</v>
      </c>
      <c r="B21" s="1314"/>
      <c r="C21" s="1314"/>
      <c r="D21" s="1314"/>
      <c r="E21" s="1314"/>
      <c r="F21" s="1314"/>
      <c r="G21" s="1314"/>
    </row>
    <row r="22" spans="1:7" ht="14.25" x14ac:dyDescent="0.25">
      <c r="A22" s="769" t="s">
        <v>558</v>
      </c>
      <c r="B22" s="769"/>
      <c r="C22" s="769"/>
      <c r="D22" s="769"/>
      <c r="E22" s="769"/>
      <c r="F22" s="769"/>
      <c r="G22" s="769"/>
    </row>
  </sheetData>
  <mergeCells count="7">
    <mergeCell ref="A21:G21"/>
    <mergeCell ref="A12:G12"/>
    <mergeCell ref="A13:A14"/>
    <mergeCell ref="B13:B14"/>
    <mergeCell ref="C13:D13"/>
    <mergeCell ref="E13:G13"/>
    <mergeCell ref="A18:A19"/>
  </mergeCells>
  <conditionalFormatting sqref="A1:B5">
    <cfRule type="expression" dxfId="1" priority="2">
      <formula>$H1="VERIFICAR CÓDIGO"</formula>
    </cfRule>
  </conditionalFormatting>
  <conditionalFormatting sqref="A6:B6">
    <cfRule type="expression" dxfId="0" priority="1">
      <formula>$H6="VERIFICAR CÓDIGO"</formula>
    </cfRule>
  </conditionalFormatting>
  <printOptions horizontalCentered="1"/>
  <pageMargins left="0.59055118110236227" right="0.59055118110236227" top="1.7716535433070868" bottom="0.78740157480314965" header="0" footer="0"/>
  <pageSetup paperSize="9" scale="87" fitToHeight="100" orientation="landscape" r:id="rId1"/>
  <headerFooter scaleWithDoc="0">
    <oddHeader>&amp;L&amp;G</oddHeader>
  </headerFooter>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4">
    <tabColor rgb="FF00B0F0"/>
  </sheetPr>
  <dimension ref="A1:L35"/>
  <sheetViews>
    <sheetView showGridLines="0" view="pageBreakPreview" topLeftCell="A18" zoomScale="85" zoomScaleNormal="70" zoomScaleSheetLayoutView="85" workbookViewId="0">
      <selection activeCell="K22" sqref="K22:L22"/>
    </sheetView>
  </sheetViews>
  <sheetFormatPr defaultColWidth="9.109375" defaultRowHeight="13.8" x14ac:dyDescent="0.25"/>
  <cols>
    <col min="1" max="1" width="13" style="721" customWidth="1"/>
    <col min="2" max="2" width="70.44140625" style="721" bestFit="1" customWidth="1"/>
    <col min="3" max="3" width="11" style="721" bestFit="1" customWidth="1"/>
    <col min="4" max="4" width="13.44140625" style="721" bestFit="1" customWidth="1"/>
    <col min="5" max="5" width="6" style="721" bestFit="1" customWidth="1"/>
    <col min="6" max="6" width="11" style="798" bestFit="1" customWidth="1"/>
    <col min="7" max="7" width="9.44140625" style="721" customWidth="1"/>
    <col min="8" max="8" width="17" style="721" bestFit="1" customWidth="1"/>
    <col min="9" max="9" width="6" style="721" bestFit="1" customWidth="1"/>
    <col min="10" max="10" width="8.5546875" style="721" bestFit="1" customWidth="1"/>
    <col min="11" max="11" width="16.44140625" style="721" bestFit="1" customWidth="1"/>
    <col min="12" max="12" width="11.5546875" style="721" customWidth="1"/>
    <col min="13" max="16384" width="9.109375" style="721"/>
  </cols>
  <sheetData>
    <row r="1" spans="1:12" ht="24.9" customHeight="1" x14ac:dyDescent="0.25">
      <c r="A1" s="1332" t="s">
        <v>317</v>
      </c>
      <c r="B1" s="1332"/>
      <c r="C1" s="1332"/>
      <c r="D1" s="1332"/>
      <c r="E1" s="1332"/>
      <c r="F1" s="1332"/>
      <c r="G1" s="1332"/>
      <c r="H1" s="1332"/>
      <c r="I1" s="1332"/>
      <c r="J1" s="1332"/>
      <c r="K1" s="1332"/>
      <c r="L1" s="1332"/>
    </row>
    <row r="2" spans="1:12" s="411" customFormat="1" ht="17.25" customHeight="1" x14ac:dyDescent="0.25">
      <c r="A2" s="1333" t="s">
        <v>33</v>
      </c>
      <c r="B2" s="761" t="s">
        <v>559</v>
      </c>
      <c r="C2" s="1333" t="s">
        <v>540</v>
      </c>
      <c r="D2" s="1334" t="s">
        <v>560</v>
      </c>
      <c r="E2" s="1335" t="s">
        <v>11</v>
      </c>
      <c r="F2" s="1337" t="s">
        <v>561</v>
      </c>
      <c r="G2" s="1337"/>
      <c r="H2" s="770" t="s">
        <v>562</v>
      </c>
      <c r="I2" s="1335" t="s">
        <v>11</v>
      </c>
      <c r="J2" s="770" t="s">
        <v>142</v>
      </c>
      <c r="K2" s="770" t="s">
        <v>563</v>
      </c>
      <c r="L2" s="1335" t="s">
        <v>11</v>
      </c>
    </row>
    <row r="3" spans="1:12" s="411" customFormat="1" ht="27" customHeight="1" x14ac:dyDescent="0.25">
      <c r="A3" s="1333"/>
      <c r="B3" s="761" t="s">
        <v>244</v>
      </c>
      <c r="C3" s="1333"/>
      <c r="D3" s="1334"/>
      <c r="E3" s="1336"/>
      <c r="F3" s="771" t="s">
        <v>564</v>
      </c>
      <c r="G3" s="761" t="s">
        <v>11</v>
      </c>
      <c r="H3" s="772" t="s">
        <v>565</v>
      </c>
      <c r="I3" s="1336"/>
      <c r="J3" s="772" t="s">
        <v>566</v>
      </c>
      <c r="K3" s="773" t="s">
        <v>567</v>
      </c>
      <c r="L3" s="1336"/>
    </row>
    <row r="4" spans="1:12" s="301" customFormat="1" ht="30" customHeight="1" x14ac:dyDescent="0.3">
      <c r="A4" s="774">
        <v>93598</v>
      </c>
      <c r="B4" s="1329" t="s">
        <v>1170</v>
      </c>
      <c r="C4" s="1329"/>
      <c r="D4" s="1329"/>
      <c r="E4" s="1329"/>
      <c r="F4" s="1329"/>
      <c r="G4" s="1329"/>
      <c r="H4" s="1329"/>
      <c r="I4" s="1329"/>
      <c r="J4" s="1329"/>
      <c r="K4" s="1329"/>
      <c r="L4" s="1330"/>
    </row>
    <row r="5" spans="1:12" s="411" customFormat="1" ht="20.100000000000001" customHeight="1" x14ac:dyDescent="0.25">
      <c r="A5" s="761"/>
      <c r="B5" s="775" t="s">
        <v>568</v>
      </c>
      <c r="C5" s="761" t="s">
        <v>569</v>
      </c>
      <c r="D5" s="776">
        <f>'SUBLEITO-BASE-SUB.'!J46</f>
        <v>10152.950000000001</v>
      </c>
      <c r="E5" s="764" t="s">
        <v>570</v>
      </c>
      <c r="F5" s="777">
        <v>2.0625</v>
      </c>
      <c r="G5" s="764" t="s">
        <v>571</v>
      </c>
      <c r="H5" s="778">
        <f>TRUNC(D5*F5,2)</f>
        <v>20940.45</v>
      </c>
      <c r="I5" s="764" t="s">
        <v>572</v>
      </c>
      <c r="J5" s="779">
        <f>ÍNDICE!E16</f>
        <v>0.75</v>
      </c>
      <c r="K5" s="780">
        <f>TRUNC(H5*J5,2)</f>
        <v>15705.33</v>
      </c>
      <c r="L5" s="781" t="s">
        <v>573</v>
      </c>
    </row>
    <row r="6" spans="1:12" s="411" customFormat="1" ht="20.100000000000001" customHeight="1" x14ac:dyDescent="0.25">
      <c r="A6" s="761"/>
      <c r="B6" s="775" t="s">
        <v>574</v>
      </c>
      <c r="C6" s="761" t="s">
        <v>569</v>
      </c>
      <c r="D6" s="776">
        <f>'SUBLEITO-BASE-SUB.'!L46</f>
        <v>10152.950000000001</v>
      </c>
      <c r="E6" s="764" t="s">
        <v>570</v>
      </c>
      <c r="F6" s="777">
        <v>2.0625</v>
      </c>
      <c r="G6" s="764" t="s">
        <v>571</v>
      </c>
      <c r="H6" s="778">
        <f>TRUNC(D6*F6,2)</f>
        <v>20940.45</v>
      </c>
      <c r="I6" s="764" t="s">
        <v>572</v>
      </c>
      <c r="J6" s="779">
        <f>J5</f>
        <v>0.75</v>
      </c>
      <c r="K6" s="780">
        <f>TRUNC(H6*J6,2)</f>
        <v>15705.33</v>
      </c>
      <c r="L6" s="781" t="s">
        <v>573</v>
      </c>
    </row>
    <row r="7" spans="1:12" s="411" customFormat="1" ht="30" customHeight="1" x14ac:dyDescent="0.2">
      <c r="A7" s="1331" t="s">
        <v>575</v>
      </c>
      <c r="B7" s="1331"/>
      <c r="C7" s="1331"/>
      <c r="D7" s="1331"/>
      <c r="E7" s="1331"/>
      <c r="F7" s="1331"/>
      <c r="G7" s="1331"/>
      <c r="H7" s="1331"/>
      <c r="I7" s="1331"/>
      <c r="J7" s="1331"/>
      <c r="K7" s="782">
        <f>SUM(K5:K6)</f>
        <v>31410.66</v>
      </c>
      <c r="L7" s="783" t="s">
        <v>573</v>
      </c>
    </row>
    <row r="8" spans="1:12" s="301" customFormat="1" ht="30" customHeight="1" x14ac:dyDescent="0.3">
      <c r="A8" s="784">
        <v>95879</v>
      </c>
      <c r="B8" s="1329" t="s">
        <v>1172</v>
      </c>
      <c r="C8" s="1329"/>
      <c r="D8" s="1329"/>
      <c r="E8" s="1329"/>
      <c r="F8" s="1329"/>
      <c r="G8" s="1329"/>
      <c r="H8" s="1329"/>
      <c r="I8" s="1329"/>
      <c r="J8" s="1329"/>
      <c r="K8" s="1329"/>
      <c r="L8" s="1330"/>
    </row>
    <row r="9" spans="1:12" s="411" customFormat="1" ht="20.100000000000001" customHeight="1" x14ac:dyDescent="0.25">
      <c r="A9" s="761"/>
      <c r="B9" s="775" t="s">
        <v>568</v>
      </c>
      <c r="C9" s="761" t="s">
        <v>569</v>
      </c>
      <c r="D9" s="776">
        <f>'SUBLEITO-BASE-SUB.'!J46</f>
        <v>10152.950000000001</v>
      </c>
      <c r="E9" s="764" t="s">
        <v>570</v>
      </c>
      <c r="F9" s="777">
        <v>2.0625</v>
      </c>
      <c r="G9" s="764" t="s">
        <v>571</v>
      </c>
      <c r="H9" s="778">
        <f>TRUNC(D9*F9,2)</f>
        <v>20940.45</v>
      </c>
      <c r="I9" s="764" t="s">
        <v>572</v>
      </c>
      <c r="J9" s="779">
        <f>ÍNDICE!F16</f>
        <v>4.3499999999999996</v>
      </c>
      <c r="K9" s="780">
        <f>TRUNC(H9*J9,2)</f>
        <v>91090.95</v>
      </c>
      <c r="L9" s="781" t="s">
        <v>573</v>
      </c>
    </row>
    <row r="10" spans="1:12" s="411" customFormat="1" ht="20.100000000000001" customHeight="1" x14ac:dyDescent="0.25">
      <c r="A10" s="761"/>
      <c r="B10" s="775" t="s">
        <v>574</v>
      </c>
      <c r="C10" s="761" t="s">
        <v>569</v>
      </c>
      <c r="D10" s="776">
        <f>'SUBLEITO-BASE-SUB.'!L46</f>
        <v>10152.950000000001</v>
      </c>
      <c r="E10" s="764" t="s">
        <v>570</v>
      </c>
      <c r="F10" s="777">
        <v>2.0625</v>
      </c>
      <c r="G10" s="764" t="s">
        <v>571</v>
      </c>
      <c r="H10" s="778">
        <f>TRUNC(D10*F10,2)</f>
        <v>20940.45</v>
      </c>
      <c r="I10" s="764" t="s">
        <v>572</v>
      </c>
      <c r="J10" s="779">
        <f>J9</f>
        <v>4.3499999999999996</v>
      </c>
      <c r="K10" s="780">
        <f>TRUNC(H10*J10,2)</f>
        <v>91090.95</v>
      </c>
      <c r="L10" s="781" t="s">
        <v>573</v>
      </c>
    </row>
    <row r="11" spans="1:12" s="411" customFormat="1" ht="30" customHeight="1" x14ac:dyDescent="0.2">
      <c r="A11" s="1331" t="s">
        <v>575</v>
      </c>
      <c r="B11" s="1331"/>
      <c r="C11" s="1331"/>
      <c r="D11" s="1331"/>
      <c r="E11" s="1331"/>
      <c r="F11" s="1331"/>
      <c r="G11" s="1331"/>
      <c r="H11" s="1331"/>
      <c r="I11" s="1331"/>
      <c r="J11" s="1331"/>
      <c r="K11" s="782">
        <f>SUM(K9:K10)</f>
        <v>182181.9</v>
      </c>
      <c r="L11" s="783" t="s">
        <v>573</v>
      </c>
    </row>
    <row r="12" spans="1:12" s="301" customFormat="1" ht="30" customHeight="1" x14ac:dyDescent="0.3">
      <c r="A12" s="774">
        <v>93598</v>
      </c>
      <c r="B12" s="1329" t="s">
        <v>1170</v>
      </c>
      <c r="C12" s="1329"/>
      <c r="D12" s="1329"/>
      <c r="E12" s="1329"/>
      <c r="F12" s="1329"/>
      <c r="G12" s="1329"/>
      <c r="H12" s="1329"/>
      <c r="I12" s="1329"/>
      <c r="J12" s="1329"/>
      <c r="K12" s="1329"/>
      <c r="L12" s="1330"/>
    </row>
    <row r="13" spans="1:12" s="411" customFormat="1" ht="27.6" x14ac:dyDescent="0.25">
      <c r="A13" s="761" t="s">
        <v>149</v>
      </c>
      <c r="B13" s="775" t="s">
        <v>148</v>
      </c>
      <c r="C13" s="761" t="s">
        <v>576</v>
      </c>
      <c r="D13" s="776">
        <f>D25</f>
        <v>45834.720000000001</v>
      </c>
      <c r="E13" s="785" t="s">
        <v>577</v>
      </c>
      <c r="F13" s="777">
        <v>1.095E-2</v>
      </c>
      <c r="G13" s="764" t="s">
        <v>578</v>
      </c>
      <c r="H13" s="778">
        <f>TRUNC(D13*F13,2)</f>
        <v>501.89</v>
      </c>
      <c r="I13" s="764" t="s">
        <v>572</v>
      </c>
      <c r="J13" s="786">
        <f>ÍNDICE!E19</f>
        <v>4.2</v>
      </c>
      <c r="K13" s="780">
        <f>TRUNC(H13*J13,2)</f>
        <v>2107.9299999999998</v>
      </c>
      <c r="L13" s="781" t="s">
        <v>573</v>
      </c>
    </row>
    <row r="14" spans="1:12" s="411" customFormat="1" ht="27.6" x14ac:dyDescent="0.25">
      <c r="A14" s="761" t="str">
        <f>$A$13</f>
        <v>CPAV006-1</v>
      </c>
      <c r="B14" s="775" t="str">
        <f>$B$13</f>
        <v>PAVIMENTO COM TRATAMENTO SUPERFICIAL DUPLO, COM EMULSÃO ASFÁLTICA RR-2C. AF_01/2020</v>
      </c>
      <c r="C14" s="761" t="s">
        <v>579</v>
      </c>
      <c r="D14" s="776">
        <f>D26</f>
        <v>45834.720000000001</v>
      </c>
      <c r="E14" s="785" t="s">
        <v>577</v>
      </c>
      <c r="F14" s="777">
        <v>2.2499999999999999E-2</v>
      </c>
      <c r="G14" s="764" t="s">
        <v>578</v>
      </c>
      <c r="H14" s="778">
        <f>TRUNC(D14*F14,2)</f>
        <v>1031.28</v>
      </c>
      <c r="I14" s="764" t="s">
        <v>572</v>
      </c>
      <c r="J14" s="779">
        <f>J13</f>
        <v>4.2</v>
      </c>
      <c r="K14" s="780">
        <f>TRUNC(H14*J14,2)</f>
        <v>4331.37</v>
      </c>
      <c r="L14" s="781" t="s">
        <v>573</v>
      </c>
    </row>
    <row r="15" spans="1:12" s="411" customFormat="1" ht="30" customHeight="1" x14ac:dyDescent="0.2">
      <c r="A15" s="1331" t="s">
        <v>575</v>
      </c>
      <c r="B15" s="1331"/>
      <c r="C15" s="1331"/>
      <c r="D15" s="1331"/>
      <c r="E15" s="1331"/>
      <c r="F15" s="1331"/>
      <c r="G15" s="1331"/>
      <c r="H15" s="1331"/>
      <c r="I15" s="1331"/>
      <c r="J15" s="1331"/>
      <c r="K15" s="782">
        <f>SUM(K13:K14)</f>
        <v>6439.2999999999993</v>
      </c>
      <c r="L15" s="783" t="s">
        <v>573</v>
      </c>
    </row>
    <row r="16" spans="1:12" s="301" customFormat="1" ht="30" customHeight="1" x14ac:dyDescent="0.3">
      <c r="A16" s="774">
        <v>95879</v>
      </c>
      <c r="B16" s="1329" t="s">
        <v>1172</v>
      </c>
      <c r="C16" s="1329"/>
      <c r="D16" s="1329"/>
      <c r="E16" s="1329"/>
      <c r="F16" s="1329"/>
      <c r="G16" s="1329"/>
      <c r="H16" s="1329"/>
      <c r="I16" s="1329"/>
      <c r="J16" s="1329"/>
      <c r="K16" s="1329"/>
      <c r="L16" s="1330"/>
    </row>
    <row r="17" spans="1:12" s="411" customFormat="1" ht="27.6" x14ac:dyDescent="0.25">
      <c r="A17" s="761" t="str">
        <f t="shared" ref="A17:A18" si="0">$A$13</f>
        <v>CPAV006-1</v>
      </c>
      <c r="B17" s="775" t="str">
        <f t="shared" ref="B17:B18" si="1">$B$13</f>
        <v>PAVIMENTO COM TRATAMENTO SUPERFICIAL DUPLO, COM EMULSÃO ASFÁLTICA RR-2C. AF_01/2020</v>
      </c>
      <c r="C17" s="761" t="str">
        <f>$C$13</f>
        <v>BRITA 0</v>
      </c>
      <c r="D17" s="776">
        <f>$D$13</f>
        <v>45834.720000000001</v>
      </c>
      <c r="E17" s="785" t="s">
        <v>577</v>
      </c>
      <c r="F17" s="777">
        <f>$F$13</f>
        <v>1.095E-2</v>
      </c>
      <c r="G17" s="764" t="s">
        <v>578</v>
      </c>
      <c r="H17" s="778">
        <f>TRUNC(D17*F17,2)</f>
        <v>501.89</v>
      </c>
      <c r="I17" s="764" t="s">
        <v>572</v>
      </c>
      <c r="J17" s="787">
        <f>IF(ÍNDICE!F19&lt;30,ÍNDICE!F19,30)</f>
        <v>30</v>
      </c>
      <c r="K17" s="780">
        <f>TRUNC(H17*J17,2)</f>
        <v>15056.7</v>
      </c>
      <c r="L17" s="781" t="s">
        <v>573</v>
      </c>
    </row>
    <row r="18" spans="1:12" s="411" customFormat="1" ht="27.6" x14ac:dyDescent="0.25">
      <c r="A18" s="761" t="str">
        <f t="shared" si="0"/>
        <v>CPAV006-1</v>
      </c>
      <c r="B18" s="775" t="str">
        <f t="shared" si="1"/>
        <v>PAVIMENTO COM TRATAMENTO SUPERFICIAL DUPLO, COM EMULSÃO ASFÁLTICA RR-2C. AF_01/2020</v>
      </c>
      <c r="C18" s="761" t="str">
        <f>$C$14</f>
        <v>BRITA 1</v>
      </c>
      <c r="D18" s="776">
        <f>$D$14</f>
        <v>45834.720000000001</v>
      </c>
      <c r="E18" s="785" t="s">
        <v>577</v>
      </c>
      <c r="F18" s="777">
        <f>$F$14</f>
        <v>2.2499999999999999E-2</v>
      </c>
      <c r="G18" s="764" t="s">
        <v>578</v>
      </c>
      <c r="H18" s="778">
        <f>TRUNC(D18*F18,2)</f>
        <v>1031.28</v>
      </c>
      <c r="I18" s="764" t="s">
        <v>572</v>
      </c>
      <c r="J18" s="787">
        <f>J17</f>
        <v>30</v>
      </c>
      <c r="K18" s="780">
        <f>TRUNC(H18*J18,2)</f>
        <v>30938.400000000001</v>
      </c>
      <c r="L18" s="781" t="s">
        <v>573</v>
      </c>
    </row>
    <row r="19" spans="1:12" s="411" customFormat="1" ht="30" customHeight="1" x14ac:dyDescent="0.2">
      <c r="A19" s="1331" t="s">
        <v>575</v>
      </c>
      <c r="B19" s="1331"/>
      <c r="C19" s="1331"/>
      <c r="D19" s="1331"/>
      <c r="E19" s="1331"/>
      <c r="F19" s="1331"/>
      <c r="G19" s="1331"/>
      <c r="H19" s="1331"/>
      <c r="I19" s="1331"/>
      <c r="J19" s="1331"/>
      <c r="K19" s="782">
        <f>SUM(K17:K18)</f>
        <v>45995.100000000006</v>
      </c>
      <c r="L19" s="783" t="s">
        <v>573</v>
      </c>
    </row>
    <row r="20" spans="1:12" s="301" customFormat="1" ht="30" customHeight="1" x14ac:dyDescent="0.3">
      <c r="A20" s="774">
        <v>93599</v>
      </c>
      <c r="B20" s="1329" t="s">
        <v>1173</v>
      </c>
      <c r="C20" s="1329"/>
      <c r="D20" s="1329"/>
      <c r="E20" s="1329"/>
      <c r="F20" s="1329"/>
      <c r="G20" s="1329"/>
      <c r="H20" s="1329"/>
      <c r="I20" s="1329"/>
      <c r="J20" s="1329"/>
      <c r="K20" s="1329"/>
      <c r="L20" s="1330"/>
    </row>
    <row r="21" spans="1:12" s="411" customFormat="1" ht="27.6" x14ac:dyDescent="0.25">
      <c r="A21" s="761" t="str">
        <f t="shared" ref="A21:A22" si="2">$A$13</f>
        <v>CPAV006-1</v>
      </c>
      <c r="B21" s="775" t="str">
        <f t="shared" ref="B21:B22" si="3">$B$13</f>
        <v>PAVIMENTO COM TRATAMENTO SUPERFICIAL DUPLO, COM EMULSÃO ASFÁLTICA RR-2C. AF_01/2020</v>
      </c>
      <c r="C21" s="761" t="str">
        <f>$C$13</f>
        <v>BRITA 0</v>
      </c>
      <c r="D21" s="776">
        <f>$D$13</f>
        <v>45834.720000000001</v>
      </c>
      <c r="E21" s="785" t="s">
        <v>577</v>
      </c>
      <c r="F21" s="777">
        <f>$F$13</f>
        <v>1.095E-2</v>
      </c>
      <c r="G21" s="764" t="s">
        <v>578</v>
      </c>
      <c r="H21" s="778">
        <f>TRUNC(D21*F21,2)</f>
        <v>501.89</v>
      </c>
      <c r="I21" s="764" t="s">
        <v>572</v>
      </c>
      <c r="J21" s="787">
        <f>IF(J17&gt;=30,ÍNDICE!F19-30,0)</f>
        <v>65.8</v>
      </c>
      <c r="K21" s="780">
        <f>TRUNC(H21*J21,2)</f>
        <v>33024.36</v>
      </c>
      <c r="L21" s="781" t="s">
        <v>573</v>
      </c>
    </row>
    <row r="22" spans="1:12" s="411" customFormat="1" ht="27.6" x14ac:dyDescent="0.25">
      <c r="A22" s="761" t="str">
        <f t="shared" si="2"/>
        <v>CPAV006-1</v>
      </c>
      <c r="B22" s="775" t="str">
        <f t="shared" si="3"/>
        <v>PAVIMENTO COM TRATAMENTO SUPERFICIAL DUPLO, COM EMULSÃO ASFÁLTICA RR-2C. AF_01/2020</v>
      </c>
      <c r="C22" s="761" t="str">
        <f>$C$14</f>
        <v>BRITA 1</v>
      </c>
      <c r="D22" s="776">
        <f>$D$14</f>
        <v>45834.720000000001</v>
      </c>
      <c r="E22" s="785" t="s">
        <v>577</v>
      </c>
      <c r="F22" s="777">
        <f>$F$14</f>
        <v>2.2499999999999999E-2</v>
      </c>
      <c r="G22" s="764" t="s">
        <v>578</v>
      </c>
      <c r="H22" s="778">
        <f>TRUNC(D22*F22,2)</f>
        <v>1031.28</v>
      </c>
      <c r="I22" s="764" t="s">
        <v>572</v>
      </c>
      <c r="J22" s="787">
        <f>J21</f>
        <v>65.8</v>
      </c>
      <c r="K22" s="780">
        <f>TRUNC(H22*J22,2)</f>
        <v>67858.22</v>
      </c>
      <c r="L22" s="781" t="s">
        <v>573</v>
      </c>
    </row>
    <row r="23" spans="1:12" s="411" customFormat="1" ht="30" customHeight="1" x14ac:dyDescent="0.2">
      <c r="A23" s="1331" t="s">
        <v>575</v>
      </c>
      <c r="B23" s="1331"/>
      <c r="C23" s="1331"/>
      <c r="D23" s="1331"/>
      <c r="E23" s="1331"/>
      <c r="F23" s="1331"/>
      <c r="G23" s="1331"/>
      <c r="H23" s="1331"/>
      <c r="I23" s="1331"/>
      <c r="J23" s="1331"/>
      <c r="K23" s="782">
        <f>SUM(K21:K22)</f>
        <v>100882.58</v>
      </c>
      <c r="L23" s="783" t="s">
        <v>573</v>
      </c>
    </row>
    <row r="24" spans="1:12" s="301" customFormat="1" ht="30" customHeight="1" x14ac:dyDescent="0.3">
      <c r="A24" s="774">
        <v>100966</v>
      </c>
      <c r="B24" s="1329" t="s">
        <v>1174</v>
      </c>
      <c r="C24" s="1329"/>
      <c r="D24" s="1329"/>
      <c r="E24" s="1329"/>
      <c r="F24" s="1329"/>
      <c r="G24" s="1329"/>
      <c r="H24" s="1329"/>
      <c r="I24" s="1329"/>
      <c r="J24" s="1329"/>
      <c r="K24" s="1329"/>
      <c r="L24" s="1330"/>
    </row>
    <row r="25" spans="1:12" s="411" customFormat="1" ht="30" customHeight="1" x14ac:dyDescent="0.25">
      <c r="A25" s="761">
        <v>4011352</v>
      </c>
      <c r="B25" s="775" t="s">
        <v>1168</v>
      </c>
      <c r="C25" s="788" t="s">
        <v>523</v>
      </c>
      <c r="D25" s="789">
        <f>PAVIMENTO!G45</f>
        <v>45834.720000000001</v>
      </c>
      <c r="E25" s="785" t="s">
        <v>577</v>
      </c>
      <c r="F25" s="777">
        <v>1.2999999999999999E-3</v>
      </c>
      <c r="G25" s="790" t="s">
        <v>578</v>
      </c>
      <c r="H25" s="778">
        <f>PAVIMENTO!I45</f>
        <v>59.58</v>
      </c>
      <c r="I25" s="764" t="s">
        <v>572</v>
      </c>
      <c r="J25" s="786">
        <f>ÍNDICE!E17</f>
        <v>0.35</v>
      </c>
      <c r="K25" s="780">
        <f>TRUNC(H25*J25,2)</f>
        <v>20.85</v>
      </c>
      <c r="L25" s="781" t="s">
        <v>573</v>
      </c>
    </row>
    <row r="26" spans="1:12" s="411" customFormat="1" ht="30" customHeight="1" x14ac:dyDescent="0.25">
      <c r="A26" s="761" t="s">
        <v>149</v>
      </c>
      <c r="B26" s="775" t="s">
        <v>148</v>
      </c>
      <c r="C26" s="788" t="s">
        <v>552</v>
      </c>
      <c r="D26" s="789">
        <f>D25</f>
        <v>45834.720000000001</v>
      </c>
      <c r="E26" s="785" t="s">
        <v>577</v>
      </c>
      <c r="F26" s="777">
        <v>3.5000000000000001E-3</v>
      </c>
      <c r="G26" s="790" t="s">
        <v>578</v>
      </c>
      <c r="H26" s="778">
        <f>PAVIMENTO!K45</f>
        <v>160.41999999999999</v>
      </c>
      <c r="I26" s="764" t="s">
        <v>572</v>
      </c>
      <c r="J26" s="791">
        <f>J25</f>
        <v>0.35</v>
      </c>
      <c r="K26" s="780">
        <f>TRUNC(H26*J26,2)</f>
        <v>56.14</v>
      </c>
      <c r="L26" s="781" t="s">
        <v>573</v>
      </c>
    </row>
    <row r="27" spans="1:12" s="411" customFormat="1" ht="30" customHeight="1" x14ac:dyDescent="0.2">
      <c r="A27" s="1331" t="s">
        <v>575</v>
      </c>
      <c r="B27" s="1331"/>
      <c r="C27" s="1331"/>
      <c r="D27" s="1331"/>
      <c r="E27" s="1331"/>
      <c r="F27" s="1331"/>
      <c r="G27" s="1331"/>
      <c r="H27" s="1331"/>
      <c r="I27" s="1331"/>
      <c r="J27" s="1331"/>
      <c r="K27" s="792">
        <f>TRUNC((SUM(K25:K26)),2)</f>
        <v>76.989999999999995</v>
      </c>
      <c r="L27" s="783" t="s">
        <v>573</v>
      </c>
    </row>
    <row r="28" spans="1:12" s="301" customFormat="1" ht="30" customHeight="1" x14ac:dyDescent="0.3">
      <c r="A28" s="774">
        <v>102330</v>
      </c>
      <c r="B28" s="1329" t="s">
        <v>1175</v>
      </c>
      <c r="C28" s="1329"/>
      <c r="D28" s="1329"/>
      <c r="E28" s="1329"/>
      <c r="F28" s="1329"/>
      <c r="G28" s="1329"/>
      <c r="H28" s="1329"/>
      <c r="I28" s="1329"/>
      <c r="J28" s="1329"/>
      <c r="K28" s="1329"/>
      <c r="L28" s="1330"/>
    </row>
    <row r="29" spans="1:12" s="411" customFormat="1" ht="30" customHeight="1" x14ac:dyDescent="0.25">
      <c r="A29" s="761">
        <v>4011352</v>
      </c>
      <c r="B29" s="775" t="s">
        <v>1168</v>
      </c>
      <c r="C29" s="788" t="str">
        <f>$C$25</f>
        <v>EAI</v>
      </c>
      <c r="D29" s="789">
        <f>D25</f>
        <v>45834.720000000001</v>
      </c>
      <c r="E29" s="785" t="s">
        <v>577</v>
      </c>
      <c r="F29" s="777">
        <v>1.2999999999999999E-3</v>
      </c>
      <c r="G29" s="790" t="s">
        <v>578</v>
      </c>
      <c r="H29" s="778">
        <f>$H$25</f>
        <v>59.58</v>
      </c>
      <c r="I29" s="764" t="s">
        <v>572</v>
      </c>
      <c r="J29" s="793">
        <f>IF(ÍNDICE!F17&lt;30,ÍNDICE!F17,30)</f>
        <v>30</v>
      </c>
      <c r="K29" s="780">
        <f>TRUNC(H29*J29,2)</f>
        <v>1787.4</v>
      </c>
      <c r="L29" s="781" t="s">
        <v>573</v>
      </c>
    </row>
    <row r="30" spans="1:12" s="411" customFormat="1" ht="30" customHeight="1" x14ac:dyDescent="0.25">
      <c r="A30" s="794" t="str">
        <f>$A$26</f>
        <v>CPAV006-1</v>
      </c>
      <c r="B30" s="775" t="s">
        <v>148</v>
      </c>
      <c r="C30" s="788" t="str">
        <f>$C$26</f>
        <v>RR-2C</v>
      </c>
      <c r="D30" s="789">
        <f>D26</f>
        <v>45834.720000000001</v>
      </c>
      <c r="E30" s="785" t="s">
        <v>577</v>
      </c>
      <c r="F30" s="777">
        <v>3.5000000000000001E-3</v>
      </c>
      <c r="G30" s="790" t="s">
        <v>578</v>
      </c>
      <c r="H30" s="778">
        <f>$H$26</f>
        <v>160.41999999999999</v>
      </c>
      <c r="I30" s="764" t="s">
        <v>572</v>
      </c>
      <c r="J30" s="795">
        <f>J29</f>
        <v>30</v>
      </c>
      <c r="K30" s="780">
        <f>TRUNC(H30*J30,2)</f>
        <v>4812.6000000000004</v>
      </c>
      <c r="L30" s="781" t="s">
        <v>573</v>
      </c>
    </row>
    <row r="31" spans="1:12" s="411" customFormat="1" ht="30" customHeight="1" x14ac:dyDescent="0.2">
      <c r="A31" s="1331" t="s">
        <v>575</v>
      </c>
      <c r="B31" s="1331"/>
      <c r="C31" s="1331"/>
      <c r="D31" s="1331"/>
      <c r="E31" s="1331"/>
      <c r="F31" s="1331"/>
      <c r="G31" s="1331"/>
      <c r="H31" s="1331"/>
      <c r="I31" s="1331"/>
      <c r="J31" s="1331"/>
      <c r="K31" s="792">
        <f>TRUNC((SUM(K29:K30)),2)</f>
        <v>6600</v>
      </c>
      <c r="L31" s="783" t="s">
        <v>573</v>
      </c>
    </row>
    <row r="32" spans="1:12" s="301" customFormat="1" ht="30" customHeight="1" x14ac:dyDescent="0.3">
      <c r="A32" s="774">
        <v>102331</v>
      </c>
      <c r="B32" s="1329" t="s">
        <v>1176</v>
      </c>
      <c r="C32" s="1329"/>
      <c r="D32" s="1329"/>
      <c r="E32" s="1329"/>
      <c r="F32" s="1329"/>
      <c r="G32" s="1329"/>
      <c r="H32" s="1329"/>
      <c r="I32" s="1329"/>
      <c r="J32" s="1329"/>
      <c r="K32" s="1329"/>
      <c r="L32" s="1330"/>
    </row>
    <row r="33" spans="1:12" s="411" customFormat="1" ht="30" customHeight="1" x14ac:dyDescent="0.25">
      <c r="A33" s="761">
        <v>4011352</v>
      </c>
      <c r="B33" s="775" t="s">
        <v>1168</v>
      </c>
      <c r="C33" s="788" t="str">
        <f>$C$25</f>
        <v>EAI</v>
      </c>
      <c r="D33" s="789">
        <f>D25</f>
        <v>45834.720000000001</v>
      </c>
      <c r="E33" s="785" t="s">
        <v>577</v>
      </c>
      <c r="F33" s="777">
        <v>1.2999999999999999E-3</v>
      </c>
      <c r="G33" s="790" t="s">
        <v>578</v>
      </c>
      <c r="H33" s="778">
        <f>$H$25</f>
        <v>59.58</v>
      </c>
      <c r="I33" s="764" t="s">
        <v>572</v>
      </c>
      <c r="J33" s="796">
        <f>IF(J29&gt;=30,ÍNDICE!F17-30,0)</f>
        <v>601.5</v>
      </c>
      <c r="K33" s="780">
        <f>TRUNC(H33*J33,2)</f>
        <v>35837.370000000003</v>
      </c>
      <c r="L33" s="781" t="s">
        <v>573</v>
      </c>
    </row>
    <row r="34" spans="1:12" ht="30" customHeight="1" x14ac:dyDescent="0.25">
      <c r="A34" s="794" t="str">
        <f>$A$26</f>
        <v>CPAV006-1</v>
      </c>
      <c r="B34" s="775" t="s">
        <v>148</v>
      </c>
      <c r="C34" s="788" t="str">
        <f>$C$26</f>
        <v>RR-2C</v>
      </c>
      <c r="D34" s="789">
        <f>D26</f>
        <v>45834.720000000001</v>
      </c>
      <c r="E34" s="785" t="s">
        <v>577</v>
      </c>
      <c r="F34" s="777">
        <v>3.5000000000000001E-3</v>
      </c>
      <c r="G34" s="790" t="s">
        <v>578</v>
      </c>
      <c r="H34" s="778">
        <f>$H$26</f>
        <v>160.41999999999999</v>
      </c>
      <c r="I34" s="764" t="s">
        <v>572</v>
      </c>
      <c r="J34" s="797">
        <f>J33</f>
        <v>601.5</v>
      </c>
      <c r="K34" s="780">
        <f>TRUNC(H34*J34,2)</f>
        <v>96492.63</v>
      </c>
      <c r="L34" s="781" t="s">
        <v>573</v>
      </c>
    </row>
    <row r="35" spans="1:12" ht="30" customHeight="1" x14ac:dyDescent="0.2">
      <c r="A35" s="1331" t="s">
        <v>575</v>
      </c>
      <c r="B35" s="1331"/>
      <c r="C35" s="1331"/>
      <c r="D35" s="1331"/>
      <c r="E35" s="1331"/>
      <c r="F35" s="1331"/>
      <c r="G35" s="1331"/>
      <c r="H35" s="1331"/>
      <c r="I35" s="1331"/>
      <c r="J35" s="1331"/>
      <c r="K35" s="792">
        <f>TRUNC((SUM(K33:K34)),2)</f>
        <v>132330</v>
      </c>
      <c r="L35" s="783" t="s">
        <v>573</v>
      </c>
    </row>
  </sheetData>
  <mergeCells count="24">
    <mergeCell ref="A15:J15"/>
    <mergeCell ref="A1:L1"/>
    <mergeCell ref="A2:A3"/>
    <mergeCell ref="C2:C3"/>
    <mergeCell ref="D2:D3"/>
    <mergeCell ref="E2:E3"/>
    <mergeCell ref="F2:G2"/>
    <mergeCell ref="I2:I3"/>
    <mergeCell ref="L2:L3"/>
    <mergeCell ref="B4:L4"/>
    <mergeCell ref="A7:J7"/>
    <mergeCell ref="B8:L8"/>
    <mergeCell ref="A11:J11"/>
    <mergeCell ref="B12:L12"/>
    <mergeCell ref="B28:L28"/>
    <mergeCell ref="A31:J31"/>
    <mergeCell ref="B32:L32"/>
    <mergeCell ref="A35:J35"/>
    <mergeCell ref="B16:L16"/>
    <mergeCell ref="A19:J19"/>
    <mergeCell ref="B20:L20"/>
    <mergeCell ref="A23:J23"/>
    <mergeCell ref="B24:L24"/>
    <mergeCell ref="A27:J27"/>
  </mergeCells>
  <printOptions horizontalCentered="1"/>
  <pageMargins left="0.59055118110236227" right="0.59055118110236227" top="1.7716535433070868" bottom="0.78740157480314965" header="0" footer="0"/>
  <pageSetup paperSize="9" scale="68" fitToHeight="100" orientation="landscape" r:id="rId1"/>
  <headerFooter scaleWithDoc="0">
    <oddHeader>&amp;L&amp;G</oddHeader>
  </headerFooter>
  <rowBreaks count="1" manualBreakCount="1">
    <brk id="19" max="16383" man="1"/>
  </rowBreaks>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0">
    <tabColor rgb="FF00B0F0"/>
    <pageSetUpPr fitToPage="1"/>
  </sheetPr>
  <dimension ref="A1:GP121"/>
  <sheetViews>
    <sheetView showGridLines="0" view="pageBreakPreview" topLeftCell="A21" zoomScaleNormal="100" zoomScaleSheetLayoutView="100" workbookViewId="0">
      <selection activeCell="K22" sqref="K22:L22"/>
    </sheetView>
  </sheetViews>
  <sheetFormatPr defaultColWidth="9.109375" defaultRowHeight="13.8" x14ac:dyDescent="0.25"/>
  <cols>
    <col min="1" max="1" width="7.109375" style="799" customWidth="1"/>
    <col min="2" max="2" width="37.5546875" style="799" customWidth="1"/>
    <col min="3" max="5" width="20.6640625" style="799" customWidth="1"/>
    <col min="6" max="6" width="25.33203125" style="799" customWidth="1"/>
    <col min="7" max="16384" width="9.109375" style="799"/>
  </cols>
  <sheetData>
    <row r="1" spans="1:6" ht="22.5" customHeight="1" x14ac:dyDescent="0.25">
      <c r="A1" s="1338" t="s">
        <v>580</v>
      </c>
      <c r="B1" s="1339"/>
      <c r="C1" s="1339"/>
      <c r="D1" s="1339"/>
      <c r="E1" s="1339"/>
      <c r="F1" s="1339"/>
    </row>
    <row r="2" spans="1:6" ht="27" customHeight="1" x14ac:dyDescent="0.25">
      <c r="A2" s="1340" t="s">
        <v>243</v>
      </c>
      <c r="B2" s="1340" t="s">
        <v>337</v>
      </c>
      <c r="C2" s="800" t="s">
        <v>581</v>
      </c>
      <c r="D2" s="800" t="s">
        <v>582</v>
      </c>
      <c r="E2" s="800" t="s">
        <v>583</v>
      </c>
      <c r="F2" s="801" t="s">
        <v>584</v>
      </c>
    </row>
    <row r="3" spans="1:6" ht="73.5" customHeight="1" x14ac:dyDescent="0.25">
      <c r="A3" s="1341"/>
      <c r="B3" s="1341"/>
      <c r="C3" s="802"/>
      <c r="D3" s="802"/>
      <c r="E3" s="802"/>
      <c r="F3" s="803"/>
    </row>
    <row r="4" spans="1:6" ht="15" customHeight="1" x14ac:dyDescent="0.2">
      <c r="A4" s="453">
        <f>RUAS!A4</f>
        <v>1</v>
      </c>
      <c r="B4" s="454" t="str">
        <f>RUAS!B4</f>
        <v>RUA LAGES</v>
      </c>
      <c r="C4" s="804">
        <v>0</v>
      </c>
      <c r="D4" s="804">
        <v>2</v>
      </c>
      <c r="E4" s="805">
        <v>0</v>
      </c>
      <c r="F4" s="805">
        <v>1</v>
      </c>
    </row>
    <row r="5" spans="1:6" ht="15" customHeight="1" x14ac:dyDescent="0.2">
      <c r="A5" s="453">
        <f>RUAS!A5</f>
        <v>2</v>
      </c>
      <c r="B5" s="454" t="str">
        <f>RUAS!B5</f>
        <v>RUA RESERVA - T1</v>
      </c>
      <c r="C5" s="804">
        <v>1</v>
      </c>
      <c r="D5" s="804">
        <v>1</v>
      </c>
      <c r="E5" s="805">
        <v>0</v>
      </c>
      <c r="F5" s="805">
        <v>1</v>
      </c>
    </row>
    <row r="6" spans="1:6" ht="15" customHeight="1" x14ac:dyDescent="0.2">
      <c r="A6" s="453">
        <f>RUAS!A6</f>
        <v>3</v>
      </c>
      <c r="B6" s="454" t="str">
        <f>RUAS!B6</f>
        <v>RUA RESERVA - T2</v>
      </c>
      <c r="C6" s="804">
        <v>2</v>
      </c>
      <c r="D6" s="804">
        <v>2</v>
      </c>
      <c r="E6" s="805">
        <v>0</v>
      </c>
      <c r="F6" s="805">
        <v>2</v>
      </c>
    </row>
    <row r="7" spans="1:6" ht="15" customHeight="1" x14ac:dyDescent="0.2">
      <c r="A7" s="453">
        <f>RUAS!A7</f>
        <v>4</v>
      </c>
      <c r="B7" s="454" t="str">
        <f>RUAS!B7</f>
        <v>RUA ANDIRÁ - T1</v>
      </c>
      <c r="C7" s="804">
        <v>1</v>
      </c>
      <c r="D7" s="804">
        <v>1</v>
      </c>
      <c r="E7" s="805">
        <v>0</v>
      </c>
      <c r="F7" s="805">
        <v>1</v>
      </c>
    </row>
    <row r="8" spans="1:6" ht="15" customHeight="1" x14ac:dyDescent="0.2">
      <c r="A8" s="453">
        <f>RUAS!A8</f>
        <v>5</v>
      </c>
      <c r="B8" s="454" t="str">
        <f>RUAS!B8</f>
        <v>RUA ANDIRÁ - T2</v>
      </c>
      <c r="C8" s="804">
        <v>2</v>
      </c>
      <c r="D8" s="804">
        <v>2</v>
      </c>
      <c r="E8" s="805">
        <v>0</v>
      </c>
      <c r="F8" s="805">
        <v>2</v>
      </c>
    </row>
    <row r="9" spans="1:6" ht="15" customHeight="1" x14ac:dyDescent="0.2">
      <c r="A9" s="453">
        <f>RUAS!A9</f>
        <v>6</v>
      </c>
      <c r="B9" s="454" t="str">
        <f>RUAS!B9</f>
        <v>AVENIDA SETE DE SETEMBRO - LE</v>
      </c>
      <c r="C9" s="804">
        <v>0</v>
      </c>
      <c r="D9" s="804">
        <v>2</v>
      </c>
      <c r="E9" s="805">
        <v>0</v>
      </c>
      <c r="F9" s="805">
        <v>1</v>
      </c>
    </row>
    <row r="10" spans="1:6" ht="15" customHeight="1" x14ac:dyDescent="0.2">
      <c r="A10" s="453">
        <f>RUAS!A10</f>
        <v>7</v>
      </c>
      <c r="B10" s="454" t="str">
        <f>RUAS!B10</f>
        <v>AVENIDA SETE DE SETEMBRO - LD</v>
      </c>
      <c r="C10" s="804">
        <v>2</v>
      </c>
      <c r="D10" s="804">
        <v>2</v>
      </c>
      <c r="E10" s="805">
        <v>0</v>
      </c>
      <c r="F10" s="805">
        <v>1</v>
      </c>
    </row>
    <row r="11" spans="1:6" ht="15" customHeight="1" x14ac:dyDescent="0.2">
      <c r="A11" s="453">
        <f>RUAS!A11</f>
        <v>8</v>
      </c>
      <c r="B11" s="454" t="str">
        <f>RUAS!B11</f>
        <v>RUA INDEPENDÊNCIA - T1</v>
      </c>
      <c r="C11" s="804">
        <v>1</v>
      </c>
      <c r="D11" s="804">
        <v>1</v>
      </c>
      <c r="E11" s="805">
        <v>0</v>
      </c>
      <c r="F11" s="805">
        <v>1</v>
      </c>
    </row>
    <row r="12" spans="1:6" ht="15" customHeight="1" x14ac:dyDescent="0.2">
      <c r="A12" s="453">
        <f>RUAS!A12</f>
        <v>9</v>
      </c>
      <c r="B12" s="454" t="str">
        <f>RUAS!B12</f>
        <v>RUA INDEPENDÊNCIA - T2</v>
      </c>
      <c r="C12" s="804">
        <v>2</v>
      </c>
      <c r="D12" s="804">
        <v>1</v>
      </c>
      <c r="E12" s="805">
        <v>0</v>
      </c>
      <c r="F12" s="805">
        <v>2</v>
      </c>
    </row>
    <row r="13" spans="1:6" ht="15" customHeight="1" x14ac:dyDescent="0.2">
      <c r="A13" s="453">
        <f>RUAS!A13</f>
        <v>10</v>
      </c>
      <c r="B13" s="454" t="str">
        <f>RUAS!B13</f>
        <v>RUA PARANAVAÍ - T1</v>
      </c>
      <c r="C13" s="804">
        <v>1</v>
      </c>
      <c r="D13" s="804">
        <v>1</v>
      </c>
      <c r="E13" s="805">
        <v>0</v>
      </c>
      <c r="F13" s="805">
        <v>1</v>
      </c>
    </row>
    <row r="14" spans="1:6" ht="15" customHeight="1" x14ac:dyDescent="0.2">
      <c r="A14" s="453">
        <f>RUAS!A14</f>
        <v>11</v>
      </c>
      <c r="B14" s="454" t="str">
        <f>RUAS!B14</f>
        <v>RUA PARANAVAÍ - T2</v>
      </c>
      <c r="C14" s="804">
        <v>2</v>
      </c>
      <c r="D14" s="804">
        <v>1</v>
      </c>
      <c r="E14" s="805">
        <v>1</v>
      </c>
      <c r="F14" s="805">
        <v>2</v>
      </c>
    </row>
    <row r="15" spans="1:6" ht="15" customHeight="1" x14ac:dyDescent="0.2">
      <c r="A15" s="453">
        <f>RUAS!A15</f>
        <v>12</v>
      </c>
      <c r="B15" s="454" t="str">
        <f>RUAS!B15</f>
        <v>RUA PONTA GROSSA - T1</v>
      </c>
      <c r="C15" s="804">
        <v>1</v>
      </c>
      <c r="D15" s="804">
        <v>1</v>
      </c>
      <c r="E15" s="805">
        <v>0</v>
      </c>
      <c r="F15" s="805">
        <v>1</v>
      </c>
    </row>
    <row r="16" spans="1:6" ht="15" customHeight="1" x14ac:dyDescent="0.2">
      <c r="A16" s="453">
        <f>RUAS!A16</f>
        <v>13</v>
      </c>
      <c r="B16" s="454" t="str">
        <f>RUAS!B16</f>
        <v>RUA PONTA GROSSA - T2</v>
      </c>
      <c r="C16" s="804">
        <v>2</v>
      </c>
      <c r="D16" s="804">
        <v>0</v>
      </c>
      <c r="E16" s="805">
        <v>0</v>
      </c>
      <c r="F16" s="805">
        <v>2</v>
      </c>
    </row>
    <row r="17" spans="1:6" ht="15" customHeight="1" x14ac:dyDescent="0.2">
      <c r="A17" s="453">
        <f>RUAS!A17</f>
        <v>14</v>
      </c>
      <c r="B17" s="454" t="str">
        <f>RUAS!B17</f>
        <v>RUA PONTA GROSSA - T3</v>
      </c>
      <c r="C17" s="804">
        <v>2</v>
      </c>
      <c r="D17" s="804">
        <v>1</v>
      </c>
      <c r="E17" s="805">
        <v>1</v>
      </c>
      <c r="F17" s="805">
        <v>2</v>
      </c>
    </row>
    <row r="18" spans="1:6" ht="15" customHeight="1" x14ac:dyDescent="0.2">
      <c r="A18" s="453">
        <f>RUAS!A18</f>
        <v>15</v>
      </c>
      <c r="B18" s="454" t="str">
        <f>RUAS!B18</f>
        <v>RUA ASTORGA - T1</v>
      </c>
      <c r="C18" s="804">
        <v>2</v>
      </c>
      <c r="D18" s="804">
        <v>0</v>
      </c>
      <c r="E18" s="805">
        <v>0</v>
      </c>
      <c r="F18" s="805">
        <v>2</v>
      </c>
    </row>
    <row r="19" spans="1:6" ht="15" customHeight="1" x14ac:dyDescent="0.2">
      <c r="A19" s="453">
        <f>RUAS!A19</f>
        <v>16</v>
      </c>
      <c r="B19" s="454" t="str">
        <f>RUAS!B19</f>
        <v>RUA ASTORGA - T2</v>
      </c>
      <c r="C19" s="804">
        <v>2</v>
      </c>
      <c r="D19" s="804">
        <v>1</v>
      </c>
      <c r="E19" s="805">
        <v>1</v>
      </c>
      <c r="F19" s="805">
        <v>2</v>
      </c>
    </row>
    <row r="20" spans="1:6" ht="15" customHeight="1" x14ac:dyDescent="0.2">
      <c r="A20" s="453">
        <f>RUAS!A20</f>
        <v>17</v>
      </c>
      <c r="B20" s="454" t="str">
        <f>RUAS!B20</f>
        <v>RUA ASTORGA - T3</v>
      </c>
      <c r="C20" s="804">
        <v>2</v>
      </c>
      <c r="D20" s="804">
        <v>0</v>
      </c>
      <c r="E20" s="805">
        <v>0</v>
      </c>
      <c r="F20" s="805">
        <v>2</v>
      </c>
    </row>
    <row r="21" spans="1:6" ht="15" customHeight="1" x14ac:dyDescent="0.2">
      <c r="A21" s="453">
        <f>RUAS!A21</f>
        <v>18</v>
      </c>
      <c r="B21" s="454" t="str">
        <f>RUAS!B21</f>
        <v>RUA ASTORGA - T4</v>
      </c>
      <c r="C21" s="804">
        <v>2</v>
      </c>
      <c r="D21" s="804">
        <v>1</v>
      </c>
      <c r="E21" s="805">
        <v>1</v>
      </c>
      <c r="F21" s="805">
        <v>2</v>
      </c>
    </row>
    <row r="22" spans="1:6" ht="15" customHeight="1" x14ac:dyDescent="0.2">
      <c r="A22" s="453">
        <f>RUAS!A22</f>
        <v>19</v>
      </c>
      <c r="B22" s="454" t="str">
        <f>RUAS!B22</f>
        <v>RUA SÃO JOSÉ DOS PINHAIS - T1</v>
      </c>
      <c r="C22" s="804">
        <v>1</v>
      </c>
      <c r="D22" s="804">
        <v>0</v>
      </c>
      <c r="E22" s="805">
        <v>0</v>
      </c>
      <c r="F22" s="805">
        <v>1</v>
      </c>
    </row>
    <row r="23" spans="1:6" ht="15" customHeight="1" x14ac:dyDescent="0.2">
      <c r="A23" s="453">
        <f>RUAS!A23</f>
        <v>20</v>
      </c>
      <c r="B23" s="454" t="str">
        <f>RUAS!B23</f>
        <v>RUA SÃO JOSÉ DOS PINHAIS - T2</v>
      </c>
      <c r="C23" s="804">
        <v>2</v>
      </c>
      <c r="D23" s="804">
        <v>1</v>
      </c>
      <c r="E23" s="805">
        <v>1</v>
      </c>
      <c r="F23" s="805">
        <v>2</v>
      </c>
    </row>
    <row r="24" spans="1:6" ht="15" customHeight="1" x14ac:dyDescent="0.2">
      <c r="A24" s="453">
        <f>RUAS!A24</f>
        <v>21</v>
      </c>
      <c r="B24" s="454" t="str">
        <f>RUAS!B24</f>
        <v>RUA SÃO JOSÉ DOS PINHAIS - T3</v>
      </c>
      <c r="C24" s="804">
        <v>2</v>
      </c>
      <c r="D24" s="804">
        <v>0</v>
      </c>
      <c r="E24" s="805">
        <v>0</v>
      </c>
      <c r="F24" s="805">
        <v>2</v>
      </c>
    </row>
    <row r="25" spans="1:6" ht="15" customHeight="1" x14ac:dyDescent="0.2">
      <c r="A25" s="453">
        <f>RUAS!A25</f>
        <v>22</v>
      </c>
      <c r="B25" s="454" t="str">
        <f>RUAS!B25</f>
        <v>RUA SÃO JOSÉ DOS PINHAIS - T4</v>
      </c>
      <c r="C25" s="804">
        <v>2</v>
      </c>
      <c r="D25" s="804">
        <v>1</v>
      </c>
      <c r="E25" s="805">
        <v>1</v>
      </c>
      <c r="F25" s="805">
        <v>2</v>
      </c>
    </row>
    <row r="26" spans="1:6" ht="15" customHeight="1" x14ac:dyDescent="0.2">
      <c r="A26" s="453">
        <f>RUAS!A26</f>
        <v>23</v>
      </c>
      <c r="B26" s="454" t="str">
        <f>RUAS!B26</f>
        <v>RUA COLORADO - T1</v>
      </c>
      <c r="C26" s="804">
        <v>2</v>
      </c>
      <c r="D26" s="804">
        <v>1</v>
      </c>
      <c r="E26" s="805">
        <v>1</v>
      </c>
      <c r="F26" s="805">
        <v>2</v>
      </c>
    </row>
    <row r="27" spans="1:6" ht="15" customHeight="1" x14ac:dyDescent="0.2">
      <c r="A27" s="453">
        <f>RUAS!A27</f>
        <v>24</v>
      </c>
      <c r="B27" s="454" t="str">
        <f>RUAS!B27</f>
        <v>RUA COLORADO - T2</v>
      </c>
      <c r="C27" s="804">
        <v>2</v>
      </c>
      <c r="D27" s="804">
        <v>0</v>
      </c>
      <c r="E27" s="805">
        <v>0</v>
      </c>
      <c r="F27" s="805">
        <v>2</v>
      </c>
    </row>
    <row r="28" spans="1:6" ht="15" customHeight="1" x14ac:dyDescent="0.2">
      <c r="A28" s="453">
        <f>RUAS!A28</f>
        <v>25</v>
      </c>
      <c r="B28" s="454" t="str">
        <f>RUAS!B28</f>
        <v>RUA COLORADO - T3</v>
      </c>
      <c r="C28" s="804">
        <v>2</v>
      </c>
      <c r="D28" s="804">
        <v>1</v>
      </c>
      <c r="E28" s="805">
        <v>1</v>
      </c>
      <c r="F28" s="805">
        <v>2</v>
      </c>
    </row>
    <row r="29" spans="1:6" ht="15" customHeight="1" x14ac:dyDescent="0.2">
      <c r="A29" s="453">
        <f>RUAS!A29</f>
        <v>26</v>
      </c>
      <c r="B29" s="454" t="str">
        <f>RUAS!B29</f>
        <v>RUA FOZ DO IGUAÇU - T1</v>
      </c>
      <c r="C29" s="804">
        <v>1</v>
      </c>
      <c r="D29" s="804">
        <v>0</v>
      </c>
      <c r="E29" s="805">
        <v>0</v>
      </c>
      <c r="F29" s="805">
        <v>1</v>
      </c>
    </row>
    <row r="30" spans="1:6" ht="15" customHeight="1" x14ac:dyDescent="0.2">
      <c r="A30" s="453">
        <f>RUAS!A30</f>
        <v>27</v>
      </c>
      <c r="B30" s="454" t="str">
        <f>RUAS!B30</f>
        <v>RUA FOZ DO IGUAÇU - T2</v>
      </c>
      <c r="C30" s="804">
        <v>2</v>
      </c>
      <c r="D30" s="804">
        <v>1</v>
      </c>
      <c r="E30" s="805">
        <v>1</v>
      </c>
      <c r="F30" s="805">
        <v>2</v>
      </c>
    </row>
    <row r="31" spans="1:6" ht="15" customHeight="1" x14ac:dyDescent="0.2">
      <c r="A31" s="453">
        <f>RUAS!A31</f>
        <v>28</v>
      </c>
      <c r="B31" s="454" t="str">
        <f>RUAS!B31</f>
        <v>RUA FOZ DO IGUAÇU - T3</v>
      </c>
      <c r="C31" s="804">
        <v>2</v>
      </c>
      <c r="D31" s="804">
        <v>0</v>
      </c>
      <c r="E31" s="805">
        <v>0</v>
      </c>
      <c r="F31" s="805">
        <v>2</v>
      </c>
    </row>
    <row r="32" spans="1:6" ht="15" customHeight="1" x14ac:dyDescent="0.2">
      <c r="A32" s="453">
        <f>RUAS!A32</f>
        <v>29</v>
      </c>
      <c r="B32" s="454" t="str">
        <f>RUAS!B32</f>
        <v>RUA FOZ DO IGUAÇU - T4</v>
      </c>
      <c r="C32" s="804">
        <v>2</v>
      </c>
      <c r="D32" s="804">
        <v>1</v>
      </c>
      <c r="E32" s="805">
        <v>1</v>
      </c>
      <c r="F32" s="805">
        <v>2</v>
      </c>
    </row>
    <row r="33" spans="1:198" ht="15" customHeight="1" x14ac:dyDescent="0.2">
      <c r="A33" s="453">
        <f>RUAS!A33</f>
        <v>30</v>
      </c>
      <c r="B33" s="454" t="str">
        <f>RUAS!B33</f>
        <v>RUA CARAZINHO</v>
      </c>
      <c r="C33" s="804">
        <v>1</v>
      </c>
      <c r="D33" s="804">
        <v>3</v>
      </c>
      <c r="E33" s="805">
        <v>1</v>
      </c>
      <c r="F33" s="805">
        <v>1</v>
      </c>
    </row>
    <row r="34" spans="1:198" ht="15" customHeight="1" x14ac:dyDescent="0.2">
      <c r="A34" s="453">
        <f>RUAS!A34</f>
        <v>31</v>
      </c>
      <c r="B34" s="454" t="str">
        <f>RUAS!B34</f>
        <v>RUA LONDRINA</v>
      </c>
      <c r="C34" s="804">
        <v>1</v>
      </c>
      <c r="D34" s="804">
        <v>2</v>
      </c>
      <c r="E34" s="805">
        <v>0</v>
      </c>
      <c r="F34" s="805">
        <v>1</v>
      </c>
    </row>
    <row r="35" spans="1:198" ht="15" customHeight="1" x14ac:dyDescent="0.2">
      <c r="A35" s="453">
        <f>RUAS!A35</f>
        <v>32</v>
      </c>
      <c r="B35" s="454" t="str">
        <f>RUAS!B35</f>
        <v>RUA CENTRO NOVO</v>
      </c>
      <c r="C35" s="804">
        <v>2</v>
      </c>
      <c r="D35" s="804">
        <v>4</v>
      </c>
      <c r="E35" s="805">
        <v>0</v>
      </c>
      <c r="F35" s="805">
        <v>2</v>
      </c>
    </row>
    <row r="36" spans="1:198" ht="15" customHeight="1" x14ac:dyDescent="0.2">
      <c r="A36" s="453">
        <f>RUAS!A36</f>
        <v>33</v>
      </c>
      <c r="B36" s="454" t="str">
        <f>RUAS!B36</f>
        <v>RUA DESEMIGRADOS</v>
      </c>
      <c r="C36" s="804">
        <v>1</v>
      </c>
      <c r="D36" s="804">
        <v>4</v>
      </c>
      <c r="E36" s="805">
        <v>0</v>
      </c>
      <c r="F36" s="805">
        <v>1</v>
      </c>
    </row>
    <row r="37" spans="1:198" ht="15" customHeight="1" x14ac:dyDescent="0.2">
      <c r="A37" s="453">
        <f>RUAS!A37</f>
        <v>34</v>
      </c>
      <c r="B37" s="454" t="str">
        <f>RUAS!B37</f>
        <v>RUA MARIALVA - T1</v>
      </c>
      <c r="C37" s="804">
        <v>2</v>
      </c>
      <c r="D37" s="804">
        <v>8</v>
      </c>
      <c r="E37" s="805">
        <v>0</v>
      </c>
      <c r="F37" s="805">
        <v>2</v>
      </c>
    </row>
    <row r="38" spans="1:198" ht="15" customHeight="1" x14ac:dyDescent="0.2">
      <c r="A38" s="453">
        <f>RUAS!A38</f>
        <v>35</v>
      </c>
      <c r="B38" s="454" t="str">
        <f>RUAS!B38</f>
        <v>RUA MARIALVA - T2</v>
      </c>
      <c r="C38" s="804">
        <v>2</v>
      </c>
      <c r="D38" s="804">
        <v>0</v>
      </c>
      <c r="E38" s="805">
        <v>0</v>
      </c>
      <c r="F38" s="805">
        <v>2</v>
      </c>
    </row>
    <row r="39" spans="1:198" ht="15" customHeight="1" x14ac:dyDescent="0.2">
      <c r="A39" s="453">
        <f>RUAS!A39</f>
        <v>36</v>
      </c>
      <c r="B39" s="454" t="str">
        <f>RUAS!B39</f>
        <v>RUA MARIALVA - T3</v>
      </c>
      <c r="C39" s="804">
        <v>2</v>
      </c>
      <c r="D39" s="804">
        <v>2</v>
      </c>
      <c r="E39" s="805">
        <v>0</v>
      </c>
      <c r="F39" s="805">
        <v>2</v>
      </c>
    </row>
    <row r="40" spans="1:198" ht="15" customHeight="1" x14ac:dyDescent="0.2">
      <c r="A40" s="453">
        <f>RUAS!A40</f>
        <v>37</v>
      </c>
      <c r="B40" s="454" t="str">
        <f>RUAS!B40</f>
        <v>RUA CAMPO LARGO</v>
      </c>
      <c r="C40" s="804">
        <v>2</v>
      </c>
      <c r="D40" s="804">
        <v>0</v>
      </c>
      <c r="E40" s="805">
        <v>0</v>
      </c>
      <c r="F40" s="805">
        <v>2</v>
      </c>
    </row>
    <row r="41" spans="1:198" ht="15" customHeight="1" x14ac:dyDescent="0.2">
      <c r="A41" s="453">
        <f>RUAS!A41</f>
        <v>38</v>
      </c>
      <c r="B41" s="454" t="str">
        <f>RUAS!B41</f>
        <v>RUA PARANAGUÁ</v>
      </c>
      <c r="C41" s="804">
        <v>1</v>
      </c>
      <c r="D41" s="804">
        <v>9</v>
      </c>
      <c r="E41" s="805">
        <v>0</v>
      </c>
      <c r="F41" s="805">
        <v>0</v>
      </c>
    </row>
    <row r="42" spans="1:198" ht="15" customHeight="1" x14ac:dyDescent="0.2">
      <c r="A42" s="453">
        <f>RUAS!A42</f>
        <v>39</v>
      </c>
      <c r="B42" s="454" t="str">
        <f>RUAS!B42</f>
        <v>RUA CAMPINAS</v>
      </c>
      <c r="C42" s="804">
        <v>0</v>
      </c>
      <c r="D42" s="804">
        <v>2</v>
      </c>
      <c r="E42" s="805">
        <v>0</v>
      </c>
      <c r="F42" s="805">
        <v>0</v>
      </c>
    </row>
    <row r="43" spans="1:198" ht="15" customHeight="1" x14ac:dyDescent="0.2">
      <c r="A43" s="453">
        <f>RUAS!A43</f>
        <v>40</v>
      </c>
      <c r="B43" s="454" t="str">
        <f>RUAS!B43</f>
        <v>ACESSO 1</v>
      </c>
      <c r="C43" s="804">
        <v>2</v>
      </c>
      <c r="D43" s="804">
        <v>0</v>
      </c>
      <c r="E43" s="805">
        <v>0</v>
      </c>
      <c r="F43" s="805">
        <v>0</v>
      </c>
    </row>
    <row r="44" spans="1:198" ht="15" customHeight="1" x14ac:dyDescent="0.2">
      <c r="A44" s="453">
        <f>RUAS!A44</f>
        <v>41</v>
      </c>
      <c r="B44" s="454" t="str">
        <f>RUAS!B44</f>
        <v>ACESSO 2</v>
      </c>
      <c r="C44" s="804">
        <v>2</v>
      </c>
      <c r="D44" s="804">
        <v>0</v>
      </c>
      <c r="E44" s="805">
        <v>0</v>
      </c>
      <c r="F44" s="805">
        <v>0</v>
      </c>
    </row>
    <row r="45" spans="1:198" ht="15" x14ac:dyDescent="0.25">
      <c r="A45" s="1342" t="s">
        <v>287</v>
      </c>
      <c r="B45" s="1342"/>
      <c r="C45" s="806">
        <f t="shared" ref="C45:F45" si="0">SUM(C4:C44)</f>
        <v>65</v>
      </c>
      <c r="D45" s="806">
        <f t="shared" si="0"/>
        <v>60</v>
      </c>
      <c r="E45" s="806">
        <f t="shared" si="0"/>
        <v>11</v>
      </c>
      <c r="F45" s="806">
        <f t="shared" si="0"/>
        <v>61</v>
      </c>
    </row>
    <row r="46" spans="1:198" ht="20.100000000000001" customHeight="1" x14ac:dyDescent="0.2">
      <c r="A46" s="807" t="s">
        <v>585</v>
      </c>
      <c r="B46" s="808"/>
      <c r="C46" s="809">
        <f>SUM(C45:F45)</f>
        <v>197</v>
      </c>
      <c r="D46" s="1343"/>
      <c r="E46" s="1343"/>
      <c r="F46" s="1343"/>
      <c r="G46" s="463"/>
      <c r="H46" s="464"/>
      <c r="I46" s="465"/>
      <c r="J46" s="463"/>
      <c r="K46" s="463"/>
      <c r="L46" s="463"/>
      <c r="M46" s="463"/>
      <c r="N46" s="464"/>
      <c r="O46" s="465"/>
      <c r="P46" s="463"/>
      <c r="Q46" s="463"/>
      <c r="R46" s="463"/>
      <c r="S46" s="463"/>
      <c r="T46" s="464"/>
      <c r="U46" s="465"/>
      <c r="V46" s="463"/>
      <c r="W46" s="463"/>
      <c r="X46" s="463"/>
      <c r="Y46" s="463"/>
      <c r="Z46" s="464"/>
      <c r="AA46" s="465"/>
      <c r="AB46" s="463"/>
      <c r="AC46" s="463"/>
      <c r="AD46" s="463"/>
      <c r="AE46" s="463"/>
      <c r="AF46" s="464"/>
      <c r="AG46" s="465"/>
      <c r="AH46" s="463"/>
      <c r="AI46" s="463"/>
      <c r="AJ46" s="463"/>
      <c r="AK46" s="463"/>
      <c r="AL46" s="464"/>
      <c r="AM46" s="465"/>
      <c r="AN46" s="463"/>
      <c r="AO46" s="463"/>
      <c r="AP46" s="463"/>
      <c r="AQ46" s="463"/>
      <c r="AR46" s="464"/>
      <c r="AS46" s="465"/>
      <c r="AT46" s="463"/>
      <c r="AU46" s="463"/>
      <c r="AV46" s="463"/>
      <c r="AW46" s="463"/>
      <c r="AX46" s="464"/>
      <c r="AY46" s="465"/>
      <c r="AZ46" s="463"/>
      <c r="BA46" s="463"/>
      <c r="BB46" s="463"/>
      <c r="BC46" s="463"/>
      <c r="BD46" s="464"/>
      <c r="BE46" s="465"/>
      <c r="BF46" s="463"/>
      <c r="BG46" s="463"/>
      <c r="BH46" s="463"/>
      <c r="BI46" s="463"/>
      <c r="BJ46" s="464"/>
      <c r="BK46" s="465"/>
      <c r="BL46" s="463"/>
      <c r="BM46" s="463"/>
      <c r="BN46" s="463"/>
      <c r="BO46" s="463"/>
      <c r="BP46" s="464"/>
      <c r="BQ46" s="465"/>
      <c r="BR46" s="463"/>
      <c r="BS46" s="463"/>
      <c r="BT46" s="463"/>
      <c r="BU46" s="463"/>
      <c r="BV46" s="464"/>
      <c r="BW46" s="465"/>
      <c r="BX46" s="463"/>
      <c r="BY46" s="463"/>
      <c r="BZ46" s="463"/>
      <c r="CA46" s="463"/>
      <c r="CB46" s="464"/>
      <c r="CC46" s="465"/>
      <c r="CD46" s="463"/>
      <c r="CE46" s="463"/>
      <c r="CF46" s="463"/>
      <c r="CG46" s="463"/>
      <c r="CH46" s="464"/>
      <c r="CI46" s="465"/>
      <c r="CJ46" s="463"/>
      <c r="CK46" s="463"/>
      <c r="CL46" s="463"/>
      <c r="CM46" s="463"/>
      <c r="CN46" s="464"/>
      <c r="CO46" s="465"/>
      <c r="CP46" s="463"/>
      <c r="CQ46" s="463"/>
      <c r="CR46" s="463"/>
      <c r="CS46" s="463"/>
      <c r="CT46" s="464"/>
      <c r="CU46" s="465"/>
      <c r="CV46" s="463"/>
      <c r="CW46" s="463"/>
      <c r="CX46" s="463"/>
      <c r="CY46" s="463"/>
      <c r="CZ46" s="464"/>
      <c r="DA46" s="465"/>
      <c r="DB46" s="463"/>
      <c r="DC46" s="463"/>
      <c r="DD46" s="463"/>
      <c r="DE46" s="463"/>
      <c r="DF46" s="464"/>
      <c r="DG46" s="465"/>
      <c r="DH46" s="463"/>
      <c r="DI46" s="463"/>
      <c r="DJ46" s="463"/>
      <c r="DK46" s="463"/>
      <c r="DL46" s="464"/>
      <c r="DM46" s="465"/>
      <c r="DN46" s="463"/>
      <c r="DO46" s="463"/>
      <c r="DP46" s="463"/>
      <c r="DQ46" s="463"/>
      <c r="DR46" s="464"/>
      <c r="DS46" s="465"/>
      <c r="DT46" s="463"/>
      <c r="DU46" s="463"/>
      <c r="DV46" s="463"/>
      <c r="DW46" s="463"/>
      <c r="DX46" s="464"/>
      <c r="DY46" s="465"/>
      <c r="DZ46" s="463"/>
      <c r="EA46" s="463"/>
      <c r="EB46" s="463"/>
      <c r="EC46" s="463"/>
      <c r="ED46" s="464"/>
      <c r="EE46" s="465"/>
      <c r="EF46" s="463"/>
      <c r="EG46" s="463"/>
      <c r="EH46" s="463"/>
      <c r="EI46" s="463"/>
      <c r="EJ46" s="464"/>
      <c r="EK46" s="465"/>
      <c r="EL46" s="463"/>
      <c r="EM46" s="463"/>
      <c r="EN46" s="463"/>
      <c r="EO46" s="463"/>
      <c r="EP46" s="464"/>
      <c r="EQ46" s="465"/>
      <c r="ER46" s="463"/>
      <c r="ES46" s="463"/>
      <c r="ET46" s="463"/>
      <c r="EU46" s="463"/>
      <c r="EV46" s="464"/>
      <c r="EW46" s="465"/>
      <c r="EX46" s="463"/>
      <c r="EY46" s="463"/>
      <c r="EZ46" s="463"/>
      <c r="FA46" s="463"/>
      <c r="FB46" s="464"/>
      <c r="FC46" s="465"/>
      <c r="FD46" s="463"/>
      <c r="FE46" s="463"/>
      <c r="FF46" s="463"/>
      <c r="FG46" s="463"/>
      <c r="FH46" s="464"/>
      <c r="FI46" s="465"/>
      <c r="FJ46" s="463"/>
      <c r="FK46" s="463"/>
      <c r="FL46" s="463"/>
      <c r="FM46" s="463"/>
      <c r="FN46" s="464"/>
      <c r="FO46" s="465"/>
      <c r="FP46" s="463"/>
      <c r="FQ46" s="463"/>
      <c r="FR46" s="463"/>
      <c r="FS46" s="463"/>
      <c r="FT46" s="464"/>
      <c r="FU46" s="465"/>
      <c r="FV46" s="463"/>
      <c r="FW46" s="463"/>
      <c r="FX46" s="463"/>
      <c r="FY46" s="463"/>
      <c r="FZ46" s="464"/>
      <c r="GA46" s="465"/>
      <c r="GB46" s="463"/>
      <c r="GC46" s="463"/>
      <c r="GD46" s="463"/>
      <c r="GE46" s="463"/>
      <c r="GF46" s="464"/>
      <c r="GG46" s="465"/>
      <c r="GH46" s="463"/>
      <c r="GI46" s="463"/>
      <c r="GJ46" s="463"/>
      <c r="GK46" s="463"/>
      <c r="GL46" s="464"/>
      <c r="GM46" s="465"/>
      <c r="GN46" s="463"/>
      <c r="GO46" s="463"/>
      <c r="GP46" s="463"/>
    </row>
    <row r="47" spans="1:198" x14ac:dyDescent="0.25">
      <c r="A47" s="810" t="s">
        <v>586</v>
      </c>
      <c r="B47" s="810" t="s">
        <v>587</v>
      </c>
    </row>
    <row r="78"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4.5" customHeight="1" x14ac:dyDescent="0.25"/>
  </sheetData>
  <mergeCells count="5">
    <mergeCell ref="A1:F1"/>
    <mergeCell ref="A2:A3"/>
    <mergeCell ref="B2:B3"/>
    <mergeCell ref="A45:B45"/>
    <mergeCell ref="D46:F46"/>
  </mergeCells>
  <printOptions horizontalCentered="1"/>
  <pageMargins left="0.59055118110236227" right="0.59055118110236227" top="1.7716535433070868" bottom="0.78740157480314965" header="0" footer="0"/>
  <pageSetup paperSize="9" scale="51" orientation="landscape" r:id="rId1"/>
  <headerFooter scaleWithDoc="0">
    <oddHeader>&amp;L&amp;G</oddHeader>
  </headerFooter>
  <drawing r:id="rId2"/>
  <legacyDrawingHF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7">
    <tabColor rgb="FF00B0F0"/>
    <pageSetUpPr fitToPage="1"/>
  </sheetPr>
  <dimension ref="A1:AH217"/>
  <sheetViews>
    <sheetView view="pageBreakPreview" zoomScale="70" zoomScaleNormal="100" zoomScaleSheetLayoutView="70" workbookViewId="0">
      <selection activeCell="K22" sqref="K22:L22"/>
    </sheetView>
  </sheetViews>
  <sheetFormatPr defaultRowHeight="13.2" x14ac:dyDescent="0.3"/>
  <cols>
    <col min="1" max="1" width="7.88671875" style="870" customWidth="1"/>
    <col min="2" max="2" width="33.88671875" style="870" customWidth="1"/>
    <col min="3" max="3" width="14" style="871" customWidth="1"/>
    <col min="4" max="4" width="17.109375" style="871" customWidth="1"/>
    <col min="5" max="5" width="9.44140625" style="871" customWidth="1"/>
    <col min="6" max="6" width="13.5546875" style="871" customWidth="1"/>
    <col min="7" max="7" width="15.6640625" style="872" customWidth="1"/>
    <col min="8" max="8" width="7.5546875" style="857" customWidth="1"/>
    <col min="9" max="9" width="12.88671875" style="857" customWidth="1"/>
    <col min="10" max="10" width="13.33203125" style="857" customWidth="1"/>
    <col min="11" max="11" width="7.5546875" style="857" customWidth="1"/>
    <col min="12" max="12" width="10" style="857" customWidth="1"/>
    <col min="13" max="13" width="14.109375" style="857" customWidth="1"/>
    <col min="14" max="14" width="19.5546875" style="857" customWidth="1"/>
    <col min="15" max="16" width="10" style="857" customWidth="1"/>
    <col min="17" max="17" width="15.44140625" style="857" customWidth="1"/>
    <col min="18" max="19" width="13" style="857" customWidth="1"/>
    <col min="20" max="20" width="14.6640625" style="857" customWidth="1"/>
    <col min="21" max="21" width="7.5546875" style="857" customWidth="1"/>
    <col min="22" max="22" width="10.109375" style="857" bestFit="1" customWidth="1"/>
    <col min="23" max="23" width="9.88671875" style="872" customWidth="1"/>
    <col min="24" max="24" width="11" style="857" customWidth="1"/>
    <col min="25" max="25" width="9.6640625" style="857" customWidth="1"/>
    <col min="26" max="26" width="9.88671875" style="872" customWidth="1"/>
    <col min="27" max="27" width="9.109375" style="857"/>
    <col min="28" max="28" width="9.88671875" style="857" customWidth="1"/>
    <col min="29" max="29" width="5.88671875" style="857" customWidth="1"/>
    <col min="30" max="30" width="7.109375" style="857" customWidth="1"/>
    <col min="31" max="31" width="10.109375" style="857" customWidth="1"/>
    <col min="32" max="233" width="9.109375" style="873"/>
    <col min="234" max="234" width="54.109375" style="873" bestFit="1" customWidth="1"/>
    <col min="235" max="235" width="22.109375" style="873" bestFit="1" customWidth="1"/>
    <col min="236" max="236" width="23.88671875" style="873" bestFit="1" customWidth="1"/>
    <col min="237" max="237" width="12.6640625" style="873" bestFit="1" customWidth="1"/>
    <col min="238" max="243" width="8" style="873" customWidth="1"/>
    <col min="244" max="489" width="9.109375" style="873"/>
    <col min="490" max="490" width="54.109375" style="873" bestFit="1" customWidth="1"/>
    <col min="491" max="491" width="22.109375" style="873" bestFit="1" customWidth="1"/>
    <col min="492" max="492" width="23.88671875" style="873" bestFit="1" customWidth="1"/>
    <col min="493" max="493" width="12.6640625" style="873" bestFit="1" customWidth="1"/>
    <col min="494" max="499" width="8" style="873" customWidth="1"/>
    <col min="500" max="745" width="9.109375" style="873"/>
    <col min="746" max="746" width="54.109375" style="873" bestFit="1" customWidth="1"/>
    <col min="747" max="747" width="22.109375" style="873" bestFit="1" customWidth="1"/>
    <col min="748" max="748" width="23.88671875" style="873" bestFit="1" customWidth="1"/>
    <col min="749" max="749" width="12.6640625" style="873" bestFit="1" customWidth="1"/>
    <col min="750" max="755" width="8" style="873" customWidth="1"/>
    <col min="756" max="1001" width="9.109375" style="873"/>
    <col min="1002" max="1002" width="54.109375" style="873" bestFit="1" customWidth="1"/>
    <col min="1003" max="1003" width="22.109375" style="873" bestFit="1" customWidth="1"/>
    <col min="1004" max="1004" width="23.88671875" style="873" bestFit="1" customWidth="1"/>
    <col min="1005" max="1005" width="12.6640625" style="873" bestFit="1" customWidth="1"/>
    <col min="1006" max="1011" width="8" style="873" customWidth="1"/>
    <col min="1012" max="1257" width="9.109375" style="873"/>
    <col min="1258" max="1258" width="54.109375" style="873" bestFit="1" customWidth="1"/>
    <col min="1259" max="1259" width="22.109375" style="873" bestFit="1" customWidth="1"/>
    <col min="1260" max="1260" width="23.88671875" style="873" bestFit="1" customWidth="1"/>
    <col min="1261" max="1261" width="12.6640625" style="873" bestFit="1" customWidth="1"/>
    <col min="1262" max="1267" width="8" style="873" customWidth="1"/>
    <col min="1268" max="1513" width="9.109375" style="873"/>
    <col min="1514" max="1514" width="54.109375" style="873" bestFit="1" customWidth="1"/>
    <col min="1515" max="1515" width="22.109375" style="873" bestFit="1" customWidth="1"/>
    <col min="1516" max="1516" width="23.88671875" style="873" bestFit="1" customWidth="1"/>
    <col min="1517" max="1517" width="12.6640625" style="873" bestFit="1" customWidth="1"/>
    <col min="1518" max="1523" width="8" style="873" customWidth="1"/>
    <col min="1524" max="1769" width="9.109375" style="873"/>
    <col min="1770" max="1770" width="54.109375" style="873" bestFit="1" customWidth="1"/>
    <col min="1771" max="1771" width="22.109375" style="873" bestFit="1" customWidth="1"/>
    <col min="1772" max="1772" width="23.88671875" style="873" bestFit="1" customWidth="1"/>
    <col min="1773" max="1773" width="12.6640625" style="873" bestFit="1" customWidth="1"/>
    <col min="1774" max="1779" width="8" style="873" customWidth="1"/>
    <col min="1780" max="2025" width="9.109375" style="873"/>
    <col min="2026" max="2026" width="54.109375" style="873" bestFit="1" customWidth="1"/>
    <col min="2027" max="2027" width="22.109375" style="873" bestFit="1" customWidth="1"/>
    <col min="2028" max="2028" width="23.88671875" style="873" bestFit="1" customWidth="1"/>
    <col min="2029" max="2029" width="12.6640625" style="873" bestFit="1" customWidth="1"/>
    <col min="2030" max="2035" width="8" style="873" customWidth="1"/>
    <col min="2036" max="2281" width="9.109375" style="873"/>
    <col min="2282" max="2282" width="54.109375" style="873" bestFit="1" customWidth="1"/>
    <col min="2283" max="2283" width="22.109375" style="873" bestFit="1" customWidth="1"/>
    <col min="2284" max="2284" width="23.88671875" style="873" bestFit="1" customWidth="1"/>
    <col min="2285" max="2285" width="12.6640625" style="873" bestFit="1" customWidth="1"/>
    <col min="2286" max="2291" width="8" style="873" customWidth="1"/>
    <col min="2292" max="2537" width="9.109375" style="873"/>
    <col min="2538" max="2538" width="54.109375" style="873" bestFit="1" customWidth="1"/>
    <col min="2539" max="2539" width="22.109375" style="873" bestFit="1" customWidth="1"/>
    <col min="2540" max="2540" width="23.88671875" style="873" bestFit="1" customWidth="1"/>
    <col min="2541" max="2541" width="12.6640625" style="873" bestFit="1" customWidth="1"/>
    <col min="2542" max="2547" width="8" style="873" customWidth="1"/>
    <col min="2548" max="2793" width="9.109375" style="873"/>
    <col min="2794" max="2794" width="54.109375" style="873" bestFit="1" customWidth="1"/>
    <col min="2795" max="2795" width="22.109375" style="873" bestFit="1" customWidth="1"/>
    <col min="2796" max="2796" width="23.88671875" style="873" bestFit="1" customWidth="1"/>
    <col min="2797" max="2797" width="12.6640625" style="873" bestFit="1" customWidth="1"/>
    <col min="2798" max="2803" width="8" style="873" customWidth="1"/>
    <col min="2804" max="3049" width="9.109375" style="873"/>
    <col min="3050" max="3050" width="54.109375" style="873" bestFit="1" customWidth="1"/>
    <col min="3051" max="3051" width="22.109375" style="873" bestFit="1" customWidth="1"/>
    <col min="3052" max="3052" width="23.88671875" style="873" bestFit="1" customWidth="1"/>
    <col min="3053" max="3053" width="12.6640625" style="873" bestFit="1" customWidth="1"/>
    <col min="3054" max="3059" width="8" style="873" customWidth="1"/>
    <col min="3060" max="3305" width="9.109375" style="873"/>
    <col min="3306" max="3306" width="54.109375" style="873" bestFit="1" customWidth="1"/>
    <col min="3307" max="3307" width="22.109375" style="873" bestFit="1" customWidth="1"/>
    <col min="3308" max="3308" width="23.88671875" style="873" bestFit="1" customWidth="1"/>
    <col min="3309" max="3309" width="12.6640625" style="873" bestFit="1" customWidth="1"/>
    <col min="3310" max="3315" width="8" style="873" customWidth="1"/>
    <col min="3316" max="3561" width="9.109375" style="873"/>
    <col min="3562" max="3562" width="54.109375" style="873" bestFit="1" customWidth="1"/>
    <col min="3563" max="3563" width="22.109375" style="873" bestFit="1" customWidth="1"/>
    <col min="3564" max="3564" width="23.88671875" style="873" bestFit="1" customWidth="1"/>
    <col min="3565" max="3565" width="12.6640625" style="873" bestFit="1" customWidth="1"/>
    <col min="3566" max="3571" width="8" style="873" customWidth="1"/>
    <col min="3572" max="3817" width="9.109375" style="873"/>
    <col min="3818" max="3818" width="54.109375" style="873" bestFit="1" customWidth="1"/>
    <col min="3819" max="3819" width="22.109375" style="873" bestFit="1" customWidth="1"/>
    <col min="3820" max="3820" width="23.88671875" style="873" bestFit="1" customWidth="1"/>
    <col min="3821" max="3821" width="12.6640625" style="873" bestFit="1" customWidth="1"/>
    <col min="3822" max="3827" width="8" style="873" customWidth="1"/>
    <col min="3828" max="4073" width="9.109375" style="873"/>
    <col min="4074" max="4074" width="54.109375" style="873" bestFit="1" customWidth="1"/>
    <col min="4075" max="4075" width="22.109375" style="873" bestFit="1" customWidth="1"/>
    <col min="4076" max="4076" width="23.88671875" style="873" bestFit="1" customWidth="1"/>
    <col min="4077" max="4077" width="12.6640625" style="873" bestFit="1" customWidth="1"/>
    <col min="4078" max="4083" width="8" style="873" customWidth="1"/>
    <col min="4084" max="4329" width="9.109375" style="873"/>
    <col min="4330" max="4330" width="54.109375" style="873" bestFit="1" customWidth="1"/>
    <col min="4331" max="4331" width="22.109375" style="873" bestFit="1" customWidth="1"/>
    <col min="4332" max="4332" width="23.88671875" style="873" bestFit="1" customWidth="1"/>
    <col min="4333" max="4333" width="12.6640625" style="873" bestFit="1" customWidth="1"/>
    <col min="4334" max="4339" width="8" style="873" customWidth="1"/>
    <col min="4340" max="4585" width="9.109375" style="873"/>
    <col min="4586" max="4586" width="54.109375" style="873" bestFit="1" customWidth="1"/>
    <col min="4587" max="4587" width="22.109375" style="873" bestFit="1" customWidth="1"/>
    <col min="4588" max="4588" width="23.88671875" style="873" bestFit="1" customWidth="1"/>
    <col min="4589" max="4589" width="12.6640625" style="873" bestFit="1" customWidth="1"/>
    <col min="4590" max="4595" width="8" style="873" customWidth="1"/>
    <col min="4596" max="4841" width="9.109375" style="873"/>
    <col min="4842" max="4842" width="54.109375" style="873" bestFit="1" customWidth="1"/>
    <col min="4843" max="4843" width="22.109375" style="873" bestFit="1" customWidth="1"/>
    <col min="4844" max="4844" width="23.88671875" style="873" bestFit="1" customWidth="1"/>
    <col min="4845" max="4845" width="12.6640625" style="873" bestFit="1" customWidth="1"/>
    <col min="4846" max="4851" width="8" style="873" customWidth="1"/>
    <col min="4852" max="5097" width="9.109375" style="873"/>
    <col min="5098" max="5098" width="54.109375" style="873" bestFit="1" customWidth="1"/>
    <col min="5099" max="5099" width="22.109375" style="873" bestFit="1" customWidth="1"/>
    <col min="5100" max="5100" width="23.88671875" style="873" bestFit="1" customWidth="1"/>
    <col min="5101" max="5101" width="12.6640625" style="873" bestFit="1" customWidth="1"/>
    <col min="5102" max="5107" width="8" style="873" customWidth="1"/>
    <col min="5108" max="5353" width="9.109375" style="873"/>
    <col min="5354" max="5354" width="54.109375" style="873" bestFit="1" customWidth="1"/>
    <col min="5355" max="5355" width="22.109375" style="873" bestFit="1" customWidth="1"/>
    <col min="5356" max="5356" width="23.88671875" style="873" bestFit="1" customWidth="1"/>
    <col min="5357" max="5357" width="12.6640625" style="873" bestFit="1" customWidth="1"/>
    <col min="5358" max="5363" width="8" style="873" customWidth="1"/>
    <col min="5364" max="5609" width="9.109375" style="873"/>
    <col min="5610" max="5610" width="54.109375" style="873" bestFit="1" customWidth="1"/>
    <col min="5611" max="5611" width="22.109375" style="873" bestFit="1" customWidth="1"/>
    <col min="5612" max="5612" width="23.88671875" style="873" bestFit="1" customWidth="1"/>
    <col min="5613" max="5613" width="12.6640625" style="873" bestFit="1" customWidth="1"/>
    <col min="5614" max="5619" width="8" style="873" customWidth="1"/>
    <col min="5620" max="5865" width="9.109375" style="873"/>
    <col min="5866" max="5866" width="54.109375" style="873" bestFit="1" customWidth="1"/>
    <col min="5867" max="5867" width="22.109375" style="873" bestFit="1" customWidth="1"/>
    <col min="5868" max="5868" width="23.88671875" style="873" bestFit="1" customWidth="1"/>
    <col min="5869" max="5869" width="12.6640625" style="873" bestFit="1" customWidth="1"/>
    <col min="5870" max="5875" width="8" style="873" customWidth="1"/>
    <col min="5876" max="6121" width="9.109375" style="873"/>
    <col min="6122" max="6122" width="54.109375" style="873" bestFit="1" customWidth="1"/>
    <col min="6123" max="6123" width="22.109375" style="873" bestFit="1" customWidth="1"/>
    <col min="6124" max="6124" width="23.88671875" style="873" bestFit="1" customWidth="1"/>
    <col min="6125" max="6125" width="12.6640625" style="873" bestFit="1" customWidth="1"/>
    <col min="6126" max="6131" width="8" style="873" customWidth="1"/>
    <col min="6132" max="6377" width="9.109375" style="873"/>
    <col min="6378" max="6378" width="54.109375" style="873" bestFit="1" customWidth="1"/>
    <col min="6379" max="6379" width="22.109375" style="873" bestFit="1" customWidth="1"/>
    <col min="6380" max="6380" width="23.88671875" style="873" bestFit="1" customWidth="1"/>
    <col min="6381" max="6381" width="12.6640625" style="873" bestFit="1" customWidth="1"/>
    <col min="6382" max="6387" width="8" style="873" customWidth="1"/>
    <col min="6388" max="6633" width="9.109375" style="873"/>
    <col min="6634" max="6634" width="54.109375" style="873" bestFit="1" customWidth="1"/>
    <col min="6635" max="6635" width="22.109375" style="873" bestFit="1" customWidth="1"/>
    <col min="6636" max="6636" width="23.88671875" style="873" bestFit="1" customWidth="1"/>
    <col min="6637" max="6637" width="12.6640625" style="873" bestFit="1" customWidth="1"/>
    <col min="6638" max="6643" width="8" style="873" customWidth="1"/>
    <col min="6644" max="6889" width="9.109375" style="873"/>
    <col min="6890" max="6890" width="54.109375" style="873" bestFit="1" customWidth="1"/>
    <col min="6891" max="6891" width="22.109375" style="873" bestFit="1" customWidth="1"/>
    <col min="6892" max="6892" width="23.88671875" style="873" bestFit="1" customWidth="1"/>
    <col min="6893" max="6893" width="12.6640625" style="873" bestFit="1" customWidth="1"/>
    <col min="6894" max="6899" width="8" style="873" customWidth="1"/>
    <col min="6900" max="7145" width="9.109375" style="873"/>
    <col min="7146" max="7146" width="54.109375" style="873" bestFit="1" customWidth="1"/>
    <col min="7147" max="7147" width="22.109375" style="873" bestFit="1" customWidth="1"/>
    <col min="7148" max="7148" width="23.88671875" style="873" bestFit="1" customWidth="1"/>
    <col min="7149" max="7149" width="12.6640625" style="873" bestFit="1" customWidth="1"/>
    <col min="7150" max="7155" width="8" style="873" customWidth="1"/>
    <col min="7156" max="7401" width="9.109375" style="873"/>
    <col min="7402" max="7402" width="54.109375" style="873" bestFit="1" customWidth="1"/>
    <col min="7403" max="7403" width="22.109375" style="873" bestFit="1" customWidth="1"/>
    <col min="7404" max="7404" width="23.88671875" style="873" bestFit="1" customWidth="1"/>
    <col min="7405" max="7405" width="12.6640625" style="873" bestFit="1" customWidth="1"/>
    <col min="7406" max="7411" width="8" style="873" customWidth="1"/>
    <col min="7412" max="7657" width="9.109375" style="873"/>
    <col min="7658" max="7658" width="54.109375" style="873" bestFit="1" customWidth="1"/>
    <col min="7659" max="7659" width="22.109375" style="873" bestFit="1" customWidth="1"/>
    <col min="7660" max="7660" width="23.88671875" style="873" bestFit="1" customWidth="1"/>
    <col min="7661" max="7661" width="12.6640625" style="873" bestFit="1" customWidth="1"/>
    <col min="7662" max="7667" width="8" style="873" customWidth="1"/>
    <col min="7668" max="7913" width="9.109375" style="873"/>
    <col min="7914" max="7914" width="54.109375" style="873" bestFit="1" customWidth="1"/>
    <col min="7915" max="7915" width="22.109375" style="873" bestFit="1" customWidth="1"/>
    <col min="7916" max="7916" width="23.88671875" style="873" bestFit="1" customWidth="1"/>
    <col min="7917" max="7917" width="12.6640625" style="873" bestFit="1" customWidth="1"/>
    <col min="7918" max="7923" width="8" style="873" customWidth="1"/>
    <col min="7924" max="8169" width="9.109375" style="873"/>
    <col min="8170" max="8170" width="54.109375" style="873" bestFit="1" customWidth="1"/>
    <col min="8171" max="8171" width="22.109375" style="873" bestFit="1" customWidth="1"/>
    <col min="8172" max="8172" width="23.88671875" style="873" bestFit="1" customWidth="1"/>
    <col min="8173" max="8173" width="12.6640625" style="873" bestFit="1" customWidth="1"/>
    <col min="8174" max="8179" width="8" style="873" customWidth="1"/>
    <col min="8180" max="8425" width="9.109375" style="873"/>
    <col min="8426" max="8426" width="54.109375" style="873" bestFit="1" customWidth="1"/>
    <col min="8427" max="8427" width="22.109375" style="873" bestFit="1" customWidth="1"/>
    <col min="8428" max="8428" width="23.88671875" style="873" bestFit="1" customWidth="1"/>
    <col min="8429" max="8429" width="12.6640625" style="873" bestFit="1" customWidth="1"/>
    <col min="8430" max="8435" width="8" style="873" customWidth="1"/>
    <col min="8436" max="8681" width="9.109375" style="873"/>
    <col min="8682" max="8682" width="54.109375" style="873" bestFit="1" customWidth="1"/>
    <col min="8683" max="8683" width="22.109375" style="873" bestFit="1" customWidth="1"/>
    <col min="8684" max="8684" width="23.88671875" style="873" bestFit="1" customWidth="1"/>
    <col min="8685" max="8685" width="12.6640625" style="873" bestFit="1" customWidth="1"/>
    <col min="8686" max="8691" width="8" style="873" customWidth="1"/>
    <col min="8692" max="8937" width="9.109375" style="873"/>
    <col min="8938" max="8938" width="54.109375" style="873" bestFit="1" customWidth="1"/>
    <col min="8939" max="8939" width="22.109375" style="873" bestFit="1" customWidth="1"/>
    <col min="8940" max="8940" width="23.88671875" style="873" bestFit="1" customWidth="1"/>
    <col min="8941" max="8941" width="12.6640625" style="873" bestFit="1" customWidth="1"/>
    <col min="8942" max="8947" width="8" style="873" customWidth="1"/>
    <col min="8948" max="9193" width="9.109375" style="873"/>
    <col min="9194" max="9194" width="54.109375" style="873" bestFit="1" customWidth="1"/>
    <col min="9195" max="9195" width="22.109375" style="873" bestFit="1" customWidth="1"/>
    <col min="9196" max="9196" width="23.88671875" style="873" bestFit="1" customWidth="1"/>
    <col min="9197" max="9197" width="12.6640625" style="873" bestFit="1" customWidth="1"/>
    <col min="9198" max="9203" width="8" style="873" customWidth="1"/>
    <col min="9204" max="9449" width="9.109375" style="873"/>
    <col min="9450" max="9450" width="54.109375" style="873" bestFit="1" customWidth="1"/>
    <col min="9451" max="9451" width="22.109375" style="873" bestFit="1" customWidth="1"/>
    <col min="9452" max="9452" width="23.88671875" style="873" bestFit="1" customWidth="1"/>
    <col min="9453" max="9453" width="12.6640625" style="873" bestFit="1" customWidth="1"/>
    <col min="9454" max="9459" width="8" style="873" customWidth="1"/>
    <col min="9460" max="9705" width="9.109375" style="873"/>
    <col min="9706" max="9706" width="54.109375" style="873" bestFit="1" customWidth="1"/>
    <col min="9707" max="9707" width="22.109375" style="873" bestFit="1" customWidth="1"/>
    <col min="9708" max="9708" width="23.88671875" style="873" bestFit="1" customWidth="1"/>
    <col min="9709" max="9709" width="12.6640625" style="873" bestFit="1" customWidth="1"/>
    <col min="9710" max="9715" width="8" style="873" customWidth="1"/>
    <col min="9716" max="9961" width="9.109375" style="873"/>
    <col min="9962" max="9962" width="54.109375" style="873" bestFit="1" customWidth="1"/>
    <col min="9963" max="9963" width="22.109375" style="873" bestFit="1" customWidth="1"/>
    <col min="9964" max="9964" width="23.88671875" style="873" bestFit="1" customWidth="1"/>
    <col min="9965" max="9965" width="12.6640625" style="873" bestFit="1" customWidth="1"/>
    <col min="9966" max="9971" width="8" style="873" customWidth="1"/>
    <col min="9972" max="10217" width="9.109375" style="873"/>
    <col min="10218" max="10218" width="54.109375" style="873" bestFit="1" customWidth="1"/>
    <col min="10219" max="10219" width="22.109375" style="873" bestFit="1" customWidth="1"/>
    <col min="10220" max="10220" width="23.88671875" style="873" bestFit="1" customWidth="1"/>
    <col min="10221" max="10221" width="12.6640625" style="873" bestFit="1" customWidth="1"/>
    <col min="10222" max="10227" width="8" style="873" customWidth="1"/>
    <col min="10228" max="10473" width="9.109375" style="873"/>
    <col min="10474" max="10474" width="54.109375" style="873" bestFit="1" customWidth="1"/>
    <col min="10475" max="10475" width="22.109375" style="873" bestFit="1" customWidth="1"/>
    <col min="10476" max="10476" width="23.88671875" style="873" bestFit="1" customWidth="1"/>
    <col min="10477" max="10477" width="12.6640625" style="873" bestFit="1" customWidth="1"/>
    <col min="10478" max="10483" width="8" style="873" customWidth="1"/>
    <col min="10484" max="10729" width="9.109375" style="873"/>
    <col min="10730" max="10730" width="54.109375" style="873" bestFit="1" customWidth="1"/>
    <col min="10731" max="10731" width="22.109375" style="873" bestFit="1" customWidth="1"/>
    <col min="10732" max="10732" width="23.88671875" style="873" bestFit="1" customWidth="1"/>
    <col min="10733" max="10733" width="12.6640625" style="873" bestFit="1" customWidth="1"/>
    <col min="10734" max="10739" width="8" style="873" customWidth="1"/>
    <col min="10740" max="10985" width="9.109375" style="873"/>
    <col min="10986" max="10986" width="54.109375" style="873" bestFit="1" customWidth="1"/>
    <col min="10987" max="10987" width="22.109375" style="873" bestFit="1" customWidth="1"/>
    <col min="10988" max="10988" width="23.88671875" style="873" bestFit="1" customWidth="1"/>
    <col min="10989" max="10989" width="12.6640625" style="873" bestFit="1" customWidth="1"/>
    <col min="10990" max="10995" width="8" style="873" customWidth="1"/>
    <col min="10996" max="11241" width="9.109375" style="873"/>
    <col min="11242" max="11242" width="54.109375" style="873" bestFit="1" customWidth="1"/>
    <col min="11243" max="11243" width="22.109375" style="873" bestFit="1" customWidth="1"/>
    <col min="11244" max="11244" width="23.88671875" style="873" bestFit="1" customWidth="1"/>
    <col min="11245" max="11245" width="12.6640625" style="873" bestFit="1" customWidth="1"/>
    <col min="11246" max="11251" width="8" style="873" customWidth="1"/>
    <col min="11252" max="11497" width="9.109375" style="873"/>
    <col min="11498" max="11498" width="54.109375" style="873" bestFit="1" customWidth="1"/>
    <col min="11499" max="11499" width="22.109375" style="873" bestFit="1" customWidth="1"/>
    <col min="11500" max="11500" width="23.88671875" style="873" bestFit="1" customWidth="1"/>
    <col min="11501" max="11501" width="12.6640625" style="873" bestFit="1" customWidth="1"/>
    <col min="11502" max="11507" width="8" style="873" customWidth="1"/>
    <col min="11508" max="11753" width="9.109375" style="873"/>
    <col min="11754" max="11754" width="54.109375" style="873" bestFit="1" customWidth="1"/>
    <col min="11755" max="11755" width="22.109375" style="873" bestFit="1" customWidth="1"/>
    <col min="11756" max="11756" width="23.88671875" style="873" bestFit="1" customWidth="1"/>
    <col min="11757" max="11757" width="12.6640625" style="873" bestFit="1" customWidth="1"/>
    <col min="11758" max="11763" width="8" style="873" customWidth="1"/>
    <col min="11764" max="12009" width="9.109375" style="873"/>
    <col min="12010" max="12010" width="54.109375" style="873" bestFit="1" customWidth="1"/>
    <col min="12011" max="12011" width="22.109375" style="873" bestFit="1" customWidth="1"/>
    <col min="12012" max="12012" width="23.88671875" style="873" bestFit="1" customWidth="1"/>
    <col min="12013" max="12013" width="12.6640625" style="873" bestFit="1" customWidth="1"/>
    <col min="12014" max="12019" width="8" style="873" customWidth="1"/>
    <col min="12020" max="12265" width="9.109375" style="873"/>
    <col min="12266" max="12266" width="54.109375" style="873" bestFit="1" customWidth="1"/>
    <col min="12267" max="12267" width="22.109375" style="873" bestFit="1" customWidth="1"/>
    <col min="12268" max="12268" width="23.88671875" style="873" bestFit="1" customWidth="1"/>
    <col min="12269" max="12269" width="12.6640625" style="873" bestFit="1" customWidth="1"/>
    <col min="12270" max="12275" width="8" style="873" customWidth="1"/>
    <col min="12276" max="12521" width="9.109375" style="873"/>
    <col min="12522" max="12522" width="54.109375" style="873" bestFit="1" customWidth="1"/>
    <col min="12523" max="12523" width="22.109375" style="873" bestFit="1" customWidth="1"/>
    <col min="12524" max="12524" width="23.88671875" style="873" bestFit="1" customWidth="1"/>
    <col min="12525" max="12525" width="12.6640625" style="873" bestFit="1" customWidth="1"/>
    <col min="12526" max="12531" width="8" style="873" customWidth="1"/>
    <col min="12532" max="12777" width="9.109375" style="873"/>
    <col min="12778" max="12778" width="54.109375" style="873" bestFit="1" customWidth="1"/>
    <col min="12779" max="12779" width="22.109375" style="873" bestFit="1" customWidth="1"/>
    <col min="12780" max="12780" width="23.88671875" style="873" bestFit="1" customWidth="1"/>
    <col min="12781" max="12781" width="12.6640625" style="873" bestFit="1" customWidth="1"/>
    <col min="12782" max="12787" width="8" style="873" customWidth="1"/>
    <col min="12788" max="13033" width="9.109375" style="873"/>
    <col min="13034" max="13034" width="54.109375" style="873" bestFit="1" customWidth="1"/>
    <col min="13035" max="13035" width="22.109375" style="873" bestFit="1" customWidth="1"/>
    <col min="13036" max="13036" width="23.88671875" style="873" bestFit="1" customWidth="1"/>
    <col min="13037" max="13037" width="12.6640625" style="873" bestFit="1" customWidth="1"/>
    <col min="13038" max="13043" width="8" style="873" customWidth="1"/>
    <col min="13044" max="13289" width="9.109375" style="873"/>
    <col min="13290" max="13290" width="54.109375" style="873" bestFit="1" customWidth="1"/>
    <col min="13291" max="13291" width="22.109375" style="873" bestFit="1" customWidth="1"/>
    <col min="13292" max="13292" width="23.88671875" style="873" bestFit="1" customWidth="1"/>
    <col min="13293" max="13293" width="12.6640625" style="873" bestFit="1" customWidth="1"/>
    <col min="13294" max="13299" width="8" style="873" customWidth="1"/>
    <col min="13300" max="13545" width="9.109375" style="873"/>
    <col min="13546" max="13546" width="54.109375" style="873" bestFit="1" customWidth="1"/>
    <col min="13547" max="13547" width="22.109375" style="873" bestFit="1" customWidth="1"/>
    <col min="13548" max="13548" width="23.88671875" style="873" bestFit="1" customWidth="1"/>
    <col min="13549" max="13549" width="12.6640625" style="873" bestFit="1" customWidth="1"/>
    <col min="13550" max="13555" width="8" style="873" customWidth="1"/>
    <col min="13556" max="13801" width="9.109375" style="873"/>
    <col min="13802" max="13802" width="54.109375" style="873" bestFit="1" customWidth="1"/>
    <col min="13803" max="13803" width="22.109375" style="873" bestFit="1" customWidth="1"/>
    <col min="13804" max="13804" width="23.88671875" style="873" bestFit="1" customWidth="1"/>
    <col min="13805" max="13805" width="12.6640625" style="873" bestFit="1" customWidth="1"/>
    <col min="13806" max="13811" width="8" style="873" customWidth="1"/>
    <col min="13812" max="14057" width="9.109375" style="873"/>
    <col min="14058" max="14058" width="54.109375" style="873" bestFit="1" customWidth="1"/>
    <col min="14059" max="14059" width="22.109375" style="873" bestFit="1" customWidth="1"/>
    <col min="14060" max="14060" width="23.88671875" style="873" bestFit="1" customWidth="1"/>
    <col min="14061" max="14061" width="12.6640625" style="873" bestFit="1" customWidth="1"/>
    <col min="14062" max="14067" width="8" style="873" customWidth="1"/>
    <col min="14068" max="14313" width="9.109375" style="873"/>
    <col min="14314" max="14314" width="54.109375" style="873" bestFit="1" customWidth="1"/>
    <col min="14315" max="14315" width="22.109375" style="873" bestFit="1" customWidth="1"/>
    <col min="14316" max="14316" width="23.88671875" style="873" bestFit="1" customWidth="1"/>
    <col min="14317" max="14317" width="12.6640625" style="873" bestFit="1" customWidth="1"/>
    <col min="14318" max="14323" width="8" style="873" customWidth="1"/>
    <col min="14324" max="14569" width="9.109375" style="873"/>
    <col min="14570" max="14570" width="54.109375" style="873" bestFit="1" customWidth="1"/>
    <col min="14571" max="14571" width="22.109375" style="873" bestFit="1" customWidth="1"/>
    <col min="14572" max="14572" width="23.88671875" style="873" bestFit="1" customWidth="1"/>
    <col min="14573" max="14573" width="12.6640625" style="873" bestFit="1" customWidth="1"/>
    <col min="14574" max="14579" width="8" style="873" customWidth="1"/>
    <col min="14580" max="14825" width="9.109375" style="873"/>
    <col min="14826" max="14826" width="54.109375" style="873" bestFit="1" customWidth="1"/>
    <col min="14827" max="14827" width="22.109375" style="873" bestFit="1" customWidth="1"/>
    <col min="14828" max="14828" width="23.88671875" style="873" bestFit="1" customWidth="1"/>
    <col min="14829" max="14829" width="12.6640625" style="873" bestFit="1" customWidth="1"/>
    <col min="14830" max="14835" width="8" style="873" customWidth="1"/>
    <col min="14836" max="15081" width="9.109375" style="873"/>
    <col min="15082" max="15082" width="54.109375" style="873" bestFit="1" customWidth="1"/>
    <col min="15083" max="15083" width="22.109375" style="873" bestFit="1" customWidth="1"/>
    <col min="15084" max="15084" width="23.88671875" style="873" bestFit="1" customWidth="1"/>
    <col min="15085" max="15085" width="12.6640625" style="873" bestFit="1" customWidth="1"/>
    <col min="15086" max="15091" width="8" style="873" customWidth="1"/>
    <col min="15092" max="15337" width="9.109375" style="873"/>
    <col min="15338" max="15338" width="54.109375" style="873" bestFit="1" customWidth="1"/>
    <col min="15339" max="15339" width="22.109375" style="873" bestFit="1" customWidth="1"/>
    <col min="15340" max="15340" width="23.88671875" style="873" bestFit="1" customWidth="1"/>
    <col min="15341" max="15341" width="12.6640625" style="873" bestFit="1" customWidth="1"/>
    <col min="15342" max="15347" width="8" style="873" customWidth="1"/>
    <col min="15348" max="15593" width="9.109375" style="873"/>
    <col min="15594" max="15594" width="54.109375" style="873" bestFit="1" customWidth="1"/>
    <col min="15595" max="15595" width="22.109375" style="873" bestFit="1" customWidth="1"/>
    <col min="15596" max="15596" width="23.88671875" style="873" bestFit="1" customWidth="1"/>
    <col min="15597" max="15597" width="12.6640625" style="873" bestFit="1" customWidth="1"/>
    <col min="15598" max="15603" width="8" style="873" customWidth="1"/>
    <col min="15604" max="15849" width="9.109375" style="873"/>
    <col min="15850" max="15850" width="54.109375" style="873" bestFit="1" customWidth="1"/>
    <col min="15851" max="15851" width="22.109375" style="873" bestFit="1" customWidth="1"/>
    <col min="15852" max="15852" width="23.88671875" style="873" bestFit="1" customWidth="1"/>
    <col min="15853" max="15853" width="12.6640625" style="873" bestFit="1" customWidth="1"/>
    <col min="15854" max="15859" width="8" style="873" customWidth="1"/>
    <col min="15860" max="16105" width="9.109375" style="873"/>
    <col min="16106" max="16106" width="54.109375" style="873" bestFit="1" customWidth="1"/>
    <col min="16107" max="16107" width="22.109375" style="873" bestFit="1" customWidth="1"/>
    <col min="16108" max="16108" width="23.88671875" style="873" bestFit="1" customWidth="1"/>
    <col min="16109" max="16109" width="12.6640625" style="873" bestFit="1" customWidth="1"/>
    <col min="16110" max="16115" width="8" style="873" customWidth="1"/>
    <col min="16116" max="16384" width="9.109375" style="873"/>
  </cols>
  <sheetData>
    <row r="1" spans="1:34" s="811" customFormat="1" ht="30" customHeight="1" x14ac:dyDescent="0.25">
      <c r="A1" s="1260" t="s">
        <v>588</v>
      </c>
      <c r="B1" s="1261"/>
      <c r="C1" s="1261"/>
      <c r="D1" s="1261"/>
      <c r="E1" s="1261"/>
      <c r="F1" s="1261"/>
      <c r="G1" s="1261"/>
      <c r="H1" s="1261"/>
      <c r="I1" s="1261"/>
      <c r="J1" s="1261"/>
      <c r="K1" s="1261"/>
      <c r="L1" s="1261"/>
      <c r="M1" s="1261"/>
      <c r="N1" s="1261"/>
      <c r="O1" s="1261"/>
      <c r="P1" s="1261"/>
      <c r="Q1" s="1261"/>
      <c r="R1" s="1261"/>
      <c r="S1" s="1261"/>
      <c r="T1" s="1261"/>
      <c r="U1" s="1261"/>
      <c r="V1" s="1261"/>
      <c r="W1" s="1261"/>
      <c r="X1" s="1261"/>
      <c r="Y1" s="1261"/>
      <c r="Z1" s="1261"/>
      <c r="AA1" s="1261"/>
      <c r="AB1" s="1261"/>
      <c r="AC1" s="1261"/>
      <c r="AD1" s="1261"/>
      <c r="AE1" s="1262"/>
    </row>
    <row r="2" spans="1:34" s="820" customFormat="1" ht="100.5" customHeight="1" x14ac:dyDescent="0.3">
      <c r="A2" s="1359" t="s">
        <v>243</v>
      </c>
      <c r="B2" s="1359" t="s">
        <v>337</v>
      </c>
      <c r="C2" s="1361"/>
      <c r="D2" s="1362"/>
      <c r="E2" s="1362"/>
      <c r="F2" s="1363"/>
      <c r="G2" s="1367"/>
      <c r="H2" s="1368"/>
      <c r="I2" s="1368"/>
      <c r="J2" s="1368"/>
      <c r="K2" s="1368"/>
      <c r="L2" s="1369"/>
      <c r="M2" s="812"/>
      <c r="N2" s="813"/>
      <c r="O2" s="813"/>
      <c r="P2" s="814"/>
      <c r="Q2" s="812"/>
      <c r="R2" s="813"/>
      <c r="S2" s="814"/>
      <c r="T2" s="815"/>
      <c r="U2" s="816"/>
      <c r="V2" s="816"/>
      <c r="W2" s="817"/>
      <c r="X2" s="816"/>
      <c r="Y2" s="818"/>
      <c r="Z2" s="819"/>
      <c r="AA2" s="816"/>
      <c r="AB2" s="816"/>
      <c r="AC2" s="816"/>
      <c r="AD2" s="816"/>
      <c r="AE2" s="818"/>
    </row>
    <row r="3" spans="1:34" s="820" customFormat="1" ht="52.5" customHeight="1" x14ac:dyDescent="0.3">
      <c r="A3" s="1359"/>
      <c r="B3" s="1359"/>
      <c r="C3" s="1364"/>
      <c r="D3" s="1365"/>
      <c r="E3" s="1365"/>
      <c r="F3" s="1366"/>
      <c r="G3" s="1370"/>
      <c r="H3" s="1371"/>
      <c r="I3" s="1371"/>
      <c r="J3" s="1371"/>
      <c r="K3" s="1371"/>
      <c r="L3" s="1372"/>
      <c r="M3" s="821"/>
      <c r="N3" s="822"/>
      <c r="O3" s="822"/>
      <c r="P3" s="823"/>
      <c r="Q3" s="821"/>
      <c r="R3" s="822"/>
      <c r="S3" s="823"/>
      <c r="T3" s="824"/>
      <c r="U3" s="825"/>
      <c r="V3" s="825"/>
      <c r="W3" s="826"/>
      <c r="X3" s="825"/>
      <c r="Y3" s="827"/>
      <c r="Z3" s="828"/>
      <c r="AA3" s="825"/>
      <c r="AB3" s="825"/>
      <c r="AC3" s="825"/>
      <c r="AD3" s="825"/>
      <c r="AE3" s="827"/>
    </row>
    <row r="4" spans="1:34" s="820" customFormat="1" ht="46.5" customHeight="1" x14ac:dyDescent="0.3">
      <c r="A4" s="1359"/>
      <c r="B4" s="1359"/>
      <c r="C4" s="1373" t="s">
        <v>589</v>
      </c>
      <c r="D4" s="1374"/>
      <c r="E4" s="1374"/>
      <c r="F4" s="1375"/>
      <c r="G4" s="1352" t="s">
        <v>590</v>
      </c>
      <c r="H4" s="1376"/>
      <c r="I4" s="1377"/>
      <c r="J4" s="1346" t="s">
        <v>591</v>
      </c>
      <c r="K4" s="1347"/>
      <c r="L4" s="1348"/>
      <c r="M4" s="1373" t="s">
        <v>592</v>
      </c>
      <c r="N4" s="1374"/>
      <c r="O4" s="1374"/>
      <c r="P4" s="1375"/>
      <c r="Q4" s="1352" t="s">
        <v>593</v>
      </c>
      <c r="R4" s="1376"/>
      <c r="S4" s="1377"/>
      <c r="T4" s="1346" t="s">
        <v>594</v>
      </c>
      <c r="U4" s="1347"/>
      <c r="V4" s="1348"/>
      <c r="W4" s="1349" t="s">
        <v>595</v>
      </c>
      <c r="X4" s="1350"/>
      <c r="Y4" s="1351"/>
      <c r="Z4" s="1352" t="s">
        <v>596</v>
      </c>
      <c r="AA4" s="1353"/>
      <c r="AB4" s="1353"/>
      <c r="AC4" s="1353"/>
      <c r="AD4" s="1353"/>
      <c r="AE4" s="1354"/>
    </row>
    <row r="5" spans="1:34" s="820" customFormat="1" ht="26.25" customHeight="1" x14ac:dyDescent="0.3">
      <c r="A5" s="1359"/>
      <c r="B5" s="1359"/>
      <c r="C5" s="829" t="s">
        <v>340</v>
      </c>
      <c r="D5" s="830" t="s">
        <v>597</v>
      </c>
      <c r="E5" s="830" t="s">
        <v>509</v>
      </c>
      <c r="F5" s="831" t="s">
        <v>342</v>
      </c>
      <c r="G5" s="829" t="s">
        <v>340</v>
      </c>
      <c r="H5" s="832" t="s">
        <v>598</v>
      </c>
      <c r="I5" s="831" t="s">
        <v>342</v>
      </c>
      <c r="J5" s="832" t="s">
        <v>340</v>
      </c>
      <c r="K5" s="832" t="s">
        <v>509</v>
      </c>
      <c r="L5" s="832" t="s">
        <v>342</v>
      </c>
      <c r="M5" s="829" t="s">
        <v>340</v>
      </c>
      <c r="N5" s="830" t="s">
        <v>597</v>
      </c>
      <c r="O5" s="830" t="s">
        <v>509</v>
      </c>
      <c r="P5" s="831" t="s">
        <v>342</v>
      </c>
      <c r="Q5" s="829" t="s">
        <v>340</v>
      </c>
      <c r="R5" s="832" t="s">
        <v>598</v>
      </c>
      <c r="S5" s="831" t="s">
        <v>342</v>
      </c>
      <c r="T5" s="832" t="s">
        <v>340</v>
      </c>
      <c r="U5" s="832" t="s">
        <v>509</v>
      </c>
      <c r="V5" s="832" t="s">
        <v>287</v>
      </c>
      <c r="W5" s="832" t="s">
        <v>66</v>
      </c>
      <c r="X5" s="833" t="s">
        <v>599</v>
      </c>
      <c r="Y5" s="834" t="s">
        <v>342</v>
      </c>
      <c r="Z5" s="832" t="s">
        <v>66</v>
      </c>
      <c r="AA5" s="832" t="s">
        <v>600</v>
      </c>
      <c r="AB5" s="832" t="s">
        <v>66</v>
      </c>
      <c r="AC5" s="832" t="s">
        <v>509</v>
      </c>
      <c r="AD5" s="832" t="s">
        <v>601</v>
      </c>
      <c r="AE5" s="832" t="s">
        <v>342</v>
      </c>
    </row>
    <row r="6" spans="1:34" s="820" customFormat="1" ht="15" customHeight="1" x14ac:dyDescent="0.3">
      <c r="A6" s="1360"/>
      <c r="B6" s="1360"/>
      <c r="C6" s="829" t="s">
        <v>347</v>
      </c>
      <c r="D6" s="829" t="s">
        <v>347</v>
      </c>
      <c r="E6" s="830" t="s">
        <v>347</v>
      </c>
      <c r="F6" s="831" t="s">
        <v>348</v>
      </c>
      <c r="G6" s="829" t="s">
        <v>347</v>
      </c>
      <c r="H6" s="832" t="s">
        <v>347</v>
      </c>
      <c r="I6" s="831" t="s">
        <v>348</v>
      </c>
      <c r="J6" s="832" t="s">
        <v>347</v>
      </c>
      <c r="K6" s="832" t="s">
        <v>347</v>
      </c>
      <c r="L6" s="832" t="s">
        <v>348</v>
      </c>
      <c r="M6" s="829" t="s">
        <v>347</v>
      </c>
      <c r="N6" s="829" t="s">
        <v>347</v>
      </c>
      <c r="O6" s="830" t="s">
        <v>347</v>
      </c>
      <c r="P6" s="831" t="s">
        <v>348</v>
      </c>
      <c r="Q6" s="829" t="s">
        <v>347</v>
      </c>
      <c r="R6" s="832" t="s">
        <v>347</v>
      </c>
      <c r="S6" s="831" t="s">
        <v>348</v>
      </c>
      <c r="T6" s="832" t="s">
        <v>347</v>
      </c>
      <c r="U6" s="832" t="s">
        <v>347</v>
      </c>
      <c r="V6" s="832" t="s">
        <v>348</v>
      </c>
      <c r="W6" s="832" t="s">
        <v>602</v>
      </c>
      <c r="X6" s="832" t="s">
        <v>348</v>
      </c>
      <c r="Y6" s="834" t="s">
        <v>348</v>
      </c>
      <c r="Z6" s="832" t="s">
        <v>603</v>
      </c>
      <c r="AA6" s="832" t="s">
        <v>604</v>
      </c>
      <c r="AB6" s="832" t="s">
        <v>602</v>
      </c>
      <c r="AC6" s="832" t="s">
        <v>347</v>
      </c>
      <c r="AD6" s="832" t="s">
        <v>347</v>
      </c>
      <c r="AE6" s="832" t="s">
        <v>348</v>
      </c>
    </row>
    <row r="7" spans="1:34" s="844" customFormat="1" ht="26.25" customHeight="1" x14ac:dyDescent="0.25">
      <c r="A7" s="835">
        <v>1</v>
      </c>
      <c r="B7" s="836" t="str">
        <f>VLOOKUP(A7,RUAS!A:O,2,FALSE)</f>
        <v>RUA LAGES</v>
      </c>
      <c r="C7" s="837">
        <f>84.17+13.22+109.41</f>
        <v>206.8</v>
      </c>
      <c r="D7" s="838">
        <f>TRUNC((C7/6)*2,2)</f>
        <v>68.930000000000007</v>
      </c>
      <c r="E7" s="839">
        <v>0.1</v>
      </c>
      <c r="F7" s="838">
        <f t="shared" ref="F7:F47" si="0">TRUNC((C7/6)*(E7*2),2)</f>
        <v>6.89</v>
      </c>
      <c r="G7" s="840">
        <v>0</v>
      </c>
      <c r="H7" s="841">
        <v>0.1</v>
      </c>
      <c r="I7" s="841">
        <f t="shared" ref="I7:I47" si="1">TRUNC(G7*H7,2)</f>
        <v>0</v>
      </c>
      <c r="J7" s="840">
        <f>84.17+13.3+109.41+19.37+75.7+13.14+12.19+55.5</f>
        <v>382.78</v>
      </c>
      <c r="K7" s="841">
        <v>0.1</v>
      </c>
      <c r="L7" s="841">
        <f t="shared" ref="L7:L47" si="2">TRUNC(J7*K7,2)</f>
        <v>38.270000000000003</v>
      </c>
      <c r="M7" s="837">
        <v>0</v>
      </c>
      <c r="N7" s="838">
        <f t="shared" ref="N7:N47" si="3">TRUNC((M7/6)*2,2)</f>
        <v>0</v>
      </c>
      <c r="O7" s="839">
        <v>0.1</v>
      </c>
      <c r="P7" s="838">
        <f t="shared" ref="P7:P47" si="4">TRUNC((M7/6)*(O7*2),2)</f>
        <v>0</v>
      </c>
      <c r="Q7" s="840">
        <v>0</v>
      </c>
      <c r="R7" s="841">
        <v>0.1</v>
      </c>
      <c r="S7" s="841">
        <f t="shared" ref="S7:S47" si="5">TRUNC(Q7*R7,2)</f>
        <v>0</v>
      </c>
      <c r="T7" s="840">
        <v>0</v>
      </c>
      <c r="U7" s="841">
        <v>0.4</v>
      </c>
      <c r="V7" s="841">
        <f>TRUNC(T7*U7,2)</f>
        <v>0</v>
      </c>
      <c r="W7" s="840">
        <v>0</v>
      </c>
      <c r="X7" s="841">
        <v>2.75</v>
      </c>
      <c r="Y7" s="842">
        <f t="shared" ref="Y7:Y47" si="6">TRUNC(W7*X7,2)</f>
        <v>0</v>
      </c>
      <c r="Z7" s="840">
        <v>0</v>
      </c>
      <c r="AA7" s="842">
        <f>ROUNDDOWN(VLOOKUP(A7,RUAS!$A:$P,12,FALSE),0)</f>
        <v>8</v>
      </c>
      <c r="AB7" s="841">
        <f t="shared" ref="AB7:AB47" si="7">Z7*AA7</f>
        <v>0</v>
      </c>
      <c r="AC7" s="841">
        <v>0.4</v>
      </c>
      <c r="AD7" s="841">
        <v>4</v>
      </c>
      <c r="AE7" s="841">
        <f t="shared" ref="AE7:AE47" si="8">TRUNC(AB7*AC7*AD7,2)</f>
        <v>0</v>
      </c>
      <c r="AF7" s="843" t="s">
        <v>605</v>
      </c>
      <c r="AG7" s="843"/>
      <c r="AH7" s="843"/>
    </row>
    <row r="8" spans="1:34" s="844" customFormat="1" ht="26.25" customHeight="1" x14ac:dyDescent="0.25">
      <c r="A8" s="835">
        <f>A7+1</f>
        <v>2</v>
      </c>
      <c r="B8" s="836" t="str">
        <f>VLOOKUP(A8,RUAS!A:O,2,FALSE)</f>
        <v>RUA RESERVA - T1</v>
      </c>
      <c r="C8" s="837">
        <v>43.8</v>
      </c>
      <c r="D8" s="838">
        <f t="shared" ref="D8:D47" si="9">TRUNC((C8/6)*2,2)</f>
        <v>14.6</v>
      </c>
      <c r="E8" s="839">
        <f t="shared" ref="E8:E47" si="10">E7</f>
        <v>0.1</v>
      </c>
      <c r="F8" s="838">
        <f t="shared" si="0"/>
        <v>1.46</v>
      </c>
      <c r="G8" s="840">
        <v>15</v>
      </c>
      <c r="H8" s="841">
        <f t="shared" ref="H8:H47" si="11">H7</f>
        <v>0.1</v>
      </c>
      <c r="I8" s="841">
        <f t="shared" si="1"/>
        <v>1.5</v>
      </c>
      <c r="J8" s="840">
        <f>54.89+55.11+8.16+8.02</f>
        <v>126.17999999999999</v>
      </c>
      <c r="K8" s="841">
        <f t="shared" ref="K8:K47" si="12">K7</f>
        <v>0.1</v>
      </c>
      <c r="L8" s="841">
        <f t="shared" si="2"/>
        <v>12.61</v>
      </c>
      <c r="M8" s="837">
        <v>0</v>
      </c>
      <c r="N8" s="838">
        <f t="shared" si="3"/>
        <v>0</v>
      </c>
      <c r="O8" s="839">
        <f t="shared" ref="O8:O47" si="13">O7</f>
        <v>0.1</v>
      </c>
      <c r="P8" s="838">
        <f t="shared" si="4"/>
        <v>0</v>
      </c>
      <c r="Q8" s="840">
        <v>0</v>
      </c>
      <c r="R8" s="841">
        <f t="shared" ref="R8:R47" si="14">R7</f>
        <v>0.1</v>
      </c>
      <c r="S8" s="841">
        <f t="shared" si="5"/>
        <v>0</v>
      </c>
      <c r="T8" s="840">
        <v>4.6909999999999998</v>
      </c>
      <c r="U8" s="841">
        <f t="shared" ref="U8:U47" si="15">U7</f>
        <v>0.4</v>
      </c>
      <c r="V8" s="841">
        <f t="shared" ref="V8:V47" si="16">TRUNC(T8*U8,2)</f>
        <v>1.87</v>
      </c>
      <c r="W8" s="840">
        <v>1</v>
      </c>
      <c r="X8" s="841">
        <f t="shared" ref="X8:X47" si="17">X7</f>
        <v>2.75</v>
      </c>
      <c r="Y8" s="842">
        <f t="shared" si="6"/>
        <v>2.75</v>
      </c>
      <c r="Z8" s="840">
        <v>0</v>
      </c>
      <c r="AA8" s="842">
        <f>ROUNDDOWN(VLOOKUP(A8,RUAS!$A:$P,12,FALSE),0)</f>
        <v>6</v>
      </c>
      <c r="AB8" s="841">
        <f t="shared" si="7"/>
        <v>0</v>
      </c>
      <c r="AC8" s="841">
        <f>AC7</f>
        <v>0.4</v>
      </c>
      <c r="AD8" s="841">
        <f t="shared" ref="AD8:AD47" si="18">AD7</f>
        <v>4</v>
      </c>
      <c r="AE8" s="841">
        <f t="shared" si="8"/>
        <v>0</v>
      </c>
      <c r="AF8" s="843"/>
      <c r="AG8" s="843"/>
      <c r="AH8" s="843"/>
    </row>
    <row r="9" spans="1:34" s="844" customFormat="1" ht="26.25" customHeight="1" x14ac:dyDescent="0.25">
      <c r="A9" s="835">
        <f t="shared" ref="A9:A47" si="19">A8+1</f>
        <v>3</v>
      </c>
      <c r="B9" s="836" t="str">
        <f>VLOOKUP(A9,RUAS!A:O,2,FALSE)</f>
        <v>RUA RESERVA - T2</v>
      </c>
      <c r="C9" s="837">
        <v>75.47</v>
      </c>
      <c r="D9" s="838">
        <f t="shared" si="9"/>
        <v>25.15</v>
      </c>
      <c r="E9" s="839">
        <f t="shared" si="10"/>
        <v>0.1</v>
      </c>
      <c r="F9" s="838">
        <f t="shared" si="0"/>
        <v>2.5099999999999998</v>
      </c>
      <c r="G9" s="840">
        <f>15*2</f>
        <v>30</v>
      </c>
      <c r="H9" s="841">
        <f t="shared" si="11"/>
        <v>0.1</v>
      </c>
      <c r="I9" s="841">
        <f t="shared" si="1"/>
        <v>3</v>
      </c>
      <c r="J9" s="840">
        <f>8.02+8.16+100.56+97.51+8.34+8.31</f>
        <v>230.9</v>
      </c>
      <c r="K9" s="841">
        <f t="shared" si="12"/>
        <v>0.1</v>
      </c>
      <c r="L9" s="841">
        <f t="shared" si="2"/>
        <v>23.09</v>
      </c>
      <c r="M9" s="837">
        <v>0</v>
      </c>
      <c r="N9" s="838">
        <f t="shared" si="3"/>
        <v>0</v>
      </c>
      <c r="O9" s="839">
        <f t="shared" si="13"/>
        <v>0.1</v>
      </c>
      <c r="P9" s="838">
        <f t="shared" si="4"/>
        <v>0</v>
      </c>
      <c r="Q9" s="840">
        <v>0</v>
      </c>
      <c r="R9" s="841">
        <f t="shared" si="14"/>
        <v>0.1</v>
      </c>
      <c r="S9" s="841">
        <f t="shared" si="5"/>
        <v>0</v>
      </c>
      <c r="T9" s="840">
        <f>4.725+4.846</f>
        <v>9.5709999999999997</v>
      </c>
      <c r="U9" s="841">
        <f t="shared" si="15"/>
        <v>0.4</v>
      </c>
      <c r="V9" s="841">
        <f t="shared" si="16"/>
        <v>3.82</v>
      </c>
      <c r="W9" s="840">
        <v>2</v>
      </c>
      <c r="X9" s="841">
        <f t="shared" si="17"/>
        <v>2.75</v>
      </c>
      <c r="Y9" s="842">
        <f t="shared" si="6"/>
        <v>5.5</v>
      </c>
      <c r="Z9" s="840">
        <v>0</v>
      </c>
      <c r="AA9" s="842">
        <f>ROUNDDOWN(VLOOKUP(A9,RUAS!$A:$P,12,FALSE),0)</f>
        <v>6</v>
      </c>
      <c r="AB9" s="841">
        <f t="shared" si="7"/>
        <v>0</v>
      </c>
      <c r="AC9" s="841">
        <f t="shared" ref="AC9:AC47" si="20">AC8</f>
        <v>0.4</v>
      </c>
      <c r="AD9" s="841">
        <f t="shared" si="18"/>
        <v>4</v>
      </c>
      <c r="AE9" s="841">
        <f t="shared" si="8"/>
        <v>0</v>
      </c>
      <c r="AF9" s="843"/>
      <c r="AG9" s="843"/>
      <c r="AH9" s="843"/>
    </row>
    <row r="10" spans="1:34" s="844" customFormat="1" ht="26.25" customHeight="1" x14ac:dyDescent="0.25">
      <c r="A10" s="835">
        <f t="shared" si="19"/>
        <v>4</v>
      </c>
      <c r="B10" s="836" t="str">
        <f>VLOOKUP(A10,RUAS!A:O,2,FALSE)</f>
        <v>RUA ANDIRÁ - T1</v>
      </c>
      <c r="C10" s="837">
        <v>46.52</v>
      </c>
      <c r="D10" s="838">
        <f t="shared" si="9"/>
        <v>15.5</v>
      </c>
      <c r="E10" s="839">
        <f t="shared" si="10"/>
        <v>0.1</v>
      </c>
      <c r="F10" s="838">
        <f t="shared" si="0"/>
        <v>1.55</v>
      </c>
      <c r="G10" s="840">
        <v>15</v>
      </c>
      <c r="H10" s="841">
        <f t="shared" si="11"/>
        <v>0.1</v>
      </c>
      <c r="I10" s="841">
        <f t="shared" si="1"/>
        <v>1.5</v>
      </c>
      <c r="J10" s="840">
        <f>8.21+57.57+8.03+57.88</f>
        <v>131.69</v>
      </c>
      <c r="K10" s="841">
        <f t="shared" si="12"/>
        <v>0.1</v>
      </c>
      <c r="L10" s="841">
        <f t="shared" si="2"/>
        <v>13.16</v>
      </c>
      <c r="M10" s="837">
        <v>0</v>
      </c>
      <c r="N10" s="838">
        <f t="shared" si="3"/>
        <v>0</v>
      </c>
      <c r="O10" s="839">
        <f t="shared" si="13"/>
        <v>0.1</v>
      </c>
      <c r="P10" s="838">
        <f t="shared" si="4"/>
        <v>0</v>
      </c>
      <c r="Q10" s="840">
        <v>0</v>
      </c>
      <c r="R10" s="841">
        <f t="shared" si="14"/>
        <v>0.1</v>
      </c>
      <c r="S10" s="841">
        <f t="shared" si="5"/>
        <v>0</v>
      </c>
      <c r="T10" s="840">
        <v>5.56</v>
      </c>
      <c r="U10" s="841">
        <f t="shared" si="15"/>
        <v>0.4</v>
      </c>
      <c r="V10" s="841">
        <f t="shared" si="16"/>
        <v>2.2200000000000002</v>
      </c>
      <c r="W10" s="840">
        <v>1</v>
      </c>
      <c r="X10" s="841">
        <f t="shared" si="17"/>
        <v>2.75</v>
      </c>
      <c r="Y10" s="842">
        <f t="shared" si="6"/>
        <v>2.75</v>
      </c>
      <c r="Z10" s="840">
        <v>0</v>
      </c>
      <c r="AA10" s="842">
        <f>ROUNDDOWN(VLOOKUP(A10,RUAS!$A:$P,12,FALSE),0)</f>
        <v>8</v>
      </c>
      <c r="AB10" s="841">
        <f t="shared" si="7"/>
        <v>0</v>
      </c>
      <c r="AC10" s="841">
        <f t="shared" si="20"/>
        <v>0.4</v>
      </c>
      <c r="AD10" s="841">
        <f t="shared" si="18"/>
        <v>4</v>
      </c>
      <c r="AE10" s="841">
        <f t="shared" si="8"/>
        <v>0</v>
      </c>
      <c r="AF10" s="843"/>
      <c r="AG10" s="843"/>
      <c r="AH10" s="843"/>
    </row>
    <row r="11" spans="1:34" s="844" customFormat="1" ht="26.25" customHeight="1" x14ac:dyDescent="0.25">
      <c r="A11" s="835">
        <f t="shared" si="19"/>
        <v>5</v>
      </c>
      <c r="B11" s="836" t="str">
        <f>VLOOKUP(A11,RUAS!A:O,2,FALSE)</f>
        <v>RUA ANDIRÁ - T2</v>
      </c>
      <c r="C11" s="837">
        <v>73.400000000000006</v>
      </c>
      <c r="D11" s="838">
        <f t="shared" si="9"/>
        <v>24.46</v>
      </c>
      <c r="E11" s="839">
        <f t="shared" si="10"/>
        <v>0.1</v>
      </c>
      <c r="F11" s="838">
        <f t="shared" si="0"/>
        <v>2.44</v>
      </c>
      <c r="G11" s="840">
        <f>15*2</f>
        <v>30</v>
      </c>
      <c r="H11" s="841">
        <f t="shared" si="11"/>
        <v>0.1</v>
      </c>
      <c r="I11" s="841">
        <f t="shared" si="1"/>
        <v>3</v>
      </c>
      <c r="J11" s="840">
        <f>8.04+8.04+95.85+95.74+8.15+8.03</f>
        <v>223.85</v>
      </c>
      <c r="K11" s="841">
        <f t="shared" si="12"/>
        <v>0.1</v>
      </c>
      <c r="L11" s="841">
        <f t="shared" si="2"/>
        <v>22.38</v>
      </c>
      <c r="M11" s="837">
        <v>0</v>
      </c>
      <c r="N11" s="838">
        <f t="shared" si="3"/>
        <v>0</v>
      </c>
      <c r="O11" s="839">
        <f t="shared" si="13"/>
        <v>0.1</v>
      </c>
      <c r="P11" s="838">
        <f t="shared" si="4"/>
        <v>0</v>
      </c>
      <c r="Q11" s="840">
        <v>0</v>
      </c>
      <c r="R11" s="841">
        <f t="shared" si="14"/>
        <v>0.1</v>
      </c>
      <c r="S11" s="841">
        <f t="shared" si="5"/>
        <v>0</v>
      </c>
      <c r="T11" s="840">
        <f>5.63+5.772</f>
        <v>11.402000000000001</v>
      </c>
      <c r="U11" s="841">
        <f t="shared" si="15"/>
        <v>0.4</v>
      </c>
      <c r="V11" s="841">
        <f t="shared" si="16"/>
        <v>4.5599999999999996</v>
      </c>
      <c r="W11" s="840">
        <v>2</v>
      </c>
      <c r="X11" s="841">
        <f t="shared" si="17"/>
        <v>2.75</v>
      </c>
      <c r="Y11" s="842">
        <f t="shared" si="6"/>
        <v>5.5</v>
      </c>
      <c r="Z11" s="840">
        <v>0</v>
      </c>
      <c r="AA11" s="842">
        <f>ROUNDDOWN(VLOOKUP(A11,RUAS!$A:$P,12,FALSE),0)</f>
        <v>8</v>
      </c>
      <c r="AB11" s="841">
        <f t="shared" si="7"/>
        <v>0</v>
      </c>
      <c r="AC11" s="841">
        <f t="shared" si="20"/>
        <v>0.4</v>
      </c>
      <c r="AD11" s="841">
        <f t="shared" si="18"/>
        <v>4</v>
      </c>
      <c r="AE11" s="841">
        <f t="shared" si="8"/>
        <v>0</v>
      </c>
      <c r="AF11" s="843"/>
      <c r="AG11" s="843"/>
      <c r="AH11" s="843"/>
    </row>
    <row r="12" spans="1:34" s="844" customFormat="1" ht="26.25" customHeight="1" x14ac:dyDescent="0.25">
      <c r="A12" s="835">
        <f t="shared" si="19"/>
        <v>6</v>
      </c>
      <c r="B12" s="836" t="str">
        <f>VLOOKUP(A12,RUAS!A:O,2,FALSE)</f>
        <v>AVENIDA SETE DE SETEMBRO - LE</v>
      </c>
      <c r="C12" s="837">
        <v>0</v>
      </c>
      <c r="D12" s="838">
        <f t="shared" si="9"/>
        <v>0</v>
      </c>
      <c r="E12" s="839">
        <f t="shared" si="10"/>
        <v>0.1</v>
      </c>
      <c r="F12" s="838">
        <f t="shared" si="0"/>
        <v>0</v>
      </c>
      <c r="G12" s="840">
        <v>0</v>
      </c>
      <c r="H12" s="841">
        <f t="shared" si="11"/>
        <v>0.1</v>
      </c>
      <c r="I12" s="841">
        <f t="shared" si="1"/>
        <v>0</v>
      </c>
      <c r="J12" s="840">
        <f>22.42+22.41+9.17+22.27+9.13+23.57+0.73+18.9+18.71+2.03+76.18+76.35+8.04+8.13</f>
        <v>318.04000000000002</v>
      </c>
      <c r="K12" s="841">
        <f t="shared" si="12"/>
        <v>0.1</v>
      </c>
      <c r="L12" s="841">
        <f t="shared" si="2"/>
        <v>31.8</v>
      </c>
      <c r="M12" s="837">
        <f>22.41+9.15+40.71+18.81+81.27</f>
        <v>172.35000000000002</v>
      </c>
      <c r="N12" s="838">
        <f t="shared" si="3"/>
        <v>57.45</v>
      </c>
      <c r="O12" s="839">
        <f t="shared" si="13"/>
        <v>0.1</v>
      </c>
      <c r="P12" s="838">
        <f t="shared" si="4"/>
        <v>5.74</v>
      </c>
      <c r="Q12" s="840">
        <v>0</v>
      </c>
      <c r="R12" s="841">
        <f t="shared" si="14"/>
        <v>0.1</v>
      </c>
      <c r="S12" s="841">
        <f t="shared" si="5"/>
        <v>0</v>
      </c>
      <c r="T12" s="840">
        <v>0</v>
      </c>
      <c r="U12" s="841">
        <f t="shared" si="15"/>
        <v>0.4</v>
      </c>
      <c r="V12" s="841">
        <f t="shared" si="16"/>
        <v>0</v>
      </c>
      <c r="W12" s="840">
        <v>0</v>
      </c>
      <c r="X12" s="841">
        <f t="shared" si="17"/>
        <v>2.75</v>
      </c>
      <c r="Y12" s="842">
        <f t="shared" si="6"/>
        <v>0</v>
      </c>
      <c r="Z12" s="840">
        <v>0</v>
      </c>
      <c r="AA12" s="842">
        <f>ROUNDDOWN(VLOOKUP(A12,RUAS!$A:$P,12,FALSE),0)</f>
        <v>9</v>
      </c>
      <c r="AB12" s="841">
        <f t="shared" si="7"/>
        <v>0</v>
      </c>
      <c r="AC12" s="841">
        <f t="shared" si="20"/>
        <v>0.4</v>
      </c>
      <c r="AD12" s="841">
        <f t="shared" si="18"/>
        <v>4</v>
      </c>
      <c r="AE12" s="841">
        <f t="shared" si="8"/>
        <v>0</v>
      </c>
      <c r="AF12" s="843"/>
      <c r="AG12" s="843"/>
      <c r="AH12" s="843"/>
    </row>
    <row r="13" spans="1:34" s="844" customFormat="1" ht="26.25" customHeight="1" x14ac:dyDescent="0.25">
      <c r="A13" s="835">
        <f t="shared" si="19"/>
        <v>7</v>
      </c>
      <c r="B13" s="836" t="str">
        <f>VLOOKUP(A13,RUAS!A:O,2,FALSE)</f>
        <v>AVENIDA SETE DE SETEMBRO - LD</v>
      </c>
      <c r="C13" s="837">
        <v>0</v>
      </c>
      <c r="D13" s="838">
        <f t="shared" si="9"/>
        <v>0</v>
      </c>
      <c r="E13" s="839">
        <f t="shared" si="10"/>
        <v>0.1</v>
      </c>
      <c r="F13" s="838">
        <f t="shared" si="0"/>
        <v>0</v>
      </c>
      <c r="G13" s="840">
        <v>0</v>
      </c>
      <c r="H13" s="841">
        <f t="shared" si="11"/>
        <v>0.1</v>
      </c>
      <c r="I13" s="841">
        <f t="shared" si="1"/>
        <v>0</v>
      </c>
      <c r="J13" s="840">
        <f>57.06+56.79+96.78+96.31+8.14+8.03</f>
        <v>323.10999999999996</v>
      </c>
      <c r="K13" s="841">
        <f t="shared" si="12"/>
        <v>0.1</v>
      </c>
      <c r="L13" s="841">
        <f t="shared" si="2"/>
        <v>32.31</v>
      </c>
      <c r="M13" s="837">
        <v>158.47999999999999</v>
      </c>
      <c r="N13" s="838">
        <f t="shared" si="3"/>
        <v>52.82</v>
      </c>
      <c r="O13" s="839">
        <f t="shared" si="13"/>
        <v>0.1</v>
      </c>
      <c r="P13" s="838">
        <f t="shared" si="4"/>
        <v>5.28</v>
      </c>
      <c r="Q13" s="840">
        <v>15</v>
      </c>
      <c r="R13" s="841">
        <f t="shared" si="14"/>
        <v>0.1</v>
      </c>
      <c r="S13" s="841">
        <f t="shared" si="5"/>
        <v>1.5</v>
      </c>
      <c r="T13" s="840">
        <v>12.449</v>
      </c>
      <c r="U13" s="841">
        <f t="shared" si="15"/>
        <v>0.4</v>
      </c>
      <c r="V13" s="841">
        <f t="shared" si="16"/>
        <v>4.97</v>
      </c>
      <c r="W13" s="840">
        <v>2</v>
      </c>
      <c r="X13" s="841">
        <f t="shared" si="17"/>
        <v>2.75</v>
      </c>
      <c r="Y13" s="842">
        <f t="shared" si="6"/>
        <v>5.5</v>
      </c>
      <c r="Z13" s="840">
        <v>0</v>
      </c>
      <c r="AA13" s="842">
        <f>ROUNDDOWN(VLOOKUP(A13,RUAS!$A:$P,12,FALSE),0)</f>
        <v>9</v>
      </c>
      <c r="AB13" s="841">
        <f t="shared" si="7"/>
        <v>0</v>
      </c>
      <c r="AC13" s="841">
        <f t="shared" si="20"/>
        <v>0.4</v>
      </c>
      <c r="AD13" s="841">
        <f t="shared" si="18"/>
        <v>4</v>
      </c>
      <c r="AE13" s="841">
        <f t="shared" si="8"/>
        <v>0</v>
      </c>
      <c r="AF13" s="843"/>
      <c r="AG13" s="843"/>
      <c r="AH13" s="843"/>
    </row>
    <row r="14" spans="1:34" s="844" customFormat="1" ht="26.25" customHeight="1" x14ac:dyDescent="0.25">
      <c r="A14" s="835">
        <f t="shared" si="19"/>
        <v>8</v>
      </c>
      <c r="B14" s="836" t="str">
        <f>VLOOKUP(A14,RUAS!A:O,2,FALSE)</f>
        <v>RUA INDEPENDÊNCIA - T1</v>
      </c>
      <c r="C14" s="837">
        <v>48.66</v>
      </c>
      <c r="D14" s="838">
        <f t="shared" si="9"/>
        <v>16.22</v>
      </c>
      <c r="E14" s="839">
        <f t="shared" si="10"/>
        <v>0.1</v>
      </c>
      <c r="F14" s="838">
        <f t="shared" si="0"/>
        <v>1.62</v>
      </c>
      <c r="G14" s="840">
        <v>15</v>
      </c>
      <c r="H14" s="841">
        <f t="shared" si="11"/>
        <v>0.1</v>
      </c>
      <c r="I14" s="841">
        <f t="shared" si="1"/>
        <v>1.5</v>
      </c>
      <c r="J14" s="840">
        <f>59.78+59.93+8.05+8.13</f>
        <v>135.89000000000001</v>
      </c>
      <c r="K14" s="841">
        <f t="shared" si="12"/>
        <v>0.1</v>
      </c>
      <c r="L14" s="841">
        <f t="shared" si="2"/>
        <v>13.58</v>
      </c>
      <c r="M14" s="837">
        <v>0</v>
      </c>
      <c r="N14" s="838">
        <f t="shared" si="3"/>
        <v>0</v>
      </c>
      <c r="O14" s="839">
        <f t="shared" si="13"/>
        <v>0.1</v>
      </c>
      <c r="P14" s="838">
        <f t="shared" si="4"/>
        <v>0</v>
      </c>
      <c r="Q14" s="840">
        <v>0</v>
      </c>
      <c r="R14" s="841">
        <f t="shared" si="14"/>
        <v>0.1</v>
      </c>
      <c r="S14" s="841">
        <f t="shared" si="5"/>
        <v>0</v>
      </c>
      <c r="T14" s="840">
        <v>5.6929999999999996</v>
      </c>
      <c r="U14" s="841">
        <f t="shared" si="15"/>
        <v>0.4</v>
      </c>
      <c r="V14" s="841">
        <f t="shared" si="16"/>
        <v>2.27</v>
      </c>
      <c r="W14" s="840">
        <v>1</v>
      </c>
      <c r="X14" s="841">
        <f t="shared" si="17"/>
        <v>2.75</v>
      </c>
      <c r="Y14" s="842">
        <f t="shared" si="6"/>
        <v>2.75</v>
      </c>
      <c r="Z14" s="840">
        <v>0</v>
      </c>
      <c r="AA14" s="842">
        <f>ROUNDDOWN(VLOOKUP(A14,RUAS!$A:$P,12,FALSE),0)</f>
        <v>8</v>
      </c>
      <c r="AB14" s="841">
        <f t="shared" si="7"/>
        <v>0</v>
      </c>
      <c r="AC14" s="841">
        <f t="shared" si="20"/>
        <v>0.4</v>
      </c>
      <c r="AD14" s="841">
        <f t="shared" si="18"/>
        <v>4</v>
      </c>
      <c r="AE14" s="841">
        <f t="shared" si="8"/>
        <v>0</v>
      </c>
      <c r="AF14" s="843"/>
      <c r="AG14" s="843"/>
      <c r="AH14" s="843"/>
    </row>
    <row r="15" spans="1:34" s="844" customFormat="1" ht="26.25" customHeight="1" x14ac:dyDescent="0.25">
      <c r="A15" s="835">
        <f t="shared" si="19"/>
        <v>9</v>
      </c>
      <c r="B15" s="836" t="str">
        <f>VLOOKUP(A15,RUAS!A:O,2,FALSE)</f>
        <v>RUA INDEPENDÊNCIA - T2</v>
      </c>
      <c r="C15" s="837">
        <f>48.28+10.04+15.28</f>
        <v>73.599999999999994</v>
      </c>
      <c r="D15" s="838">
        <f t="shared" si="9"/>
        <v>24.53</v>
      </c>
      <c r="E15" s="839">
        <f t="shared" si="10"/>
        <v>0.1</v>
      </c>
      <c r="F15" s="838">
        <f t="shared" si="0"/>
        <v>2.4500000000000002</v>
      </c>
      <c r="G15" s="840">
        <f>15*2</f>
        <v>30</v>
      </c>
      <c r="H15" s="841">
        <f t="shared" si="11"/>
        <v>0.1</v>
      </c>
      <c r="I15" s="841">
        <f t="shared" si="1"/>
        <v>3</v>
      </c>
      <c r="J15" s="840">
        <f>8.08+8.09+59.47+59.49+10.1+9.97+26.37+8.15+26.6+8.03</f>
        <v>224.35</v>
      </c>
      <c r="K15" s="841">
        <f t="shared" si="12"/>
        <v>0.1</v>
      </c>
      <c r="L15" s="841">
        <f t="shared" si="2"/>
        <v>22.43</v>
      </c>
      <c r="M15" s="837">
        <v>0</v>
      </c>
      <c r="N15" s="838">
        <f t="shared" si="3"/>
        <v>0</v>
      </c>
      <c r="O15" s="839">
        <f t="shared" si="13"/>
        <v>0.1</v>
      </c>
      <c r="P15" s="838">
        <f t="shared" si="4"/>
        <v>0</v>
      </c>
      <c r="Q15" s="840">
        <v>0</v>
      </c>
      <c r="R15" s="841">
        <f t="shared" si="14"/>
        <v>0.1</v>
      </c>
      <c r="S15" s="841">
        <f t="shared" si="5"/>
        <v>0</v>
      </c>
      <c r="T15" s="840">
        <f>5.724+5.679</f>
        <v>11.403</v>
      </c>
      <c r="U15" s="841">
        <f t="shared" si="15"/>
        <v>0.4</v>
      </c>
      <c r="V15" s="841">
        <f t="shared" si="16"/>
        <v>4.5599999999999996</v>
      </c>
      <c r="W15" s="840">
        <v>2</v>
      </c>
      <c r="X15" s="841">
        <f t="shared" si="17"/>
        <v>2.75</v>
      </c>
      <c r="Y15" s="842">
        <f t="shared" si="6"/>
        <v>5.5</v>
      </c>
      <c r="Z15" s="840">
        <v>0</v>
      </c>
      <c r="AA15" s="842">
        <f>ROUNDDOWN(VLOOKUP(A15,RUAS!$A:$P,12,FALSE),0)</f>
        <v>8</v>
      </c>
      <c r="AB15" s="841">
        <f t="shared" si="7"/>
        <v>0</v>
      </c>
      <c r="AC15" s="841">
        <f t="shared" si="20"/>
        <v>0.4</v>
      </c>
      <c r="AD15" s="841">
        <f t="shared" si="18"/>
        <v>4</v>
      </c>
      <c r="AE15" s="841">
        <f t="shared" si="8"/>
        <v>0</v>
      </c>
      <c r="AF15" s="843"/>
      <c r="AG15" s="843"/>
      <c r="AH15" s="843"/>
    </row>
    <row r="16" spans="1:34" s="844" customFormat="1" ht="26.25" customHeight="1" x14ac:dyDescent="0.25">
      <c r="A16" s="835">
        <f t="shared" si="19"/>
        <v>10</v>
      </c>
      <c r="B16" s="836" t="str">
        <f>VLOOKUP(A16,RUAS!A:O,2,FALSE)</f>
        <v>RUA PARANAVAÍ - T1</v>
      </c>
      <c r="C16" s="837">
        <v>40</v>
      </c>
      <c r="D16" s="838">
        <f t="shared" si="9"/>
        <v>13.33</v>
      </c>
      <c r="E16" s="839">
        <f t="shared" si="10"/>
        <v>0.1</v>
      </c>
      <c r="F16" s="838">
        <f t="shared" si="0"/>
        <v>1.33</v>
      </c>
      <c r="G16" s="840">
        <v>15</v>
      </c>
      <c r="H16" s="841">
        <f t="shared" si="11"/>
        <v>0.1</v>
      </c>
      <c r="I16" s="841">
        <f t="shared" si="1"/>
        <v>1.5</v>
      </c>
      <c r="J16" s="840">
        <f>51.19+51.2+8.04+8.12</f>
        <v>118.55000000000001</v>
      </c>
      <c r="K16" s="841">
        <f t="shared" si="12"/>
        <v>0.1</v>
      </c>
      <c r="L16" s="841">
        <f t="shared" si="2"/>
        <v>11.85</v>
      </c>
      <c r="M16" s="837">
        <v>0</v>
      </c>
      <c r="N16" s="838">
        <f t="shared" si="3"/>
        <v>0</v>
      </c>
      <c r="O16" s="839">
        <f t="shared" si="13"/>
        <v>0.1</v>
      </c>
      <c r="P16" s="838">
        <f t="shared" si="4"/>
        <v>0</v>
      </c>
      <c r="Q16" s="840">
        <v>0</v>
      </c>
      <c r="R16" s="841">
        <f t="shared" si="14"/>
        <v>0.1</v>
      </c>
      <c r="S16" s="841">
        <f t="shared" si="5"/>
        <v>0</v>
      </c>
      <c r="T16" s="840">
        <v>5.726</v>
      </c>
      <c r="U16" s="841">
        <f t="shared" si="15"/>
        <v>0.4</v>
      </c>
      <c r="V16" s="841">
        <f t="shared" si="16"/>
        <v>2.29</v>
      </c>
      <c r="W16" s="840">
        <v>1</v>
      </c>
      <c r="X16" s="841">
        <f t="shared" si="17"/>
        <v>2.75</v>
      </c>
      <c r="Y16" s="842">
        <f t="shared" si="6"/>
        <v>2.75</v>
      </c>
      <c r="Z16" s="840">
        <v>0</v>
      </c>
      <c r="AA16" s="842">
        <f>ROUNDDOWN(VLOOKUP(A16,RUAS!$A:$P,12,FALSE),0)</f>
        <v>8</v>
      </c>
      <c r="AB16" s="841">
        <f t="shared" si="7"/>
        <v>0</v>
      </c>
      <c r="AC16" s="841">
        <f t="shared" si="20"/>
        <v>0.4</v>
      </c>
      <c r="AD16" s="841">
        <f t="shared" si="18"/>
        <v>4</v>
      </c>
      <c r="AE16" s="841">
        <f t="shared" si="8"/>
        <v>0</v>
      </c>
      <c r="AF16" s="843"/>
      <c r="AG16" s="843"/>
      <c r="AH16" s="843"/>
    </row>
    <row r="17" spans="1:34" s="844" customFormat="1" ht="26.25" customHeight="1" x14ac:dyDescent="0.25">
      <c r="A17" s="835">
        <f t="shared" si="19"/>
        <v>11</v>
      </c>
      <c r="B17" s="836" t="str">
        <f>VLOOKUP(A17,RUAS!A:O,2,FALSE)</f>
        <v>RUA PARANAVAÍ - T2</v>
      </c>
      <c r="C17" s="837">
        <v>62.53</v>
      </c>
      <c r="D17" s="838">
        <f t="shared" si="9"/>
        <v>20.84</v>
      </c>
      <c r="E17" s="839">
        <f t="shared" si="10"/>
        <v>0.1</v>
      </c>
      <c r="F17" s="838">
        <f t="shared" si="0"/>
        <v>2.08</v>
      </c>
      <c r="G17" s="840">
        <f>15*2</f>
        <v>30</v>
      </c>
      <c r="H17" s="841">
        <f t="shared" si="11"/>
        <v>0.1</v>
      </c>
      <c r="I17" s="841">
        <f t="shared" si="1"/>
        <v>3</v>
      </c>
      <c r="J17" s="840">
        <f>8.06+8.08+95.77+95.76+8.1+8.08</f>
        <v>223.85000000000002</v>
      </c>
      <c r="K17" s="841">
        <f t="shared" si="12"/>
        <v>0.1</v>
      </c>
      <c r="L17" s="841">
        <f t="shared" si="2"/>
        <v>22.38</v>
      </c>
      <c r="M17" s="837">
        <v>0</v>
      </c>
      <c r="N17" s="838">
        <f t="shared" si="3"/>
        <v>0</v>
      </c>
      <c r="O17" s="839">
        <f t="shared" si="13"/>
        <v>0.1</v>
      </c>
      <c r="P17" s="838">
        <f t="shared" si="4"/>
        <v>0</v>
      </c>
      <c r="Q17" s="840">
        <v>0</v>
      </c>
      <c r="R17" s="841">
        <f t="shared" si="14"/>
        <v>0.1</v>
      </c>
      <c r="S17" s="841">
        <f t="shared" si="5"/>
        <v>0</v>
      </c>
      <c r="T17" s="840">
        <f>5.725+4.05</f>
        <v>9.7749999999999986</v>
      </c>
      <c r="U17" s="841">
        <f t="shared" si="15"/>
        <v>0.4</v>
      </c>
      <c r="V17" s="841">
        <f t="shared" si="16"/>
        <v>3.91</v>
      </c>
      <c r="W17" s="840">
        <v>2</v>
      </c>
      <c r="X17" s="841">
        <f t="shared" si="17"/>
        <v>2.75</v>
      </c>
      <c r="Y17" s="842">
        <f t="shared" si="6"/>
        <v>5.5</v>
      </c>
      <c r="Z17" s="840">
        <v>1</v>
      </c>
      <c r="AA17" s="842">
        <f>ROUNDDOWN(VLOOKUP(A17,RUAS!$A:$P,12,FALSE),0)</f>
        <v>8</v>
      </c>
      <c r="AB17" s="841">
        <f t="shared" si="7"/>
        <v>8</v>
      </c>
      <c r="AC17" s="841">
        <f t="shared" si="20"/>
        <v>0.4</v>
      </c>
      <c r="AD17" s="841">
        <f t="shared" si="18"/>
        <v>4</v>
      </c>
      <c r="AE17" s="841">
        <f t="shared" si="8"/>
        <v>12.8</v>
      </c>
      <c r="AF17" s="843"/>
      <c r="AG17" s="843"/>
      <c r="AH17" s="843"/>
    </row>
    <row r="18" spans="1:34" s="844" customFormat="1" ht="26.25" customHeight="1" x14ac:dyDescent="0.25">
      <c r="A18" s="835">
        <f t="shared" si="19"/>
        <v>12</v>
      </c>
      <c r="B18" s="836" t="str">
        <f>VLOOKUP(A18,RUAS!A:O,2,FALSE)</f>
        <v>RUA PONTA GROSSA - T1</v>
      </c>
      <c r="C18" s="837">
        <f>34.26+32.24+70.91</f>
        <v>137.41</v>
      </c>
      <c r="D18" s="838">
        <f t="shared" si="9"/>
        <v>45.8</v>
      </c>
      <c r="E18" s="839">
        <f t="shared" si="10"/>
        <v>0.1</v>
      </c>
      <c r="F18" s="838">
        <f t="shared" si="0"/>
        <v>4.58</v>
      </c>
      <c r="G18" s="840">
        <v>15</v>
      </c>
      <c r="H18" s="841">
        <f t="shared" si="11"/>
        <v>0.1</v>
      </c>
      <c r="I18" s="841">
        <f t="shared" si="1"/>
        <v>1.5</v>
      </c>
      <c r="J18" s="840">
        <f>36.61+34.26+32.11+95.85+82.15+8.07+8.11</f>
        <v>297.16000000000003</v>
      </c>
      <c r="K18" s="841">
        <f t="shared" si="12"/>
        <v>0.1</v>
      </c>
      <c r="L18" s="841">
        <f t="shared" si="2"/>
        <v>29.71</v>
      </c>
      <c r="M18" s="837">
        <v>0</v>
      </c>
      <c r="N18" s="838">
        <f t="shared" si="3"/>
        <v>0</v>
      </c>
      <c r="O18" s="839">
        <f t="shared" si="13"/>
        <v>0.1</v>
      </c>
      <c r="P18" s="838">
        <f t="shared" si="4"/>
        <v>0</v>
      </c>
      <c r="Q18" s="840">
        <v>0</v>
      </c>
      <c r="R18" s="841">
        <f t="shared" si="14"/>
        <v>0.1</v>
      </c>
      <c r="S18" s="841">
        <f t="shared" si="5"/>
        <v>0</v>
      </c>
      <c r="T18" s="840">
        <v>5.7240000000000002</v>
      </c>
      <c r="U18" s="841">
        <f t="shared" si="15"/>
        <v>0.4</v>
      </c>
      <c r="V18" s="841">
        <f t="shared" si="16"/>
        <v>2.2799999999999998</v>
      </c>
      <c r="W18" s="840">
        <v>1</v>
      </c>
      <c r="X18" s="841">
        <f t="shared" si="17"/>
        <v>2.75</v>
      </c>
      <c r="Y18" s="842">
        <f t="shared" si="6"/>
        <v>2.75</v>
      </c>
      <c r="Z18" s="840">
        <v>0</v>
      </c>
      <c r="AA18" s="842">
        <f>ROUNDDOWN(VLOOKUP(A18,RUAS!$A:$P,12,FALSE),0)</f>
        <v>8</v>
      </c>
      <c r="AB18" s="841">
        <f t="shared" si="7"/>
        <v>0</v>
      </c>
      <c r="AC18" s="841">
        <f t="shared" si="20"/>
        <v>0.4</v>
      </c>
      <c r="AD18" s="841">
        <f t="shared" si="18"/>
        <v>4</v>
      </c>
      <c r="AE18" s="841">
        <f t="shared" si="8"/>
        <v>0</v>
      </c>
      <c r="AF18" s="843"/>
      <c r="AG18" s="843"/>
      <c r="AH18" s="843"/>
    </row>
    <row r="19" spans="1:34" s="844" customFormat="1" ht="26.25" customHeight="1" x14ac:dyDescent="0.25">
      <c r="A19" s="835">
        <f t="shared" si="19"/>
        <v>13</v>
      </c>
      <c r="B19" s="836" t="str">
        <f>VLOOKUP(A19,RUAS!A:O,2,FALSE)</f>
        <v>RUA PONTA GROSSA - T2</v>
      </c>
      <c r="C19" s="837">
        <v>49.93</v>
      </c>
      <c r="D19" s="838">
        <f t="shared" si="9"/>
        <v>16.64</v>
      </c>
      <c r="E19" s="839">
        <f t="shared" si="10"/>
        <v>0.1</v>
      </c>
      <c r="F19" s="838">
        <f t="shared" si="0"/>
        <v>1.66</v>
      </c>
      <c r="G19" s="840">
        <f t="shared" ref="G19:G24" si="21">15*2</f>
        <v>30</v>
      </c>
      <c r="H19" s="841">
        <f t="shared" si="11"/>
        <v>0.1</v>
      </c>
      <c r="I19" s="841">
        <f t="shared" si="1"/>
        <v>3</v>
      </c>
      <c r="J19" s="840">
        <f>8.1+8.08+72.07+72.59+7.96+8.26</f>
        <v>177.06</v>
      </c>
      <c r="K19" s="841">
        <f t="shared" si="12"/>
        <v>0.1</v>
      </c>
      <c r="L19" s="841">
        <f t="shared" si="2"/>
        <v>17.7</v>
      </c>
      <c r="M19" s="837">
        <v>0</v>
      </c>
      <c r="N19" s="838">
        <f t="shared" si="3"/>
        <v>0</v>
      </c>
      <c r="O19" s="839">
        <f t="shared" si="13"/>
        <v>0.1</v>
      </c>
      <c r="P19" s="838">
        <f t="shared" si="4"/>
        <v>0</v>
      </c>
      <c r="Q19" s="840">
        <v>0</v>
      </c>
      <c r="R19" s="841">
        <f t="shared" si="14"/>
        <v>0.1</v>
      </c>
      <c r="S19" s="841">
        <f t="shared" si="5"/>
        <v>0</v>
      </c>
      <c r="T19" s="840">
        <f>5.724+5.844</f>
        <v>11.568000000000001</v>
      </c>
      <c r="U19" s="841">
        <f t="shared" si="15"/>
        <v>0.4</v>
      </c>
      <c r="V19" s="841">
        <f t="shared" si="16"/>
        <v>4.62</v>
      </c>
      <c r="W19" s="840">
        <v>2</v>
      </c>
      <c r="X19" s="841">
        <f t="shared" si="17"/>
        <v>2.75</v>
      </c>
      <c r="Y19" s="842">
        <f t="shared" si="6"/>
        <v>5.5</v>
      </c>
      <c r="Z19" s="840">
        <v>0</v>
      </c>
      <c r="AA19" s="842">
        <f>ROUNDDOWN(VLOOKUP(A19,RUAS!$A:$P,12,FALSE),0)</f>
        <v>8</v>
      </c>
      <c r="AB19" s="841">
        <f t="shared" si="7"/>
        <v>0</v>
      </c>
      <c r="AC19" s="841">
        <f t="shared" si="20"/>
        <v>0.4</v>
      </c>
      <c r="AD19" s="841">
        <f t="shared" si="18"/>
        <v>4</v>
      </c>
      <c r="AE19" s="841">
        <f t="shared" si="8"/>
        <v>0</v>
      </c>
      <c r="AF19" s="843"/>
      <c r="AG19" s="843"/>
      <c r="AH19" s="843"/>
    </row>
    <row r="20" spans="1:34" s="844" customFormat="1" ht="26.25" customHeight="1" x14ac:dyDescent="0.25">
      <c r="A20" s="835">
        <f t="shared" si="19"/>
        <v>14</v>
      </c>
      <c r="B20" s="836" t="str">
        <f>VLOOKUP(A20,RUAS!A:O,2,FALSE)</f>
        <v>RUA PONTA GROSSA - T3</v>
      </c>
      <c r="C20" s="837">
        <v>62.59</v>
      </c>
      <c r="D20" s="838">
        <f t="shared" si="9"/>
        <v>20.86</v>
      </c>
      <c r="E20" s="839">
        <f t="shared" si="10"/>
        <v>0.1</v>
      </c>
      <c r="F20" s="838">
        <f t="shared" si="0"/>
        <v>2.08</v>
      </c>
      <c r="G20" s="840">
        <f t="shared" si="21"/>
        <v>30</v>
      </c>
      <c r="H20" s="841">
        <f t="shared" si="11"/>
        <v>0.1</v>
      </c>
      <c r="I20" s="841">
        <f t="shared" si="1"/>
        <v>3</v>
      </c>
      <c r="J20" s="840">
        <f>7.91+8.22+96.38+96.89+8.1+8.08</f>
        <v>225.57999999999998</v>
      </c>
      <c r="K20" s="841">
        <f t="shared" si="12"/>
        <v>0.1</v>
      </c>
      <c r="L20" s="841">
        <f t="shared" si="2"/>
        <v>22.55</v>
      </c>
      <c r="M20" s="837">
        <v>0</v>
      </c>
      <c r="N20" s="838">
        <f t="shared" si="3"/>
        <v>0</v>
      </c>
      <c r="O20" s="839">
        <f t="shared" si="13"/>
        <v>0.1</v>
      </c>
      <c r="P20" s="838">
        <f t="shared" si="4"/>
        <v>0</v>
      </c>
      <c r="Q20" s="840">
        <v>0</v>
      </c>
      <c r="R20" s="841">
        <f t="shared" si="14"/>
        <v>0.1</v>
      </c>
      <c r="S20" s="841">
        <f t="shared" si="5"/>
        <v>0</v>
      </c>
      <c r="T20" s="840">
        <f>5.845+4.05</f>
        <v>9.8949999999999996</v>
      </c>
      <c r="U20" s="841">
        <f t="shared" si="15"/>
        <v>0.4</v>
      </c>
      <c r="V20" s="841">
        <f t="shared" si="16"/>
        <v>3.95</v>
      </c>
      <c r="W20" s="840">
        <v>2</v>
      </c>
      <c r="X20" s="841">
        <f t="shared" si="17"/>
        <v>2.75</v>
      </c>
      <c r="Y20" s="842">
        <f t="shared" si="6"/>
        <v>5.5</v>
      </c>
      <c r="Z20" s="840">
        <v>1</v>
      </c>
      <c r="AA20" s="842">
        <f>ROUNDDOWN(VLOOKUP(A20,RUAS!$A:$P,12,FALSE),0)</f>
        <v>8</v>
      </c>
      <c r="AB20" s="841">
        <f t="shared" si="7"/>
        <v>8</v>
      </c>
      <c r="AC20" s="841">
        <f t="shared" si="20"/>
        <v>0.4</v>
      </c>
      <c r="AD20" s="841">
        <f t="shared" si="18"/>
        <v>4</v>
      </c>
      <c r="AE20" s="841">
        <f t="shared" si="8"/>
        <v>12.8</v>
      </c>
      <c r="AF20" s="843"/>
      <c r="AG20" s="843"/>
      <c r="AH20" s="843"/>
    </row>
    <row r="21" spans="1:34" s="844" customFormat="1" ht="26.25" customHeight="1" x14ac:dyDescent="0.25">
      <c r="A21" s="835">
        <f t="shared" si="19"/>
        <v>15</v>
      </c>
      <c r="B21" s="836" t="str">
        <f>VLOOKUP(A21,RUAS!A:O,2,FALSE)</f>
        <v>RUA ASTORGA - T1</v>
      </c>
      <c r="C21" s="837">
        <v>35.700000000000003</v>
      </c>
      <c r="D21" s="838">
        <f t="shared" si="9"/>
        <v>11.9</v>
      </c>
      <c r="E21" s="839">
        <f t="shared" si="10"/>
        <v>0.1</v>
      </c>
      <c r="F21" s="838">
        <f t="shared" si="0"/>
        <v>1.19</v>
      </c>
      <c r="G21" s="840">
        <f t="shared" si="21"/>
        <v>30</v>
      </c>
      <c r="H21" s="841">
        <f t="shared" si="11"/>
        <v>0.1</v>
      </c>
      <c r="I21" s="841">
        <f t="shared" si="1"/>
        <v>3</v>
      </c>
      <c r="J21" s="840">
        <f>8.09+8.09+12.79+12.79+46.92+46.88+8.1+8.1</f>
        <v>151.76</v>
      </c>
      <c r="K21" s="841">
        <f t="shared" si="12"/>
        <v>0.1</v>
      </c>
      <c r="L21" s="841">
        <f t="shared" si="2"/>
        <v>15.17</v>
      </c>
      <c r="M21" s="837">
        <v>0</v>
      </c>
      <c r="N21" s="838">
        <f t="shared" si="3"/>
        <v>0</v>
      </c>
      <c r="O21" s="839">
        <f t="shared" si="13"/>
        <v>0.1</v>
      </c>
      <c r="P21" s="838">
        <f t="shared" si="4"/>
        <v>0</v>
      </c>
      <c r="Q21" s="840">
        <v>0</v>
      </c>
      <c r="R21" s="841">
        <f t="shared" si="14"/>
        <v>0.1</v>
      </c>
      <c r="S21" s="841">
        <f t="shared" si="5"/>
        <v>0</v>
      </c>
      <c r="T21" s="840">
        <f>4.608+5.717</f>
        <v>10.324999999999999</v>
      </c>
      <c r="U21" s="841">
        <f t="shared" si="15"/>
        <v>0.4</v>
      </c>
      <c r="V21" s="841">
        <f t="shared" si="16"/>
        <v>4.13</v>
      </c>
      <c r="W21" s="840">
        <v>2</v>
      </c>
      <c r="X21" s="841">
        <f t="shared" si="17"/>
        <v>2.75</v>
      </c>
      <c r="Y21" s="842">
        <f t="shared" si="6"/>
        <v>5.5</v>
      </c>
      <c r="Z21" s="840">
        <v>0</v>
      </c>
      <c r="AA21" s="842">
        <f>ROUNDDOWN(VLOOKUP(A21,RUAS!$A:$P,12,FALSE),0)</f>
        <v>8</v>
      </c>
      <c r="AB21" s="841">
        <f t="shared" si="7"/>
        <v>0</v>
      </c>
      <c r="AC21" s="841">
        <f t="shared" si="20"/>
        <v>0.4</v>
      </c>
      <c r="AD21" s="841">
        <f t="shared" si="18"/>
        <v>4</v>
      </c>
      <c r="AE21" s="841">
        <f t="shared" si="8"/>
        <v>0</v>
      </c>
      <c r="AF21" s="843"/>
      <c r="AG21" s="843"/>
      <c r="AH21" s="843"/>
    </row>
    <row r="22" spans="1:34" s="844" customFormat="1" ht="26.25" customHeight="1" x14ac:dyDescent="0.3">
      <c r="A22" s="835">
        <f t="shared" si="19"/>
        <v>16</v>
      </c>
      <c r="B22" s="836" t="str">
        <f>VLOOKUP(A22,RUAS!A:O,2,FALSE)</f>
        <v>RUA ASTORGA - T2</v>
      </c>
      <c r="C22" s="837">
        <v>62.91</v>
      </c>
      <c r="D22" s="838">
        <f t="shared" si="9"/>
        <v>20.97</v>
      </c>
      <c r="E22" s="839">
        <f t="shared" si="10"/>
        <v>0.1</v>
      </c>
      <c r="F22" s="838">
        <f t="shared" si="0"/>
        <v>2.09</v>
      </c>
      <c r="G22" s="840">
        <f t="shared" si="21"/>
        <v>30</v>
      </c>
      <c r="H22" s="841">
        <f t="shared" si="11"/>
        <v>0.1</v>
      </c>
      <c r="I22" s="841">
        <f t="shared" si="1"/>
        <v>3</v>
      </c>
      <c r="J22" s="840">
        <f>8.07+8.11+95.9+95.92+8.08+8.1</f>
        <v>224.18</v>
      </c>
      <c r="K22" s="841">
        <f t="shared" si="12"/>
        <v>0.1</v>
      </c>
      <c r="L22" s="841">
        <f t="shared" si="2"/>
        <v>22.41</v>
      </c>
      <c r="M22" s="837">
        <v>0</v>
      </c>
      <c r="N22" s="838">
        <f t="shared" si="3"/>
        <v>0</v>
      </c>
      <c r="O22" s="839">
        <f t="shared" si="13"/>
        <v>0.1</v>
      </c>
      <c r="P22" s="838">
        <f t="shared" si="4"/>
        <v>0</v>
      </c>
      <c r="Q22" s="840">
        <v>0</v>
      </c>
      <c r="R22" s="841">
        <f t="shared" si="14"/>
        <v>0.1</v>
      </c>
      <c r="S22" s="841">
        <f t="shared" si="5"/>
        <v>0</v>
      </c>
      <c r="T22" s="840">
        <f>4.05+5.724</f>
        <v>9.7740000000000009</v>
      </c>
      <c r="U22" s="841">
        <f t="shared" si="15"/>
        <v>0.4</v>
      </c>
      <c r="V22" s="841">
        <f t="shared" si="16"/>
        <v>3.9</v>
      </c>
      <c r="W22" s="840">
        <v>2</v>
      </c>
      <c r="X22" s="841">
        <f t="shared" si="17"/>
        <v>2.75</v>
      </c>
      <c r="Y22" s="842">
        <f t="shared" si="6"/>
        <v>5.5</v>
      </c>
      <c r="Z22" s="840">
        <v>1</v>
      </c>
      <c r="AA22" s="842">
        <f>ROUNDDOWN(VLOOKUP(A22,RUAS!$A:$P,12,FALSE),0)</f>
        <v>8</v>
      </c>
      <c r="AB22" s="841">
        <f t="shared" si="7"/>
        <v>8</v>
      </c>
      <c r="AC22" s="841">
        <f t="shared" si="20"/>
        <v>0.4</v>
      </c>
      <c r="AD22" s="841">
        <f t="shared" si="18"/>
        <v>4</v>
      </c>
      <c r="AE22" s="841">
        <f t="shared" si="8"/>
        <v>12.8</v>
      </c>
      <c r="AF22" s="843"/>
      <c r="AG22" s="843"/>
      <c r="AH22" s="843"/>
    </row>
    <row r="23" spans="1:34" s="844" customFormat="1" ht="26.25" customHeight="1" x14ac:dyDescent="0.3">
      <c r="A23" s="835">
        <f t="shared" si="19"/>
        <v>17</v>
      </c>
      <c r="B23" s="836" t="str">
        <f>VLOOKUP(A23,RUAS!A:O,2,FALSE)</f>
        <v>RUA ASTORGA - T3</v>
      </c>
      <c r="C23" s="837">
        <v>49.47</v>
      </c>
      <c r="D23" s="838">
        <f t="shared" si="9"/>
        <v>16.489999999999998</v>
      </c>
      <c r="E23" s="839">
        <f t="shared" si="10"/>
        <v>0.1</v>
      </c>
      <c r="F23" s="838">
        <f t="shared" si="0"/>
        <v>1.64</v>
      </c>
      <c r="G23" s="840">
        <f t="shared" si="21"/>
        <v>30</v>
      </c>
      <c r="H23" s="841">
        <f t="shared" si="11"/>
        <v>0.1</v>
      </c>
      <c r="I23" s="841">
        <f t="shared" si="1"/>
        <v>3</v>
      </c>
      <c r="J23" s="840">
        <f>8.17+8.01+72.05+71.72+8.1+8.08</f>
        <v>176.13</v>
      </c>
      <c r="K23" s="841">
        <f t="shared" si="12"/>
        <v>0.1</v>
      </c>
      <c r="L23" s="841">
        <f t="shared" si="2"/>
        <v>17.61</v>
      </c>
      <c r="M23" s="837">
        <v>0</v>
      </c>
      <c r="N23" s="838">
        <f t="shared" si="3"/>
        <v>0</v>
      </c>
      <c r="O23" s="839">
        <f t="shared" si="13"/>
        <v>0.1</v>
      </c>
      <c r="P23" s="838">
        <f t="shared" si="4"/>
        <v>0</v>
      </c>
      <c r="Q23" s="840">
        <v>0</v>
      </c>
      <c r="R23" s="841">
        <f t="shared" si="14"/>
        <v>0.1</v>
      </c>
      <c r="S23" s="841">
        <f t="shared" si="5"/>
        <v>0</v>
      </c>
      <c r="T23" s="840">
        <f>5.671+5.759</f>
        <v>11.43</v>
      </c>
      <c r="U23" s="841">
        <f t="shared" si="15"/>
        <v>0.4</v>
      </c>
      <c r="V23" s="841">
        <f t="shared" si="16"/>
        <v>4.57</v>
      </c>
      <c r="W23" s="840">
        <v>2</v>
      </c>
      <c r="X23" s="841">
        <f t="shared" si="17"/>
        <v>2.75</v>
      </c>
      <c r="Y23" s="842">
        <f t="shared" si="6"/>
        <v>5.5</v>
      </c>
      <c r="Z23" s="840">
        <v>0</v>
      </c>
      <c r="AA23" s="842">
        <f>ROUNDDOWN(VLOOKUP(A23,RUAS!$A:$P,12,FALSE),0)</f>
        <v>8</v>
      </c>
      <c r="AB23" s="841">
        <f t="shared" si="7"/>
        <v>0</v>
      </c>
      <c r="AC23" s="841">
        <f t="shared" si="20"/>
        <v>0.4</v>
      </c>
      <c r="AD23" s="841">
        <f t="shared" si="18"/>
        <v>4</v>
      </c>
      <c r="AE23" s="841">
        <f t="shared" si="8"/>
        <v>0</v>
      </c>
      <c r="AF23" s="843"/>
      <c r="AG23" s="843"/>
      <c r="AH23" s="843"/>
    </row>
    <row r="24" spans="1:34" s="844" customFormat="1" ht="26.25" customHeight="1" x14ac:dyDescent="0.3">
      <c r="A24" s="835">
        <f t="shared" si="19"/>
        <v>18</v>
      </c>
      <c r="B24" s="836" t="str">
        <f>VLOOKUP(A24,RUAS!A:O,2,FALSE)</f>
        <v>RUA ASTORGA - T4</v>
      </c>
      <c r="C24" s="837">
        <v>63.72</v>
      </c>
      <c r="D24" s="838">
        <f t="shared" si="9"/>
        <v>21.24</v>
      </c>
      <c r="E24" s="839">
        <f t="shared" si="10"/>
        <v>0.1</v>
      </c>
      <c r="F24" s="838">
        <f t="shared" si="0"/>
        <v>2.12</v>
      </c>
      <c r="G24" s="840">
        <f t="shared" si="21"/>
        <v>30</v>
      </c>
      <c r="H24" s="841">
        <f t="shared" si="11"/>
        <v>0.1</v>
      </c>
      <c r="I24" s="841">
        <f t="shared" si="1"/>
        <v>3</v>
      </c>
      <c r="J24" s="840">
        <f>7.98+8.19+96.9+97.24+8.1+8.08</f>
        <v>226.49</v>
      </c>
      <c r="K24" s="841">
        <f t="shared" si="12"/>
        <v>0.1</v>
      </c>
      <c r="L24" s="841">
        <f t="shared" si="2"/>
        <v>22.64</v>
      </c>
      <c r="M24" s="837">
        <v>0</v>
      </c>
      <c r="N24" s="838">
        <f t="shared" si="3"/>
        <v>0</v>
      </c>
      <c r="O24" s="839">
        <f t="shared" si="13"/>
        <v>0.1</v>
      </c>
      <c r="P24" s="838">
        <f t="shared" si="4"/>
        <v>0</v>
      </c>
      <c r="Q24" s="840">
        <v>0</v>
      </c>
      <c r="R24" s="841">
        <f t="shared" si="14"/>
        <v>0.1</v>
      </c>
      <c r="S24" s="841">
        <f t="shared" si="5"/>
        <v>0</v>
      </c>
      <c r="T24" s="840">
        <f>5.649+4.05</f>
        <v>9.6989999999999998</v>
      </c>
      <c r="U24" s="841">
        <f t="shared" si="15"/>
        <v>0.4</v>
      </c>
      <c r="V24" s="841">
        <f t="shared" si="16"/>
        <v>3.87</v>
      </c>
      <c r="W24" s="840">
        <v>2</v>
      </c>
      <c r="X24" s="841">
        <f t="shared" si="17"/>
        <v>2.75</v>
      </c>
      <c r="Y24" s="842">
        <f t="shared" si="6"/>
        <v>5.5</v>
      </c>
      <c r="Z24" s="840">
        <v>1</v>
      </c>
      <c r="AA24" s="842">
        <f>ROUNDDOWN(VLOOKUP(A24,RUAS!$A:$P,12,FALSE),0)</f>
        <v>8</v>
      </c>
      <c r="AB24" s="841">
        <f t="shared" si="7"/>
        <v>8</v>
      </c>
      <c r="AC24" s="841">
        <f t="shared" si="20"/>
        <v>0.4</v>
      </c>
      <c r="AD24" s="841">
        <f t="shared" si="18"/>
        <v>4</v>
      </c>
      <c r="AE24" s="841">
        <f t="shared" si="8"/>
        <v>12.8</v>
      </c>
      <c r="AF24" s="843"/>
      <c r="AG24" s="843"/>
      <c r="AH24" s="843"/>
    </row>
    <row r="25" spans="1:34" s="844" customFormat="1" ht="26.25" customHeight="1" x14ac:dyDescent="0.3">
      <c r="A25" s="835">
        <f t="shared" si="19"/>
        <v>19</v>
      </c>
      <c r="B25" s="836" t="str">
        <f>VLOOKUP(A25,RUAS!A:O,2,FALSE)</f>
        <v>RUA SÃO JOSÉ DOS PINHAIS - T1</v>
      </c>
      <c r="C25" s="837">
        <v>24.82</v>
      </c>
      <c r="D25" s="838">
        <f t="shared" si="9"/>
        <v>8.27</v>
      </c>
      <c r="E25" s="839">
        <f t="shared" si="10"/>
        <v>0.1</v>
      </c>
      <c r="F25" s="838">
        <f t="shared" si="0"/>
        <v>0.82</v>
      </c>
      <c r="G25" s="840">
        <v>15</v>
      </c>
      <c r="H25" s="841">
        <f t="shared" si="11"/>
        <v>0.1</v>
      </c>
      <c r="I25" s="841">
        <f t="shared" si="1"/>
        <v>1.5</v>
      </c>
      <c r="J25" s="840">
        <f>35.88+8.03+7.99+36.16</f>
        <v>88.06</v>
      </c>
      <c r="K25" s="841">
        <f t="shared" si="12"/>
        <v>0.1</v>
      </c>
      <c r="L25" s="841">
        <f t="shared" si="2"/>
        <v>8.8000000000000007</v>
      </c>
      <c r="M25" s="837">
        <v>0</v>
      </c>
      <c r="N25" s="838">
        <f t="shared" si="3"/>
        <v>0</v>
      </c>
      <c r="O25" s="839">
        <f t="shared" si="13"/>
        <v>0.1</v>
      </c>
      <c r="P25" s="838">
        <f t="shared" si="4"/>
        <v>0</v>
      </c>
      <c r="Q25" s="840">
        <v>0</v>
      </c>
      <c r="R25" s="841">
        <f t="shared" si="14"/>
        <v>0.1</v>
      </c>
      <c r="S25" s="841">
        <f t="shared" si="5"/>
        <v>0</v>
      </c>
      <c r="T25" s="840">
        <v>5.6879999999999997</v>
      </c>
      <c r="U25" s="841">
        <f t="shared" si="15"/>
        <v>0.4</v>
      </c>
      <c r="V25" s="841">
        <f t="shared" si="16"/>
        <v>2.27</v>
      </c>
      <c r="W25" s="840">
        <v>1</v>
      </c>
      <c r="X25" s="841">
        <f t="shared" si="17"/>
        <v>2.75</v>
      </c>
      <c r="Y25" s="842">
        <f t="shared" si="6"/>
        <v>2.75</v>
      </c>
      <c r="Z25" s="840">
        <v>0</v>
      </c>
      <c r="AA25" s="842">
        <f>ROUNDDOWN(VLOOKUP(A25,RUAS!$A:$P,12,FALSE),0)</f>
        <v>8</v>
      </c>
      <c r="AB25" s="841">
        <f t="shared" si="7"/>
        <v>0</v>
      </c>
      <c r="AC25" s="841">
        <f t="shared" si="20"/>
        <v>0.4</v>
      </c>
      <c r="AD25" s="841">
        <f t="shared" si="18"/>
        <v>4</v>
      </c>
      <c r="AE25" s="841">
        <f t="shared" si="8"/>
        <v>0</v>
      </c>
      <c r="AF25" s="843"/>
      <c r="AG25" s="843"/>
      <c r="AH25" s="843"/>
    </row>
    <row r="26" spans="1:34" s="844" customFormat="1" ht="26.25" customHeight="1" x14ac:dyDescent="0.3">
      <c r="A26" s="835">
        <f t="shared" si="19"/>
        <v>20</v>
      </c>
      <c r="B26" s="836" t="str">
        <f>VLOOKUP(A26,RUAS!A:O,2,FALSE)</f>
        <v>RUA SÃO JOSÉ DOS PINHAIS - T2</v>
      </c>
      <c r="C26" s="837">
        <v>63.88</v>
      </c>
      <c r="D26" s="838">
        <f t="shared" si="9"/>
        <v>21.29</v>
      </c>
      <c r="E26" s="839">
        <f t="shared" si="10"/>
        <v>0.1</v>
      </c>
      <c r="F26" s="838">
        <f t="shared" si="0"/>
        <v>2.12</v>
      </c>
      <c r="G26" s="840">
        <f t="shared" ref="G26:G31" si="22">15*2</f>
        <v>30</v>
      </c>
      <c r="H26" s="841">
        <f t="shared" si="11"/>
        <v>0.1</v>
      </c>
      <c r="I26" s="841">
        <f t="shared" si="1"/>
        <v>3</v>
      </c>
      <c r="J26" s="840">
        <f>8.13+8.1+96.76+96.69+8.1+8.08</f>
        <v>225.86</v>
      </c>
      <c r="K26" s="841">
        <f t="shared" si="12"/>
        <v>0.1</v>
      </c>
      <c r="L26" s="841">
        <f t="shared" si="2"/>
        <v>22.58</v>
      </c>
      <c r="M26" s="837">
        <v>0</v>
      </c>
      <c r="N26" s="838">
        <f t="shared" si="3"/>
        <v>0</v>
      </c>
      <c r="O26" s="839">
        <f t="shared" si="13"/>
        <v>0.1</v>
      </c>
      <c r="P26" s="838">
        <f t="shared" si="4"/>
        <v>0</v>
      </c>
      <c r="Q26" s="840">
        <v>0</v>
      </c>
      <c r="R26" s="841">
        <f t="shared" si="14"/>
        <v>0.1</v>
      </c>
      <c r="S26" s="841">
        <f t="shared" si="5"/>
        <v>0</v>
      </c>
      <c r="T26" s="840">
        <f>4.05+5.724</f>
        <v>9.7740000000000009</v>
      </c>
      <c r="U26" s="841">
        <f t="shared" si="15"/>
        <v>0.4</v>
      </c>
      <c r="V26" s="841">
        <f t="shared" si="16"/>
        <v>3.9</v>
      </c>
      <c r="W26" s="840">
        <v>2</v>
      </c>
      <c r="X26" s="841">
        <f t="shared" si="17"/>
        <v>2.75</v>
      </c>
      <c r="Y26" s="842">
        <f t="shared" si="6"/>
        <v>5.5</v>
      </c>
      <c r="Z26" s="840">
        <v>1</v>
      </c>
      <c r="AA26" s="842">
        <f>ROUNDDOWN(VLOOKUP(A26,RUAS!$A:$P,12,FALSE),0)</f>
        <v>8</v>
      </c>
      <c r="AB26" s="841">
        <f t="shared" si="7"/>
        <v>8</v>
      </c>
      <c r="AC26" s="841">
        <f t="shared" si="20"/>
        <v>0.4</v>
      </c>
      <c r="AD26" s="841">
        <f t="shared" si="18"/>
        <v>4</v>
      </c>
      <c r="AE26" s="841">
        <f t="shared" si="8"/>
        <v>12.8</v>
      </c>
      <c r="AF26" s="843"/>
      <c r="AG26" s="843"/>
      <c r="AH26" s="843"/>
    </row>
    <row r="27" spans="1:34" s="844" customFormat="1" ht="26.25" customHeight="1" x14ac:dyDescent="0.3">
      <c r="A27" s="835">
        <f t="shared" si="19"/>
        <v>21</v>
      </c>
      <c r="B27" s="836" t="str">
        <f>VLOOKUP(A27,RUAS!A:O,2,FALSE)</f>
        <v>RUA SÃO JOSÉ DOS PINHAIS - T3</v>
      </c>
      <c r="C27" s="837">
        <v>50.6</v>
      </c>
      <c r="D27" s="838">
        <f t="shared" si="9"/>
        <v>16.86</v>
      </c>
      <c r="E27" s="839">
        <f t="shared" si="10"/>
        <v>0.1</v>
      </c>
      <c r="F27" s="838">
        <f t="shared" si="0"/>
        <v>1.68</v>
      </c>
      <c r="G27" s="840">
        <f t="shared" si="22"/>
        <v>30</v>
      </c>
      <c r="H27" s="841">
        <f t="shared" si="11"/>
        <v>0.1</v>
      </c>
      <c r="I27" s="841">
        <f t="shared" si="1"/>
        <v>3</v>
      </c>
      <c r="J27" s="840">
        <f>8.09+8.09+73.17+72.84+8.18+8</f>
        <v>178.37</v>
      </c>
      <c r="K27" s="841">
        <f t="shared" si="12"/>
        <v>0.1</v>
      </c>
      <c r="L27" s="841">
        <f t="shared" si="2"/>
        <v>17.829999999999998</v>
      </c>
      <c r="M27" s="837">
        <v>0</v>
      </c>
      <c r="N27" s="838">
        <f t="shared" si="3"/>
        <v>0</v>
      </c>
      <c r="O27" s="839">
        <f t="shared" si="13"/>
        <v>0.1</v>
      </c>
      <c r="P27" s="838">
        <f t="shared" si="4"/>
        <v>0</v>
      </c>
      <c r="Q27" s="840">
        <v>0</v>
      </c>
      <c r="R27" s="841">
        <f t="shared" si="14"/>
        <v>0.1</v>
      </c>
      <c r="S27" s="841">
        <f t="shared" si="5"/>
        <v>0</v>
      </c>
      <c r="T27" s="840">
        <f>5.724+5.683</f>
        <v>11.407</v>
      </c>
      <c r="U27" s="841">
        <f t="shared" si="15"/>
        <v>0.4</v>
      </c>
      <c r="V27" s="841">
        <f t="shared" si="16"/>
        <v>4.5599999999999996</v>
      </c>
      <c r="W27" s="840">
        <v>2</v>
      </c>
      <c r="X27" s="841">
        <f t="shared" si="17"/>
        <v>2.75</v>
      </c>
      <c r="Y27" s="842">
        <f t="shared" si="6"/>
        <v>5.5</v>
      </c>
      <c r="Z27" s="840">
        <v>0</v>
      </c>
      <c r="AA27" s="842">
        <f>ROUNDDOWN(VLOOKUP(A27,RUAS!$A:$P,12,FALSE),0)</f>
        <v>8</v>
      </c>
      <c r="AB27" s="841">
        <f t="shared" si="7"/>
        <v>0</v>
      </c>
      <c r="AC27" s="841">
        <f t="shared" si="20"/>
        <v>0.4</v>
      </c>
      <c r="AD27" s="841">
        <f t="shared" si="18"/>
        <v>4</v>
      </c>
      <c r="AE27" s="841">
        <f t="shared" si="8"/>
        <v>0</v>
      </c>
      <c r="AF27" s="843"/>
      <c r="AG27" s="843"/>
      <c r="AH27" s="843"/>
    </row>
    <row r="28" spans="1:34" s="844" customFormat="1" ht="26.25" customHeight="1" x14ac:dyDescent="0.3">
      <c r="A28" s="835">
        <f t="shared" si="19"/>
        <v>22</v>
      </c>
      <c r="B28" s="836" t="str">
        <f>VLOOKUP(A28,RUAS!A:O,2,FALSE)</f>
        <v>RUA SÃO JOSÉ DOS PINHAIS - T4</v>
      </c>
      <c r="C28" s="837">
        <v>62.97</v>
      </c>
      <c r="D28" s="838">
        <f t="shared" si="9"/>
        <v>20.99</v>
      </c>
      <c r="E28" s="839">
        <f t="shared" si="10"/>
        <v>0.1</v>
      </c>
      <c r="F28" s="838">
        <f t="shared" si="0"/>
        <v>2.09</v>
      </c>
      <c r="G28" s="840">
        <f t="shared" si="22"/>
        <v>30</v>
      </c>
      <c r="H28" s="841">
        <f t="shared" si="11"/>
        <v>0.1</v>
      </c>
      <c r="I28" s="841">
        <f t="shared" si="1"/>
        <v>3</v>
      </c>
      <c r="J28" s="840">
        <f>8.18+8+96.08+95.74+8.08+8.1</f>
        <v>224.18</v>
      </c>
      <c r="K28" s="841">
        <f t="shared" si="12"/>
        <v>0.1</v>
      </c>
      <c r="L28" s="841">
        <f t="shared" si="2"/>
        <v>22.41</v>
      </c>
      <c r="M28" s="837">
        <v>0</v>
      </c>
      <c r="N28" s="838">
        <f t="shared" si="3"/>
        <v>0</v>
      </c>
      <c r="O28" s="839">
        <f t="shared" si="13"/>
        <v>0.1</v>
      </c>
      <c r="P28" s="838">
        <f t="shared" si="4"/>
        <v>0</v>
      </c>
      <c r="Q28" s="840">
        <v>0</v>
      </c>
      <c r="R28" s="841">
        <f t="shared" si="14"/>
        <v>0.1</v>
      </c>
      <c r="S28" s="841">
        <f t="shared" si="5"/>
        <v>0</v>
      </c>
      <c r="T28" s="840">
        <f>5.66+4.05</f>
        <v>9.7100000000000009</v>
      </c>
      <c r="U28" s="841">
        <f t="shared" si="15"/>
        <v>0.4</v>
      </c>
      <c r="V28" s="841">
        <f t="shared" si="16"/>
        <v>3.88</v>
      </c>
      <c r="W28" s="840">
        <v>2</v>
      </c>
      <c r="X28" s="841">
        <f t="shared" si="17"/>
        <v>2.75</v>
      </c>
      <c r="Y28" s="842">
        <f t="shared" si="6"/>
        <v>5.5</v>
      </c>
      <c r="Z28" s="840">
        <v>1</v>
      </c>
      <c r="AA28" s="842">
        <f>ROUNDDOWN(VLOOKUP(A28,RUAS!$A:$P,12,FALSE),0)</f>
        <v>8</v>
      </c>
      <c r="AB28" s="841">
        <f t="shared" si="7"/>
        <v>8</v>
      </c>
      <c r="AC28" s="841">
        <f t="shared" si="20"/>
        <v>0.4</v>
      </c>
      <c r="AD28" s="841">
        <f t="shared" si="18"/>
        <v>4</v>
      </c>
      <c r="AE28" s="841">
        <f t="shared" si="8"/>
        <v>12.8</v>
      </c>
      <c r="AF28" s="843"/>
      <c r="AG28" s="843"/>
      <c r="AH28" s="843"/>
    </row>
    <row r="29" spans="1:34" s="844" customFormat="1" ht="26.25" customHeight="1" x14ac:dyDescent="0.3">
      <c r="A29" s="835">
        <f t="shared" si="19"/>
        <v>23</v>
      </c>
      <c r="B29" s="836" t="str">
        <f>VLOOKUP(A29,RUAS!A:O,2,FALSE)</f>
        <v>RUA COLORADO - T1</v>
      </c>
      <c r="C29" s="837">
        <v>63.03</v>
      </c>
      <c r="D29" s="838">
        <f t="shared" si="9"/>
        <v>21.01</v>
      </c>
      <c r="E29" s="839">
        <f t="shared" si="10"/>
        <v>0.1</v>
      </c>
      <c r="F29" s="838">
        <f t="shared" si="0"/>
        <v>2.1</v>
      </c>
      <c r="G29" s="840">
        <f t="shared" si="22"/>
        <v>30</v>
      </c>
      <c r="H29" s="841">
        <f t="shared" si="11"/>
        <v>0.1</v>
      </c>
      <c r="I29" s="841">
        <f t="shared" si="1"/>
        <v>3</v>
      </c>
      <c r="J29" s="840">
        <f>8.11+96.44+8.06+96.29+8.02+8.16</f>
        <v>225.08</v>
      </c>
      <c r="K29" s="841">
        <f t="shared" si="12"/>
        <v>0.1</v>
      </c>
      <c r="L29" s="841">
        <f t="shared" si="2"/>
        <v>22.5</v>
      </c>
      <c r="M29" s="837">
        <v>0</v>
      </c>
      <c r="N29" s="838">
        <f t="shared" si="3"/>
        <v>0</v>
      </c>
      <c r="O29" s="839">
        <f t="shared" si="13"/>
        <v>0.1</v>
      </c>
      <c r="P29" s="838">
        <f t="shared" si="4"/>
        <v>0</v>
      </c>
      <c r="Q29" s="840">
        <v>0</v>
      </c>
      <c r="R29" s="841">
        <f t="shared" si="14"/>
        <v>0.1</v>
      </c>
      <c r="S29" s="841">
        <f t="shared" si="5"/>
        <v>0</v>
      </c>
      <c r="T29" s="840">
        <f>5.725+4.05</f>
        <v>9.7749999999999986</v>
      </c>
      <c r="U29" s="841">
        <f t="shared" si="15"/>
        <v>0.4</v>
      </c>
      <c r="V29" s="841">
        <f t="shared" si="16"/>
        <v>3.91</v>
      </c>
      <c r="W29" s="840">
        <v>2</v>
      </c>
      <c r="X29" s="841">
        <f t="shared" si="17"/>
        <v>2.75</v>
      </c>
      <c r="Y29" s="842">
        <f t="shared" si="6"/>
        <v>5.5</v>
      </c>
      <c r="Z29" s="840">
        <v>1</v>
      </c>
      <c r="AA29" s="842">
        <f>ROUNDDOWN(VLOOKUP(A29,RUAS!$A:$P,12,FALSE),0)</f>
        <v>8</v>
      </c>
      <c r="AB29" s="841">
        <f t="shared" si="7"/>
        <v>8</v>
      </c>
      <c r="AC29" s="841">
        <f t="shared" si="20"/>
        <v>0.4</v>
      </c>
      <c r="AD29" s="841">
        <f t="shared" si="18"/>
        <v>4</v>
      </c>
      <c r="AE29" s="841">
        <f t="shared" si="8"/>
        <v>12.8</v>
      </c>
      <c r="AF29" s="843"/>
      <c r="AG29" s="843"/>
      <c r="AH29" s="843"/>
    </row>
    <row r="30" spans="1:34" s="844" customFormat="1" ht="26.25" customHeight="1" x14ac:dyDescent="0.3">
      <c r="A30" s="835">
        <f t="shared" si="19"/>
        <v>24</v>
      </c>
      <c r="B30" s="836" t="str">
        <f>VLOOKUP(A30,RUAS!A:O,2,FALSE)</f>
        <v>RUA COLORADO - T2</v>
      </c>
      <c r="C30" s="837">
        <v>50.41</v>
      </c>
      <c r="D30" s="838">
        <f t="shared" si="9"/>
        <v>16.8</v>
      </c>
      <c r="E30" s="839">
        <f t="shared" si="10"/>
        <v>0.1</v>
      </c>
      <c r="F30" s="838">
        <f t="shared" si="0"/>
        <v>1.68</v>
      </c>
      <c r="G30" s="840">
        <f t="shared" si="22"/>
        <v>30</v>
      </c>
      <c r="H30" s="841">
        <f t="shared" si="11"/>
        <v>0.1</v>
      </c>
      <c r="I30" s="841">
        <f t="shared" si="1"/>
        <v>3</v>
      </c>
      <c r="J30" s="840">
        <f>8.02+72.66+8.16+72.99+7.93+8.25</f>
        <v>178.01</v>
      </c>
      <c r="K30" s="841">
        <f t="shared" si="12"/>
        <v>0.1</v>
      </c>
      <c r="L30" s="841">
        <f t="shared" si="2"/>
        <v>17.8</v>
      </c>
      <c r="M30" s="837">
        <v>0</v>
      </c>
      <c r="N30" s="838">
        <f t="shared" si="3"/>
        <v>0</v>
      </c>
      <c r="O30" s="839">
        <f t="shared" si="13"/>
        <v>0.1</v>
      </c>
      <c r="P30" s="838">
        <f t="shared" si="4"/>
        <v>0</v>
      </c>
      <c r="Q30" s="840">
        <v>0</v>
      </c>
      <c r="R30" s="841">
        <f t="shared" si="14"/>
        <v>0.1</v>
      </c>
      <c r="S30" s="841">
        <f t="shared" si="5"/>
        <v>0</v>
      </c>
      <c r="T30" s="840">
        <f>5.725+5.804</f>
        <v>11.529</v>
      </c>
      <c r="U30" s="841">
        <f t="shared" si="15"/>
        <v>0.4</v>
      </c>
      <c r="V30" s="841">
        <f t="shared" si="16"/>
        <v>4.6100000000000003</v>
      </c>
      <c r="W30" s="840">
        <v>2</v>
      </c>
      <c r="X30" s="841">
        <f t="shared" si="17"/>
        <v>2.75</v>
      </c>
      <c r="Y30" s="842">
        <f t="shared" si="6"/>
        <v>5.5</v>
      </c>
      <c r="Z30" s="840">
        <v>0</v>
      </c>
      <c r="AA30" s="842">
        <f>ROUNDDOWN(VLOOKUP(A30,RUAS!$A:$P,12,FALSE),0)</f>
        <v>8</v>
      </c>
      <c r="AB30" s="841">
        <f t="shared" si="7"/>
        <v>0</v>
      </c>
      <c r="AC30" s="841">
        <f t="shared" si="20"/>
        <v>0.4</v>
      </c>
      <c r="AD30" s="841">
        <f t="shared" si="18"/>
        <v>4</v>
      </c>
      <c r="AE30" s="841">
        <f t="shared" si="8"/>
        <v>0</v>
      </c>
      <c r="AF30" s="843"/>
      <c r="AG30" s="843"/>
      <c r="AH30" s="843"/>
    </row>
    <row r="31" spans="1:34" s="844" customFormat="1" ht="26.25" customHeight="1" x14ac:dyDescent="0.3">
      <c r="A31" s="835">
        <f t="shared" si="19"/>
        <v>25</v>
      </c>
      <c r="B31" s="836" t="str">
        <f>VLOOKUP(A31,RUAS!A:O,2,FALSE)</f>
        <v>RUA COLORADO - T3</v>
      </c>
      <c r="C31" s="837">
        <v>61.92</v>
      </c>
      <c r="D31" s="838">
        <f t="shared" si="9"/>
        <v>20.64</v>
      </c>
      <c r="E31" s="839">
        <f t="shared" si="10"/>
        <v>0.1</v>
      </c>
      <c r="F31" s="838">
        <f t="shared" si="0"/>
        <v>2.06</v>
      </c>
      <c r="G31" s="840">
        <f t="shared" si="22"/>
        <v>30</v>
      </c>
      <c r="H31" s="841">
        <f t="shared" si="11"/>
        <v>0.1</v>
      </c>
      <c r="I31" s="841">
        <f t="shared" si="1"/>
        <v>3</v>
      </c>
      <c r="J31" s="840">
        <f>8.2+7.98+96.22+95.9+8.07+8.11</f>
        <v>224.48000000000002</v>
      </c>
      <c r="K31" s="841">
        <f t="shared" si="12"/>
        <v>0.1</v>
      </c>
      <c r="L31" s="841">
        <f t="shared" si="2"/>
        <v>22.44</v>
      </c>
      <c r="M31" s="837">
        <v>0</v>
      </c>
      <c r="N31" s="838">
        <f t="shared" si="3"/>
        <v>0</v>
      </c>
      <c r="O31" s="839">
        <f t="shared" si="13"/>
        <v>0.1</v>
      </c>
      <c r="P31" s="838">
        <f t="shared" si="4"/>
        <v>0</v>
      </c>
      <c r="Q31" s="840">
        <v>0</v>
      </c>
      <c r="R31" s="841">
        <f t="shared" si="14"/>
        <v>0.1</v>
      </c>
      <c r="S31" s="841">
        <f t="shared" si="5"/>
        <v>0</v>
      </c>
      <c r="T31" s="840">
        <f>5.778+4.05</f>
        <v>9.8279999999999994</v>
      </c>
      <c r="U31" s="841">
        <f t="shared" si="15"/>
        <v>0.4</v>
      </c>
      <c r="V31" s="841">
        <f t="shared" si="16"/>
        <v>3.93</v>
      </c>
      <c r="W31" s="840">
        <v>2</v>
      </c>
      <c r="X31" s="841">
        <f t="shared" si="17"/>
        <v>2.75</v>
      </c>
      <c r="Y31" s="842">
        <f t="shared" si="6"/>
        <v>5.5</v>
      </c>
      <c r="Z31" s="840">
        <v>1</v>
      </c>
      <c r="AA31" s="842">
        <f>ROUNDDOWN(VLOOKUP(A31,RUAS!$A:$P,12,FALSE),0)</f>
        <v>8</v>
      </c>
      <c r="AB31" s="841">
        <f t="shared" si="7"/>
        <v>8</v>
      </c>
      <c r="AC31" s="841">
        <f t="shared" si="20"/>
        <v>0.4</v>
      </c>
      <c r="AD31" s="841">
        <f t="shared" si="18"/>
        <v>4</v>
      </c>
      <c r="AE31" s="841">
        <f t="shared" si="8"/>
        <v>12.8</v>
      </c>
      <c r="AF31" s="843"/>
      <c r="AG31" s="843"/>
      <c r="AH31" s="843"/>
    </row>
    <row r="32" spans="1:34" s="844" customFormat="1" ht="26.25" customHeight="1" x14ac:dyDescent="0.3">
      <c r="A32" s="835">
        <f t="shared" si="19"/>
        <v>26</v>
      </c>
      <c r="B32" s="836" t="str">
        <f>VLOOKUP(A32,RUAS!A:O,2,FALSE)</f>
        <v>RUA FOZ DO IGUAÇU - T1</v>
      </c>
      <c r="C32" s="837">
        <v>25.32</v>
      </c>
      <c r="D32" s="838">
        <f t="shared" si="9"/>
        <v>8.44</v>
      </c>
      <c r="E32" s="839">
        <f t="shared" si="10"/>
        <v>0.1</v>
      </c>
      <c r="F32" s="838">
        <f t="shared" si="0"/>
        <v>0.84</v>
      </c>
      <c r="G32" s="840">
        <v>15</v>
      </c>
      <c r="H32" s="841">
        <f t="shared" si="11"/>
        <v>0.1</v>
      </c>
      <c r="I32" s="841">
        <f t="shared" si="1"/>
        <v>1.5</v>
      </c>
      <c r="J32" s="840">
        <f>36.41+8.24+8.1+36.58</f>
        <v>89.33</v>
      </c>
      <c r="K32" s="841">
        <f t="shared" si="12"/>
        <v>0.1</v>
      </c>
      <c r="L32" s="841">
        <f t="shared" si="2"/>
        <v>8.93</v>
      </c>
      <c r="M32" s="837">
        <v>0</v>
      </c>
      <c r="N32" s="838">
        <f t="shared" si="3"/>
        <v>0</v>
      </c>
      <c r="O32" s="839">
        <f t="shared" si="13"/>
        <v>0.1</v>
      </c>
      <c r="P32" s="838">
        <f t="shared" si="4"/>
        <v>0</v>
      </c>
      <c r="Q32" s="840">
        <v>0</v>
      </c>
      <c r="R32" s="841">
        <f t="shared" si="14"/>
        <v>0.1</v>
      </c>
      <c r="S32" s="841">
        <f t="shared" si="5"/>
        <v>0</v>
      </c>
      <c r="T32" s="840">
        <v>5.6929999999999996</v>
      </c>
      <c r="U32" s="841">
        <f t="shared" si="15"/>
        <v>0.4</v>
      </c>
      <c r="V32" s="841">
        <f t="shared" si="16"/>
        <v>2.27</v>
      </c>
      <c r="W32" s="840">
        <v>1</v>
      </c>
      <c r="X32" s="841">
        <f t="shared" si="17"/>
        <v>2.75</v>
      </c>
      <c r="Y32" s="842">
        <f t="shared" si="6"/>
        <v>2.75</v>
      </c>
      <c r="Z32" s="840">
        <v>0</v>
      </c>
      <c r="AA32" s="842">
        <f>ROUNDDOWN(VLOOKUP(A32,RUAS!$A:$P,12,FALSE),0)</f>
        <v>8</v>
      </c>
      <c r="AB32" s="841">
        <f t="shared" si="7"/>
        <v>0</v>
      </c>
      <c r="AC32" s="841">
        <f t="shared" si="20"/>
        <v>0.4</v>
      </c>
      <c r="AD32" s="841">
        <f t="shared" si="18"/>
        <v>4</v>
      </c>
      <c r="AE32" s="841">
        <f t="shared" si="8"/>
        <v>0</v>
      </c>
      <c r="AF32" s="843"/>
      <c r="AG32" s="843"/>
      <c r="AH32" s="843"/>
    </row>
    <row r="33" spans="1:34" s="844" customFormat="1" ht="26.25" customHeight="1" x14ac:dyDescent="0.3">
      <c r="A33" s="835">
        <f t="shared" si="19"/>
        <v>27</v>
      </c>
      <c r="B33" s="836" t="str">
        <f>VLOOKUP(A33,RUAS!A:O,2,FALSE)</f>
        <v>RUA FOZ DO IGUAÇU - T2</v>
      </c>
      <c r="C33" s="837">
        <v>62.61</v>
      </c>
      <c r="D33" s="838">
        <f t="shared" si="9"/>
        <v>20.87</v>
      </c>
      <c r="E33" s="839">
        <f t="shared" si="10"/>
        <v>0.1</v>
      </c>
      <c r="F33" s="838">
        <f t="shared" si="0"/>
        <v>2.08</v>
      </c>
      <c r="G33" s="840">
        <f>15*2</f>
        <v>30</v>
      </c>
      <c r="H33" s="841">
        <f t="shared" si="11"/>
        <v>0.1</v>
      </c>
      <c r="I33" s="841">
        <f t="shared" si="1"/>
        <v>3</v>
      </c>
      <c r="J33" s="840">
        <f>8.02+95.87+95.86+8.04+8.1+8.07</f>
        <v>223.95999999999998</v>
      </c>
      <c r="K33" s="841">
        <f t="shared" si="12"/>
        <v>0.1</v>
      </c>
      <c r="L33" s="841">
        <f t="shared" si="2"/>
        <v>22.39</v>
      </c>
      <c r="M33" s="837">
        <v>0</v>
      </c>
      <c r="N33" s="838">
        <f t="shared" si="3"/>
        <v>0</v>
      </c>
      <c r="O33" s="839">
        <f t="shared" si="13"/>
        <v>0.1</v>
      </c>
      <c r="P33" s="838">
        <f t="shared" si="4"/>
        <v>0</v>
      </c>
      <c r="Q33" s="840">
        <v>0</v>
      </c>
      <c r="R33" s="841">
        <f t="shared" si="14"/>
        <v>0.1</v>
      </c>
      <c r="S33" s="841">
        <f t="shared" si="5"/>
        <v>0</v>
      </c>
      <c r="T33" s="840">
        <f>4.05+5.724</f>
        <v>9.7740000000000009</v>
      </c>
      <c r="U33" s="841">
        <f t="shared" si="15"/>
        <v>0.4</v>
      </c>
      <c r="V33" s="841">
        <f t="shared" si="16"/>
        <v>3.9</v>
      </c>
      <c r="W33" s="840">
        <v>2</v>
      </c>
      <c r="X33" s="841">
        <f t="shared" si="17"/>
        <v>2.75</v>
      </c>
      <c r="Y33" s="842">
        <f t="shared" si="6"/>
        <v>5.5</v>
      </c>
      <c r="Z33" s="840">
        <v>1</v>
      </c>
      <c r="AA33" s="842">
        <f>ROUNDDOWN(VLOOKUP(A33,RUAS!$A:$P,12,FALSE),0)</f>
        <v>8</v>
      </c>
      <c r="AB33" s="841">
        <f t="shared" si="7"/>
        <v>8</v>
      </c>
      <c r="AC33" s="841">
        <f t="shared" si="20"/>
        <v>0.4</v>
      </c>
      <c r="AD33" s="841">
        <f t="shared" si="18"/>
        <v>4</v>
      </c>
      <c r="AE33" s="841">
        <f t="shared" si="8"/>
        <v>12.8</v>
      </c>
      <c r="AF33" s="843"/>
      <c r="AG33" s="843"/>
      <c r="AH33" s="843"/>
    </row>
    <row r="34" spans="1:34" s="844" customFormat="1" ht="26.25" customHeight="1" x14ac:dyDescent="0.3">
      <c r="A34" s="835">
        <f t="shared" si="19"/>
        <v>28</v>
      </c>
      <c r="B34" s="836" t="str">
        <f>VLOOKUP(A34,RUAS!A:O,2,FALSE)</f>
        <v>RUA FOZ DO IGUAÇU - T3</v>
      </c>
      <c r="C34" s="837">
        <v>49.43</v>
      </c>
      <c r="D34" s="838">
        <f t="shared" si="9"/>
        <v>16.47</v>
      </c>
      <c r="E34" s="839">
        <f t="shared" si="10"/>
        <v>0.1</v>
      </c>
      <c r="F34" s="838">
        <f t="shared" si="0"/>
        <v>1.64</v>
      </c>
      <c r="G34" s="840">
        <f>15*2</f>
        <v>30</v>
      </c>
      <c r="H34" s="841">
        <f t="shared" si="11"/>
        <v>0.1</v>
      </c>
      <c r="I34" s="841">
        <f t="shared" si="1"/>
        <v>3</v>
      </c>
      <c r="J34" s="840">
        <f>8.1+8.07+71.72+71.95+8.01+8.17</f>
        <v>176.01999999999998</v>
      </c>
      <c r="K34" s="841">
        <f t="shared" si="12"/>
        <v>0.1</v>
      </c>
      <c r="L34" s="841">
        <f t="shared" si="2"/>
        <v>17.600000000000001</v>
      </c>
      <c r="M34" s="837">
        <v>0</v>
      </c>
      <c r="N34" s="838">
        <f t="shared" si="3"/>
        <v>0</v>
      </c>
      <c r="O34" s="839">
        <f t="shared" si="13"/>
        <v>0.1</v>
      </c>
      <c r="P34" s="838">
        <f t="shared" si="4"/>
        <v>0</v>
      </c>
      <c r="Q34" s="840">
        <v>0</v>
      </c>
      <c r="R34" s="841">
        <f t="shared" si="14"/>
        <v>0.1</v>
      </c>
      <c r="S34" s="841">
        <f t="shared" si="5"/>
        <v>0</v>
      </c>
      <c r="T34" s="840">
        <f>5.725+5.724</f>
        <v>11.449</v>
      </c>
      <c r="U34" s="841">
        <f t="shared" si="15"/>
        <v>0.4</v>
      </c>
      <c r="V34" s="841">
        <f t="shared" si="16"/>
        <v>4.57</v>
      </c>
      <c r="W34" s="840">
        <v>2</v>
      </c>
      <c r="X34" s="841">
        <f t="shared" si="17"/>
        <v>2.75</v>
      </c>
      <c r="Y34" s="842">
        <f t="shared" si="6"/>
        <v>5.5</v>
      </c>
      <c r="Z34" s="840">
        <v>0</v>
      </c>
      <c r="AA34" s="842">
        <f>ROUNDDOWN(VLOOKUP(A34,RUAS!$A:$P,12,FALSE),0)</f>
        <v>8</v>
      </c>
      <c r="AB34" s="841">
        <f t="shared" si="7"/>
        <v>0</v>
      </c>
      <c r="AC34" s="841">
        <f t="shared" si="20"/>
        <v>0.4</v>
      </c>
      <c r="AD34" s="841">
        <f t="shared" si="18"/>
        <v>4</v>
      </c>
      <c r="AE34" s="841">
        <f t="shared" si="8"/>
        <v>0</v>
      </c>
      <c r="AF34" s="843"/>
      <c r="AG34" s="843"/>
      <c r="AH34" s="843"/>
    </row>
    <row r="35" spans="1:34" s="844" customFormat="1" ht="26.25" customHeight="1" x14ac:dyDescent="0.3">
      <c r="A35" s="835">
        <f t="shared" si="19"/>
        <v>29</v>
      </c>
      <c r="B35" s="836" t="str">
        <f>VLOOKUP(A35,RUAS!A:O,2,FALSE)</f>
        <v>RUA FOZ DO IGUAÇU - T4</v>
      </c>
      <c r="C35" s="837">
        <v>61.47</v>
      </c>
      <c r="D35" s="838">
        <f t="shared" si="9"/>
        <v>20.49</v>
      </c>
      <c r="E35" s="839">
        <f t="shared" si="10"/>
        <v>0.1</v>
      </c>
      <c r="F35" s="838">
        <f t="shared" si="0"/>
        <v>2.04</v>
      </c>
      <c r="G35" s="840">
        <f>15*2</f>
        <v>30</v>
      </c>
      <c r="H35" s="841">
        <f t="shared" si="11"/>
        <v>0.1</v>
      </c>
      <c r="I35" s="841">
        <f t="shared" si="1"/>
        <v>3</v>
      </c>
      <c r="J35" s="840">
        <f>8.2+7.98+97.31+96.99+8.07+8.11</f>
        <v>226.66000000000003</v>
      </c>
      <c r="K35" s="841">
        <f t="shared" si="12"/>
        <v>0.1</v>
      </c>
      <c r="L35" s="841">
        <f t="shared" si="2"/>
        <v>22.66</v>
      </c>
      <c r="M35" s="837">
        <v>0</v>
      </c>
      <c r="N35" s="838">
        <f t="shared" si="3"/>
        <v>0</v>
      </c>
      <c r="O35" s="839">
        <f t="shared" si="13"/>
        <v>0.1</v>
      </c>
      <c r="P35" s="838">
        <f t="shared" si="4"/>
        <v>0</v>
      </c>
      <c r="Q35" s="840">
        <v>0</v>
      </c>
      <c r="R35" s="841">
        <f t="shared" si="14"/>
        <v>0.1</v>
      </c>
      <c r="S35" s="841">
        <f t="shared" si="5"/>
        <v>0</v>
      </c>
      <c r="T35" s="840">
        <f>5.726+4.05</f>
        <v>9.7759999999999998</v>
      </c>
      <c r="U35" s="841">
        <f t="shared" si="15"/>
        <v>0.4</v>
      </c>
      <c r="V35" s="841">
        <f t="shared" si="16"/>
        <v>3.91</v>
      </c>
      <c r="W35" s="840">
        <v>2</v>
      </c>
      <c r="X35" s="841">
        <f t="shared" si="17"/>
        <v>2.75</v>
      </c>
      <c r="Y35" s="842">
        <f t="shared" si="6"/>
        <v>5.5</v>
      </c>
      <c r="Z35" s="840">
        <v>1</v>
      </c>
      <c r="AA35" s="842">
        <f>ROUNDDOWN(VLOOKUP(A35,RUAS!$A:$P,12,FALSE),0)</f>
        <v>8</v>
      </c>
      <c r="AB35" s="841">
        <f t="shared" si="7"/>
        <v>8</v>
      </c>
      <c r="AC35" s="841">
        <f t="shared" si="20"/>
        <v>0.4</v>
      </c>
      <c r="AD35" s="841">
        <f t="shared" si="18"/>
        <v>4</v>
      </c>
      <c r="AE35" s="841">
        <f t="shared" si="8"/>
        <v>12.8</v>
      </c>
      <c r="AF35" s="843"/>
      <c r="AG35" s="843"/>
      <c r="AH35" s="843"/>
    </row>
    <row r="36" spans="1:34" s="844" customFormat="1" ht="26.25" customHeight="1" x14ac:dyDescent="0.3">
      <c r="A36" s="835">
        <f t="shared" si="19"/>
        <v>30</v>
      </c>
      <c r="B36" s="836" t="str">
        <f>VLOOKUP(A36,RUAS!A:O,2,FALSE)</f>
        <v>RUA CARAZINHO</v>
      </c>
      <c r="C36" s="837">
        <v>170.86</v>
      </c>
      <c r="D36" s="838">
        <f t="shared" si="9"/>
        <v>56.95</v>
      </c>
      <c r="E36" s="839">
        <f t="shared" si="10"/>
        <v>0.1</v>
      </c>
      <c r="F36" s="838">
        <f t="shared" si="0"/>
        <v>5.69</v>
      </c>
      <c r="G36" s="840">
        <v>15</v>
      </c>
      <c r="H36" s="841">
        <f t="shared" si="11"/>
        <v>0.1</v>
      </c>
      <c r="I36" s="841">
        <f t="shared" si="1"/>
        <v>1.5</v>
      </c>
      <c r="J36" s="840">
        <f>8.04+119.46+71.16+98.08+45.35+8.06+8.12</f>
        <v>358.27000000000004</v>
      </c>
      <c r="K36" s="841">
        <f t="shared" si="12"/>
        <v>0.1</v>
      </c>
      <c r="L36" s="841">
        <f t="shared" si="2"/>
        <v>35.82</v>
      </c>
      <c r="M36" s="837">
        <v>0</v>
      </c>
      <c r="N36" s="838">
        <f t="shared" si="3"/>
        <v>0</v>
      </c>
      <c r="O36" s="839">
        <f t="shared" si="13"/>
        <v>0.1</v>
      </c>
      <c r="P36" s="838">
        <f t="shared" si="4"/>
        <v>0</v>
      </c>
      <c r="Q36" s="840">
        <v>0</v>
      </c>
      <c r="R36" s="841">
        <f t="shared" si="14"/>
        <v>0.1</v>
      </c>
      <c r="S36" s="841">
        <f t="shared" si="5"/>
        <v>0</v>
      </c>
      <c r="T36" s="840">
        <v>4.0579999999999998</v>
      </c>
      <c r="U36" s="841">
        <f t="shared" si="15"/>
        <v>0.4</v>
      </c>
      <c r="V36" s="841">
        <f t="shared" si="16"/>
        <v>1.62</v>
      </c>
      <c r="W36" s="840">
        <v>1</v>
      </c>
      <c r="X36" s="841">
        <f t="shared" si="17"/>
        <v>2.75</v>
      </c>
      <c r="Y36" s="842">
        <f t="shared" si="6"/>
        <v>2.75</v>
      </c>
      <c r="Z36" s="840">
        <v>1</v>
      </c>
      <c r="AA36" s="842">
        <f>ROUNDDOWN(VLOOKUP(A36,RUAS!$A:$P,12,FALSE),0)</f>
        <v>8</v>
      </c>
      <c r="AB36" s="841">
        <f t="shared" si="7"/>
        <v>8</v>
      </c>
      <c r="AC36" s="841">
        <f t="shared" si="20"/>
        <v>0.4</v>
      </c>
      <c r="AD36" s="841">
        <f t="shared" si="18"/>
        <v>4</v>
      </c>
      <c r="AE36" s="841">
        <f t="shared" si="8"/>
        <v>12.8</v>
      </c>
      <c r="AF36" s="843"/>
      <c r="AG36" s="843"/>
      <c r="AH36" s="843"/>
    </row>
    <row r="37" spans="1:34" s="844" customFormat="1" ht="26.25" customHeight="1" x14ac:dyDescent="0.3">
      <c r="A37" s="835">
        <f t="shared" si="19"/>
        <v>31</v>
      </c>
      <c r="B37" s="836" t="str">
        <f>VLOOKUP(A37,RUAS!A:O,2,FALSE)</f>
        <v>RUA LONDRINA</v>
      </c>
      <c r="C37" s="837">
        <v>138.66</v>
      </c>
      <c r="D37" s="838">
        <f t="shared" si="9"/>
        <v>46.22</v>
      </c>
      <c r="E37" s="839">
        <f t="shared" si="10"/>
        <v>0.1</v>
      </c>
      <c r="F37" s="838">
        <f t="shared" si="0"/>
        <v>4.62</v>
      </c>
      <c r="G37" s="840">
        <f>15*2</f>
        <v>30</v>
      </c>
      <c r="H37" s="841">
        <f t="shared" si="11"/>
        <v>0.1</v>
      </c>
      <c r="I37" s="841">
        <f t="shared" si="1"/>
        <v>3</v>
      </c>
      <c r="J37" s="840">
        <f>8.07+8.02+119.24+164.96+29.47</f>
        <v>329.76</v>
      </c>
      <c r="K37" s="841">
        <f t="shared" si="12"/>
        <v>0.1</v>
      </c>
      <c r="L37" s="841">
        <f t="shared" si="2"/>
        <v>32.97</v>
      </c>
      <c r="M37" s="837">
        <v>0</v>
      </c>
      <c r="N37" s="838">
        <f t="shared" si="3"/>
        <v>0</v>
      </c>
      <c r="O37" s="839">
        <f t="shared" si="13"/>
        <v>0.1</v>
      </c>
      <c r="P37" s="838">
        <f t="shared" si="4"/>
        <v>0</v>
      </c>
      <c r="Q37" s="840">
        <v>0</v>
      </c>
      <c r="R37" s="841">
        <f t="shared" si="14"/>
        <v>0.1</v>
      </c>
      <c r="S37" s="841">
        <f t="shared" si="5"/>
        <v>0</v>
      </c>
      <c r="T37" s="840">
        <v>4.4260000000000002</v>
      </c>
      <c r="U37" s="841">
        <f t="shared" si="15"/>
        <v>0.4</v>
      </c>
      <c r="V37" s="841">
        <f t="shared" si="16"/>
        <v>1.77</v>
      </c>
      <c r="W37" s="840">
        <v>1</v>
      </c>
      <c r="X37" s="841">
        <f t="shared" si="17"/>
        <v>2.75</v>
      </c>
      <c r="Y37" s="842">
        <f t="shared" si="6"/>
        <v>2.75</v>
      </c>
      <c r="Z37" s="840">
        <v>0</v>
      </c>
      <c r="AA37" s="842">
        <f>ROUNDDOWN(VLOOKUP(A37,RUAS!$A:$P,12,FALSE),0)</f>
        <v>6</v>
      </c>
      <c r="AB37" s="841">
        <f t="shared" si="7"/>
        <v>0</v>
      </c>
      <c r="AC37" s="841">
        <f t="shared" si="20"/>
        <v>0.4</v>
      </c>
      <c r="AD37" s="841">
        <f t="shared" si="18"/>
        <v>4</v>
      </c>
      <c r="AE37" s="841">
        <f t="shared" si="8"/>
        <v>0</v>
      </c>
      <c r="AF37" s="843"/>
      <c r="AG37" s="843"/>
      <c r="AH37" s="843"/>
    </row>
    <row r="38" spans="1:34" s="844" customFormat="1" ht="26.25" customHeight="1" x14ac:dyDescent="0.3">
      <c r="A38" s="835">
        <f t="shared" si="19"/>
        <v>32</v>
      </c>
      <c r="B38" s="836" t="str">
        <f>VLOOKUP(A38,RUAS!A:O,2,FALSE)</f>
        <v>RUA CENTRO NOVO</v>
      </c>
      <c r="C38" s="837">
        <f>37.83+15.62+93.95+53.97+49.9+9.55+9.83</f>
        <v>270.64999999999998</v>
      </c>
      <c r="D38" s="838">
        <f t="shared" si="9"/>
        <v>90.21</v>
      </c>
      <c r="E38" s="839">
        <f t="shared" si="10"/>
        <v>0.1</v>
      </c>
      <c r="F38" s="838">
        <f t="shared" si="0"/>
        <v>9.02</v>
      </c>
      <c r="G38" s="840">
        <f>15*2</f>
        <v>30</v>
      </c>
      <c r="H38" s="841">
        <f t="shared" si="11"/>
        <v>0.1</v>
      </c>
      <c r="I38" s="841">
        <f t="shared" si="1"/>
        <v>3</v>
      </c>
      <c r="J38" s="840">
        <f>8.02+45.71+8.17+46.18+105.27+0.37+42.35+33.44+11.29+34.35+24.13+9.83+9.4+8.13+44.21+42.75+7.96+8.06</f>
        <v>489.62</v>
      </c>
      <c r="K38" s="841">
        <f t="shared" si="12"/>
        <v>0.1</v>
      </c>
      <c r="L38" s="841">
        <f t="shared" si="2"/>
        <v>48.96</v>
      </c>
      <c r="M38" s="837">
        <v>0</v>
      </c>
      <c r="N38" s="838">
        <f t="shared" si="3"/>
        <v>0</v>
      </c>
      <c r="O38" s="839">
        <f t="shared" si="13"/>
        <v>0.1</v>
      </c>
      <c r="P38" s="838">
        <f t="shared" si="4"/>
        <v>0</v>
      </c>
      <c r="Q38" s="840">
        <v>0</v>
      </c>
      <c r="R38" s="841">
        <f t="shared" si="14"/>
        <v>0.1</v>
      </c>
      <c r="S38" s="841">
        <f t="shared" si="5"/>
        <v>0</v>
      </c>
      <c r="T38" s="840">
        <f>4.581+4.805</f>
        <v>9.3859999999999992</v>
      </c>
      <c r="U38" s="841">
        <f t="shared" si="15"/>
        <v>0.4</v>
      </c>
      <c r="V38" s="841">
        <f t="shared" si="16"/>
        <v>3.75</v>
      </c>
      <c r="W38" s="840">
        <v>2</v>
      </c>
      <c r="X38" s="841">
        <f t="shared" si="17"/>
        <v>2.75</v>
      </c>
      <c r="Y38" s="842">
        <f t="shared" si="6"/>
        <v>5.5</v>
      </c>
      <c r="Z38" s="840">
        <v>0</v>
      </c>
      <c r="AA38" s="842">
        <f>ROUNDDOWN(VLOOKUP(A38,RUAS!$A:$P,12,FALSE),0)</f>
        <v>6</v>
      </c>
      <c r="AB38" s="841">
        <f t="shared" si="7"/>
        <v>0</v>
      </c>
      <c r="AC38" s="841">
        <f t="shared" si="20"/>
        <v>0.4</v>
      </c>
      <c r="AD38" s="841">
        <f t="shared" si="18"/>
        <v>4</v>
      </c>
      <c r="AE38" s="841">
        <f t="shared" si="8"/>
        <v>0</v>
      </c>
      <c r="AF38" s="843"/>
      <c r="AG38" s="843"/>
      <c r="AH38" s="843"/>
    </row>
    <row r="39" spans="1:34" s="844" customFormat="1" ht="26.25" customHeight="1" x14ac:dyDescent="0.3">
      <c r="A39" s="835">
        <f t="shared" si="19"/>
        <v>33</v>
      </c>
      <c r="B39" s="836" t="str">
        <f>VLOOKUP(A39,RUAS!A:O,2,FALSE)</f>
        <v>RUA DESEMIGRADOS</v>
      </c>
      <c r="C39" s="837">
        <f>258.09+10.31+62.74</f>
        <v>331.14</v>
      </c>
      <c r="D39" s="838">
        <f t="shared" si="9"/>
        <v>110.38</v>
      </c>
      <c r="E39" s="839">
        <f t="shared" si="10"/>
        <v>0.1</v>
      </c>
      <c r="F39" s="838">
        <f t="shared" si="0"/>
        <v>11.03</v>
      </c>
      <c r="G39" s="840">
        <f>15</f>
        <v>15</v>
      </c>
      <c r="H39" s="841">
        <f t="shared" si="11"/>
        <v>0.1</v>
      </c>
      <c r="I39" s="841">
        <f t="shared" si="1"/>
        <v>1.5</v>
      </c>
      <c r="J39" s="840">
        <f>8.03+8.14+44.78+46.05+9.88+9.6+10.33+10.29+23.69+22.58+43.32+44.01+43+43.76+44.21+42.89+30.7+30.82</f>
        <v>516.07999999999993</v>
      </c>
      <c r="K39" s="841">
        <f t="shared" si="12"/>
        <v>0.1</v>
      </c>
      <c r="L39" s="841">
        <f t="shared" si="2"/>
        <v>51.6</v>
      </c>
      <c r="M39" s="837">
        <v>0</v>
      </c>
      <c r="N39" s="838">
        <f t="shared" si="3"/>
        <v>0</v>
      </c>
      <c r="O39" s="839">
        <f t="shared" si="13"/>
        <v>0.1</v>
      </c>
      <c r="P39" s="838">
        <f t="shared" si="4"/>
        <v>0</v>
      </c>
      <c r="Q39" s="840">
        <v>0</v>
      </c>
      <c r="R39" s="841">
        <f t="shared" si="14"/>
        <v>0.1</v>
      </c>
      <c r="S39" s="841">
        <f t="shared" si="5"/>
        <v>0</v>
      </c>
      <c r="T39" s="840">
        <v>5.5789999999999997</v>
      </c>
      <c r="U39" s="841">
        <f t="shared" si="15"/>
        <v>0.4</v>
      </c>
      <c r="V39" s="841">
        <f t="shared" si="16"/>
        <v>2.23</v>
      </c>
      <c r="W39" s="840">
        <v>1</v>
      </c>
      <c r="X39" s="841">
        <f t="shared" si="17"/>
        <v>2.75</v>
      </c>
      <c r="Y39" s="842">
        <f t="shared" si="6"/>
        <v>2.75</v>
      </c>
      <c r="Z39" s="840">
        <v>0</v>
      </c>
      <c r="AA39" s="842">
        <f>ROUNDDOWN(VLOOKUP(A39,RUAS!$A:$P,12,FALSE),0)</f>
        <v>8</v>
      </c>
      <c r="AB39" s="841">
        <f t="shared" si="7"/>
        <v>0</v>
      </c>
      <c r="AC39" s="841">
        <f t="shared" si="20"/>
        <v>0.4</v>
      </c>
      <c r="AD39" s="841">
        <f t="shared" si="18"/>
        <v>4</v>
      </c>
      <c r="AE39" s="841">
        <f t="shared" si="8"/>
        <v>0</v>
      </c>
      <c r="AF39" s="843"/>
      <c r="AG39" s="843"/>
      <c r="AH39" s="843"/>
    </row>
    <row r="40" spans="1:34" s="844" customFormat="1" ht="26.25" customHeight="1" x14ac:dyDescent="0.3">
      <c r="A40" s="835">
        <f t="shared" si="19"/>
        <v>34</v>
      </c>
      <c r="B40" s="836" t="str">
        <f>VLOOKUP(A40,RUAS!A:O,2,FALSE)</f>
        <v>RUA MARIALVA - T1</v>
      </c>
      <c r="C40" s="837">
        <f>134.23+12.24+105.61+12.92+13.22+84.64+106.31</f>
        <v>469.17</v>
      </c>
      <c r="D40" s="838">
        <f t="shared" si="9"/>
        <v>156.38999999999999</v>
      </c>
      <c r="E40" s="839">
        <f t="shared" si="10"/>
        <v>0.1</v>
      </c>
      <c r="F40" s="838">
        <f t="shared" si="0"/>
        <v>15.63</v>
      </c>
      <c r="G40" s="840">
        <f>15*2</f>
        <v>30</v>
      </c>
      <c r="H40" s="841">
        <f t="shared" si="11"/>
        <v>0.1</v>
      </c>
      <c r="I40" s="841">
        <f t="shared" si="1"/>
        <v>3</v>
      </c>
      <c r="J40" s="840">
        <f>7.97+8.21+43.75+44.26+43.67+44+20.67+20.86+12.13+10.3+10+12.35+44.08+44.06+14.73+14.45+13.08+12.76+15.99+13.22+2.2+43.99+43.73+43.07+43.71+57.09+57.41+8.12+8.06</f>
        <v>757.92000000000007</v>
      </c>
      <c r="K40" s="841">
        <f t="shared" si="12"/>
        <v>0.1</v>
      </c>
      <c r="L40" s="841">
        <f t="shared" si="2"/>
        <v>75.790000000000006</v>
      </c>
      <c r="M40" s="837">
        <v>0</v>
      </c>
      <c r="N40" s="838">
        <f t="shared" si="3"/>
        <v>0</v>
      </c>
      <c r="O40" s="839">
        <f t="shared" si="13"/>
        <v>0.1</v>
      </c>
      <c r="P40" s="838">
        <f t="shared" si="4"/>
        <v>0</v>
      </c>
      <c r="Q40" s="840">
        <v>0</v>
      </c>
      <c r="R40" s="841">
        <f t="shared" si="14"/>
        <v>0.1</v>
      </c>
      <c r="S40" s="841">
        <f t="shared" si="5"/>
        <v>0</v>
      </c>
      <c r="T40" s="840">
        <f>4.66+4.726</f>
        <v>9.3859999999999992</v>
      </c>
      <c r="U40" s="841">
        <f t="shared" si="15"/>
        <v>0.4</v>
      </c>
      <c r="V40" s="841">
        <f t="shared" si="16"/>
        <v>3.75</v>
      </c>
      <c r="W40" s="840">
        <v>2</v>
      </c>
      <c r="X40" s="841">
        <f t="shared" si="17"/>
        <v>2.75</v>
      </c>
      <c r="Y40" s="842">
        <f t="shared" si="6"/>
        <v>5.5</v>
      </c>
      <c r="Z40" s="840">
        <v>0</v>
      </c>
      <c r="AA40" s="842">
        <f>ROUNDDOWN(VLOOKUP(A40,RUAS!$A:$P,12,FALSE),0)</f>
        <v>6</v>
      </c>
      <c r="AB40" s="841">
        <f t="shared" si="7"/>
        <v>0</v>
      </c>
      <c r="AC40" s="841">
        <f t="shared" si="20"/>
        <v>0.4</v>
      </c>
      <c r="AD40" s="841">
        <f t="shared" si="18"/>
        <v>4</v>
      </c>
      <c r="AE40" s="841">
        <f t="shared" si="8"/>
        <v>0</v>
      </c>
      <c r="AF40" s="843"/>
      <c r="AG40" s="843"/>
      <c r="AH40" s="843"/>
    </row>
    <row r="41" spans="1:34" s="844" customFormat="1" ht="26.25" customHeight="1" x14ac:dyDescent="0.3">
      <c r="A41" s="835">
        <f t="shared" si="19"/>
        <v>35</v>
      </c>
      <c r="B41" s="836" t="str">
        <f>VLOOKUP(A41,RUAS!A:O,2,FALSE)</f>
        <v>RUA MARIALVA - T2</v>
      </c>
      <c r="C41" s="837">
        <v>0</v>
      </c>
      <c r="D41" s="838">
        <f t="shared" si="9"/>
        <v>0</v>
      </c>
      <c r="E41" s="839">
        <f t="shared" si="10"/>
        <v>0.1</v>
      </c>
      <c r="F41" s="838">
        <f t="shared" si="0"/>
        <v>0</v>
      </c>
      <c r="G41" s="840">
        <v>30.24</v>
      </c>
      <c r="H41" s="841">
        <f t="shared" si="11"/>
        <v>0.1</v>
      </c>
      <c r="I41" s="841">
        <f t="shared" si="1"/>
        <v>3.02</v>
      </c>
      <c r="J41" s="840">
        <f>8.04+8.14+25.2+25.52+7.94+8.24</f>
        <v>83.079999999999984</v>
      </c>
      <c r="K41" s="841">
        <f t="shared" si="12"/>
        <v>0.1</v>
      </c>
      <c r="L41" s="841">
        <f t="shared" si="2"/>
        <v>8.3000000000000007</v>
      </c>
      <c r="M41" s="837">
        <v>0</v>
      </c>
      <c r="N41" s="838">
        <f t="shared" si="3"/>
        <v>0</v>
      </c>
      <c r="O41" s="839">
        <f t="shared" si="13"/>
        <v>0.1</v>
      </c>
      <c r="P41" s="838">
        <f t="shared" si="4"/>
        <v>0</v>
      </c>
      <c r="Q41" s="840">
        <v>0</v>
      </c>
      <c r="R41" s="841">
        <f t="shared" si="14"/>
        <v>0.1</v>
      </c>
      <c r="S41" s="841">
        <f t="shared" si="5"/>
        <v>0</v>
      </c>
      <c r="T41" s="840">
        <f>3.626+3.652</f>
        <v>7.2780000000000005</v>
      </c>
      <c r="U41" s="841">
        <f t="shared" si="15"/>
        <v>0.4</v>
      </c>
      <c r="V41" s="841">
        <f t="shared" si="16"/>
        <v>2.91</v>
      </c>
      <c r="W41" s="840">
        <v>2</v>
      </c>
      <c r="X41" s="841">
        <f t="shared" si="17"/>
        <v>2.75</v>
      </c>
      <c r="Y41" s="842">
        <f t="shared" si="6"/>
        <v>5.5</v>
      </c>
      <c r="Z41" s="840">
        <v>0</v>
      </c>
      <c r="AA41" s="842">
        <f>ROUNDDOWN(VLOOKUP(A41,RUAS!$A:$P,12,FALSE),0)</f>
        <v>6</v>
      </c>
      <c r="AB41" s="841">
        <f t="shared" si="7"/>
        <v>0</v>
      </c>
      <c r="AC41" s="841">
        <f t="shared" si="20"/>
        <v>0.4</v>
      </c>
      <c r="AD41" s="841">
        <f t="shared" si="18"/>
        <v>4</v>
      </c>
      <c r="AE41" s="841">
        <f t="shared" si="8"/>
        <v>0</v>
      </c>
      <c r="AF41" s="843"/>
      <c r="AG41" s="843"/>
      <c r="AH41" s="843"/>
    </row>
    <row r="42" spans="1:34" s="844" customFormat="1" ht="26.25" customHeight="1" x14ac:dyDescent="0.3">
      <c r="A42" s="835">
        <f t="shared" si="19"/>
        <v>36</v>
      </c>
      <c r="B42" s="836" t="str">
        <f>VLOOKUP(A42,RUAS!A:O,2,FALSE)</f>
        <v>RUA MARIALVA - T3</v>
      </c>
      <c r="C42" s="837">
        <f>12.85+47.87+45.82</f>
        <v>106.53999999999999</v>
      </c>
      <c r="D42" s="838">
        <f t="shared" si="9"/>
        <v>35.51</v>
      </c>
      <c r="E42" s="839">
        <f t="shared" si="10"/>
        <v>0.1</v>
      </c>
      <c r="F42" s="838">
        <f t="shared" si="0"/>
        <v>3.55</v>
      </c>
      <c r="G42" s="840">
        <f>15*2</f>
        <v>30</v>
      </c>
      <c r="H42" s="841">
        <f t="shared" si="11"/>
        <v>0.1</v>
      </c>
      <c r="I42" s="841">
        <f t="shared" si="1"/>
        <v>3</v>
      </c>
      <c r="J42" s="840">
        <f>7.88+8.3+23.64+24.3+19.12+19.18+10.36+34.09+44.7+7.25+7.57+8.61+5.64</f>
        <v>220.64</v>
      </c>
      <c r="K42" s="841">
        <f t="shared" si="12"/>
        <v>0.1</v>
      </c>
      <c r="L42" s="841">
        <f t="shared" si="2"/>
        <v>22.06</v>
      </c>
      <c r="M42" s="837">
        <v>0</v>
      </c>
      <c r="N42" s="838">
        <f t="shared" si="3"/>
        <v>0</v>
      </c>
      <c r="O42" s="839">
        <f t="shared" si="13"/>
        <v>0.1</v>
      </c>
      <c r="P42" s="838">
        <f t="shared" si="4"/>
        <v>0</v>
      </c>
      <c r="Q42" s="840">
        <v>0</v>
      </c>
      <c r="R42" s="841">
        <f t="shared" si="14"/>
        <v>0.1</v>
      </c>
      <c r="S42" s="841">
        <f t="shared" si="5"/>
        <v>0</v>
      </c>
      <c r="T42" s="840">
        <f>5.149+4.731</f>
        <v>9.879999999999999</v>
      </c>
      <c r="U42" s="841">
        <f t="shared" si="15"/>
        <v>0.4</v>
      </c>
      <c r="V42" s="841">
        <f t="shared" si="16"/>
        <v>3.95</v>
      </c>
      <c r="W42" s="840">
        <v>2</v>
      </c>
      <c r="X42" s="841">
        <f t="shared" si="17"/>
        <v>2.75</v>
      </c>
      <c r="Y42" s="842">
        <f t="shared" si="6"/>
        <v>5.5</v>
      </c>
      <c r="Z42" s="840">
        <v>0</v>
      </c>
      <c r="AA42" s="842">
        <f>ROUNDDOWN(VLOOKUP(A42,RUAS!$A:$P,12,FALSE),0)</f>
        <v>6</v>
      </c>
      <c r="AB42" s="841">
        <f t="shared" si="7"/>
        <v>0</v>
      </c>
      <c r="AC42" s="841">
        <f t="shared" si="20"/>
        <v>0.4</v>
      </c>
      <c r="AD42" s="841">
        <f t="shared" si="18"/>
        <v>4</v>
      </c>
      <c r="AE42" s="841">
        <f t="shared" si="8"/>
        <v>0</v>
      </c>
      <c r="AF42" s="843"/>
      <c r="AG42" s="843"/>
      <c r="AH42" s="843"/>
    </row>
    <row r="43" spans="1:34" s="844" customFormat="1" ht="26.25" customHeight="1" x14ac:dyDescent="0.3">
      <c r="A43" s="835">
        <f t="shared" si="19"/>
        <v>37</v>
      </c>
      <c r="B43" s="836" t="str">
        <f>VLOOKUP(A43,RUAS!A:O,2,FALSE)</f>
        <v>RUA CAMPO LARGO</v>
      </c>
      <c r="C43" s="837">
        <v>45.87</v>
      </c>
      <c r="D43" s="838">
        <f t="shared" si="9"/>
        <v>15.29</v>
      </c>
      <c r="E43" s="839">
        <f t="shared" si="10"/>
        <v>0.1</v>
      </c>
      <c r="F43" s="838">
        <f t="shared" si="0"/>
        <v>1.52</v>
      </c>
      <c r="G43" s="840">
        <f>15+15</f>
        <v>30</v>
      </c>
      <c r="H43" s="841">
        <f t="shared" si="11"/>
        <v>0.1</v>
      </c>
      <c r="I43" s="841">
        <f t="shared" si="1"/>
        <v>3</v>
      </c>
      <c r="J43" s="840">
        <f>8.12+8.05+68.53+68.28+8.13+8.05</f>
        <v>169.16000000000003</v>
      </c>
      <c r="K43" s="841">
        <f t="shared" si="12"/>
        <v>0.1</v>
      </c>
      <c r="L43" s="841">
        <f t="shared" si="2"/>
        <v>16.91</v>
      </c>
      <c r="M43" s="837">
        <v>0</v>
      </c>
      <c r="N43" s="838">
        <f t="shared" si="3"/>
        <v>0</v>
      </c>
      <c r="O43" s="839">
        <f t="shared" si="13"/>
        <v>0.1</v>
      </c>
      <c r="P43" s="838">
        <f t="shared" si="4"/>
        <v>0</v>
      </c>
      <c r="Q43" s="840">
        <v>0</v>
      </c>
      <c r="R43" s="841">
        <f t="shared" si="14"/>
        <v>0.1</v>
      </c>
      <c r="S43" s="841">
        <f t="shared" si="5"/>
        <v>0</v>
      </c>
      <c r="T43" s="840">
        <f>4.452+4.729</f>
        <v>9.1810000000000009</v>
      </c>
      <c r="U43" s="841">
        <f t="shared" si="15"/>
        <v>0.4</v>
      </c>
      <c r="V43" s="841">
        <f t="shared" si="16"/>
        <v>3.67</v>
      </c>
      <c r="W43" s="840">
        <v>2</v>
      </c>
      <c r="X43" s="841">
        <f t="shared" si="17"/>
        <v>2.75</v>
      </c>
      <c r="Y43" s="842">
        <f t="shared" si="6"/>
        <v>5.5</v>
      </c>
      <c r="Z43" s="840">
        <v>0</v>
      </c>
      <c r="AA43" s="842">
        <f>ROUNDDOWN(VLOOKUP(A43,RUAS!$A:$P,12,FALSE),0)</f>
        <v>6</v>
      </c>
      <c r="AB43" s="841">
        <f t="shared" si="7"/>
        <v>0</v>
      </c>
      <c r="AC43" s="841">
        <f t="shared" si="20"/>
        <v>0.4</v>
      </c>
      <c r="AD43" s="841">
        <f t="shared" si="18"/>
        <v>4</v>
      </c>
      <c r="AE43" s="841">
        <f t="shared" si="8"/>
        <v>0</v>
      </c>
      <c r="AF43" s="843"/>
      <c r="AG43" s="843"/>
      <c r="AH43" s="843"/>
    </row>
    <row r="44" spans="1:34" s="844" customFormat="1" ht="26.25" customHeight="1" x14ac:dyDescent="0.3">
      <c r="A44" s="835">
        <f t="shared" si="19"/>
        <v>38</v>
      </c>
      <c r="B44" s="836" t="str">
        <f>VLOOKUP(A44,RUAS!A:O,2,FALSE)</f>
        <v>RUA PARANAGUÁ</v>
      </c>
      <c r="C44" s="837">
        <f>16.09+10.21+653.76+24.74+15.5</f>
        <v>720.3</v>
      </c>
      <c r="D44" s="838">
        <f t="shared" si="9"/>
        <v>240.1</v>
      </c>
      <c r="E44" s="839">
        <f t="shared" si="10"/>
        <v>0.1</v>
      </c>
      <c r="F44" s="838">
        <f t="shared" si="0"/>
        <v>24.01</v>
      </c>
      <c r="G44" s="840">
        <f>15+15+35.8</f>
        <v>65.8</v>
      </c>
      <c r="H44" s="841">
        <f t="shared" si="11"/>
        <v>0.1</v>
      </c>
      <c r="I44" s="841">
        <f t="shared" si="1"/>
        <v>6.58</v>
      </c>
      <c r="J44" s="840">
        <f>31.05+40.54+53.43+39.74+15.02+43.63+354.09+43.93+42.97+43.78+43.56+43.72+43.1+149.87+58.59+25.57+43.02+97.21+17.9+10.32+10.11+15.91+26.68+8.42</f>
        <v>1302.1600000000001</v>
      </c>
      <c r="K44" s="841">
        <f t="shared" si="12"/>
        <v>0.1</v>
      </c>
      <c r="L44" s="841">
        <f t="shared" si="2"/>
        <v>130.21</v>
      </c>
      <c r="M44" s="837">
        <v>0</v>
      </c>
      <c r="N44" s="838">
        <f t="shared" si="3"/>
        <v>0</v>
      </c>
      <c r="O44" s="839">
        <f t="shared" si="13"/>
        <v>0.1</v>
      </c>
      <c r="P44" s="838">
        <f t="shared" si="4"/>
        <v>0</v>
      </c>
      <c r="Q44" s="840">
        <v>0</v>
      </c>
      <c r="R44" s="841">
        <f t="shared" si="14"/>
        <v>0.1</v>
      </c>
      <c r="S44" s="841">
        <f t="shared" si="5"/>
        <v>0</v>
      </c>
      <c r="T44" s="840">
        <v>5.0860000000000003</v>
      </c>
      <c r="U44" s="841">
        <f t="shared" si="15"/>
        <v>0.4</v>
      </c>
      <c r="V44" s="841">
        <f t="shared" si="16"/>
        <v>2.0299999999999998</v>
      </c>
      <c r="W44" s="840">
        <v>1</v>
      </c>
      <c r="X44" s="841">
        <f t="shared" si="17"/>
        <v>2.75</v>
      </c>
      <c r="Y44" s="842">
        <f t="shared" si="6"/>
        <v>2.75</v>
      </c>
      <c r="Z44" s="840">
        <v>0</v>
      </c>
      <c r="AA44" s="842">
        <f>ROUNDDOWN(VLOOKUP(A44,RUAS!$A:$P,12,FALSE),0)</f>
        <v>6</v>
      </c>
      <c r="AB44" s="841">
        <f t="shared" si="7"/>
        <v>0</v>
      </c>
      <c r="AC44" s="841">
        <f t="shared" si="20"/>
        <v>0.4</v>
      </c>
      <c r="AD44" s="841">
        <f t="shared" si="18"/>
        <v>4</v>
      </c>
      <c r="AE44" s="841">
        <f t="shared" si="8"/>
        <v>0</v>
      </c>
      <c r="AF44" s="843"/>
      <c r="AG44" s="843"/>
      <c r="AH44" s="843"/>
    </row>
    <row r="45" spans="1:34" s="844" customFormat="1" ht="26.25" customHeight="1" x14ac:dyDescent="0.3">
      <c r="A45" s="835">
        <f t="shared" si="19"/>
        <v>39</v>
      </c>
      <c r="B45" s="836" t="str">
        <f>VLOOKUP(A45,RUAS!A:O,2,FALSE)</f>
        <v>RUA CAMPINAS</v>
      </c>
      <c r="C45" s="837">
        <f>69.28+16.11+40.09+10.98+174.26+3.92+54.39+13.44+12.69+4.58+5.19</f>
        <v>404.93</v>
      </c>
      <c r="D45" s="838">
        <f t="shared" si="9"/>
        <v>134.97</v>
      </c>
      <c r="E45" s="839">
        <f t="shared" si="10"/>
        <v>0.1</v>
      </c>
      <c r="F45" s="838">
        <f t="shared" si="0"/>
        <v>13.49</v>
      </c>
      <c r="G45" s="840">
        <v>0</v>
      </c>
      <c r="H45" s="841">
        <f t="shared" si="11"/>
        <v>0.1</v>
      </c>
      <c r="I45" s="841">
        <f t="shared" si="1"/>
        <v>0</v>
      </c>
      <c r="J45" s="840">
        <f>9.3+5.09+4.77+12.69+8.71+12.99+54.39+54.39+4.01+3.83+174.26+174.26+11.04+10.93+40.09+40.09+16.18+16.04+48+53.46+2.51</f>
        <v>757.02999999999986</v>
      </c>
      <c r="K45" s="841">
        <f t="shared" si="12"/>
        <v>0.1</v>
      </c>
      <c r="L45" s="841">
        <f t="shared" si="2"/>
        <v>75.7</v>
      </c>
      <c r="M45" s="837">
        <v>0</v>
      </c>
      <c r="N45" s="838">
        <f t="shared" si="3"/>
        <v>0</v>
      </c>
      <c r="O45" s="839">
        <f t="shared" si="13"/>
        <v>0.1</v>
      </c>
      <c r="P45" s="838">
        <f t="shared" si="4"/>
        <v>0</v>
      </c>
      <c r="Q45" s="840">
        <v>0</v>
      </c>
      <c r="R45" s="841">
        <f t="shared" si="14"/>
        <v>0.1</v>
      </c>
      <c r="S45" s="841">
        <f t="shared" si="5"/>
        <v>0</v>
      </c>
      <c r="T45" s="840">
        <v>0</v>
      </c>
      <c r="U45" s="841">
        <f t="shared" si="15"/>
        <v>0.4</v>
      </c>
      <c r="V45" s="841">
        <f t="shared" si="16"/>
        <v>0</v>
      </c>
      <c r="W45" s="840">
        <v>0</v>
      </c>
      <c r="X45" s="841">
        <f t="shared" si="17"/>
        <v>2.75</v>
      </c>
      <c r="Y45" s="842">
        <f t="shared" si="6"/>
        <v>0</v>
      </c>
      <c r="Z45" s="840">
        <v>0</v>
      </c>
      <c r="AA45" s="842">
        <f>ROUNDDOWN(VLOOKUP(A45,RUAS!$A:$P,12,FALSE),0)</f>
        <v>7</v>
      </c>
      <c r="AB45" s="841">
        <f t="shared" si="7"/>
        <v>0</v>
      </c>
      <c r="AC45" s="841">
        <f t="shared" si="20"/>
        <v>0.4</v>
      </c>
      <c r="AD45" s="841">
        <f t="shared" si="18"/>
        <v>4</v>
      </c>
      <c r="AE45" s="841">
        <f t="shared" si="8"/>
        <v>0</v>
      </c>
      <c r="AF45" s="843"/>
      <c r="AG45" s="843"/>
      <c r="AH45" s="843"/>
    </row>
    <row r="46" spans="1:34" s="844" customFormat="1" ht="26.25" customHeight="1" x14ac:dyDescent="0.3">
      <c r="A46" s="835">
        <f t="shared" si="19"/>
        <v>40</v>
      </c>
      <c r="B46" s="836" t="str">
        <f>VLOOKUP(A46,RUAS!A:O,2,FALSE)</f>
        <v>ACESSO 1</v>
      </c>
      <c r="C46" s="837">
        <v>0</v>
      </c>
      <c r="D46" s="838">
        <f t="shared" si="9"/>
        <v>0</v>
      </c>
      <c r="E46" s="839">
        <f t="shared" si="10"/>
        <v>0.1</v>
      </c>
      <c r="F46" s="838">
        <f t="shared" si="0"/>
        <v>0</v>
      </c>
      <c r="G46" s="840">
        <v>18.350000000000001</v>
      </c>
      <c r="H46" s="841">
        <f t="shared" si="11"/>
        <v>0.1</v>
      </c>
      <c r="I46" s="841">
        <f t="shared" si="1"/>
        <v>1.83</v>
      </c>
      <c r="J46" s="840">
        <f>7.63+11.68+8.14+8.07+9.82+8.43</f>
        <v>53.769999999999996</v>
      </c>
      <c r="K46" s="841">
        <f t="shared" si="12"/>
        <v>0.1</v>
      </c>
      <c r="L46" s="841">
        <f t="shared" si="2"/>
        <v>5.37</v>
      </c>
      <c r="M46" s="837">
        <v>0</v>
      </c>
      <c r="N46" s="838">
        <f t="shared" si="3"/>
        <v>0</v>
      </c>
      <c r="O46" s="839">
        <f t="shared" si="13"/>
        <v>0.1</v>
      </c>
      <c r="P46" s="838">
        <f t="shared" si="4"/>
        <v>0</v>
      </c>
      <c r="Q46" s="840">
        <v>0</v>
      </c>
      <c r="R46" s="841">
        <f t="shared" si="14"/>
        <v>0.1</v>
      </c>
      <c r="S46" s="841">
        <f t="shared" si="5"/>
        <v>0</v>
      </c>
      <c r="T46" s="840">
        <f>5.865+5.385</f>
        <v>11.25</v>
      </c>
      <c r="U46" s="841">
        <f t="shared" si="15"/>
        <v>0.4</v>
      </c>
      <c r="V46" s="841">
        <f t="shared" si="16"/>
        <v>4.5</v>
      </c>
      <c r="W46" s="840">
        <v>2</v>
      </c>
      <c r="X46" s="841">
        <f t="shared" si="17"/>
        <v>2.75</v>
      </c>
      <c r="Y46" s="842">
        <f t="shared" si="6"/>
        <v>5.5</v>
      </c>
      <c r="Z46" s="840">
        <v>0</v>
      </c>
      <c r="AA46" s="842">
        <f>ROUNDDOWN(VLOOKUP(A46,RUAS!$A:$P,12,FALSE),0)</f>
        <v>8</v>
      </c>
      <c r="AB46" s="841">
        <f t="shared" si="7"/>
        <v>0</v>
      </c>
      <c r="AC46" s="841">
        <f t="shared" si="20"/>
        <v>0.4</v>
      </c>
      <c r="AD46" s="841">
        <f t="shared" si="18"/>
        <v>4</v>
      </c>
      <c r="AE46" s="841">
        <f t="shared" si="8"/>
        <v>0</v>
      </c>
      <c r="AF46" s="843"/>
      <c r="AG46" s="843"/>
      <c r="AH46" s="843"/>
    </row>
    <row r="47" spans="1:34" s="844" customFormat="1" ht="26.25" customHeight="1" x14ac:dyDescent="0.3">
      <c r="A47" s="835">
        <f t="shared" si="19"/>
        <v>41</v>
      </c>
      <c r="B47" s="836" t="str">
        <f>VLOOKUP(A47,RUAS!A:O,2,FALSE)</f>
        <v>ACESSO 2</v>
      </c>
      <c r="C47" s="837">
        <v>0</v>
      </c>
      <c r="D47" s="838">
        <f t="shared" si="9"/>
        <v>0</v>
      </c>
      <c r="E47" s="839">
        <f t="shared" si="10"/>
        <v>0.1</v>
      </c>
      <c r="F47" s="838">
        <f t="shared" si="0"/>
        <v>0</v>
      </c>
      <c r="G47" s="840">
        <v>18.66</v>
      </c>
      <c r="H47" s="841">
        <f t="shared" si="11"/>
        <v>0.1</v>
      </c>
      <c r="I47" s="841">
        <f t="shared" si="1"/>
        <v>1.86</v>
      </c>
      <c r="J47" s="840">
        <f>9.61+6.57+10.85+9.57+10.69+6.61</f>
        <v>53.9</v>
      </c>
      <c r="K47" s="841">
        <f t="shared" si="12"/>
        <v>0.1</v>
      </c>
      <c r="L47" s="841">
        <f t="shared" si="2"/>
        <v>5.39</v>
      </c>
      <c r="M47" s="837">
        <v>0</v>
      </c>
      <c r="N47" s="838">
        <f t="shared" si="3"/>
        <v>0</v>
      </c>
      <c r="O47" s="839">
        <f t="shared" si="13"/>
        <v>0.1</v>
      </c>
      <c r="P47" s="838">
        <f t="shared" si="4"/>
        <v>0</v>
      </c>
      <c r="Q47" s="840">
        <v>0</v>
      </c>
      <c r="R47" s="841">
        <f t="shared" si="14"/>
        <v>0.1</v>
      </c>
      <c r="S47" s="841">
        <f t="shared" si="5"/>
        <v>0</v>
      </c>
      <c r="T47" s="840">
        <f>6.949+7.032</f>
        <v>13.981</v>
      </c>
      <c r="U47" s="841">
        <f t="shared" si="15"/>
        <v>0.4</v>
      </c>
      <c r="V47" s="841">
        <f t="shared" si="16"/>
        <v>5.59</v>
      </c>
      <c r="W47" s="840">
        <v>2</v>
      </c>
      <c r="X47" s="841">
        <f t="shared" si="17"/>
        <v>2.75</v>
      </c>
      <c r="Y47" s="842">
        <f t="shared" si="6"/>
        <v>5.5</v>
      </c>
      <c r="Z47" s="840">
        <v>0</v>
      </c>
      <c r="AA47" s="842">
        <f>ROUNDDOWN(VLOOKUP(A47,RUAS!$A:$P,12,FALSE),0)</f>
        <v>8</v>
      </c>
      <c r="AB47" s="841">
        <f t="shared" si="7"/>
        <v>0</v>
      </c>
      <c r="AC47" s="841">
        <f t="shared" si="20"/>
        <v>0.4</v>
      </c>
      <c r="AD47" s="841">
        <f t="shared" si="18"/>
        <v>4</v>
      </c>
      <c r="AE47" s="841">
        <f t="shared" si="8"/>
        <v>0</v>
      </c>
      <c r="AF47" s="843"/>
      <c r="AG47" s="843"/>
      <c r="AH47" s="843"/>
    </row>
    <row r="48" spans="1:34" s="820" customFormat="1" ht="15" customHeight="1" x14ac:dyDescent="0.3">
      <c r="A48" s="1355" t="s">
        <v>606</v>
      </c>
      <c r="B48" s="1355"/>
      <c r="C48" s="845"/>
      <c r="D48" s="845">
        <f>SUM(D7:D47)</f>
        <v>1455.6100000000001</v>
      </c>
      <c r="E48" s="846"/>
      <c r="F48" s="847"/>
      <c r="G48" s="848">
        <f>SUM(G7:G47)</f>
        <v>988.05</v>
      </c>
      <c r="H48" s="849"/>
      <c r="I48" s="845"/>
      <c r="J48" s="845">
        <f>SUM(J7:J47)</f>
        <v>11068.949999999999</v>
      </c>
      <c r="K48" s="849"/>
      <c r="L48" s="845"/>
      <c r="M48" s="845"/>
      <c r="N48" s="845">
        <f>SUM(N7:N47)</f>
        <v>110.27000000000001</v>
      </c>
      <c r="O48" s="846"/>
      <c r="P48" s="847"/>
      <c r="Q48" s="845">
        <f>SUM(Q7:Q47)</f>
        <v>15</v>
      </c>
      <c r="R48" s="849"/>
      <c r="S48" s="845"/>
      <c r="T48" s="845"/>
      <c r="U48" s="845"/>
      <c r="V48" s="845">
        <f>SUM(V7:V47)</f>
        <v>135.27000000000001</v>
      </c>
      <c r="W48" s="845"/>
      <c r="X48" s="849"/>
      <c r="Y48" s="845">
        <f>SUM(Y7:Y47)</f>
        <v>178.75</v>
      </c>
      <c r="Z48" s="847"/>
      <c r="AA48" s="849"/>
      <c r="AB48" s="849"/>
      <c r="AC48" s="849"/>
      <c r="AD48" s="849"/>
      <c r="AE48" s="845">
        <f>SUM(AE7:AE47)</f>
        <v>140.79999999999998</v>
      </c>
    </row>
    <row r="49" spans="1:31" s="844" customFormat="1" ht="15" customHeight="1" x14ac:dyDescent="0.3">
      <c r="A49" s="850"/>
      <c r="B49" s="850"/>
      <c r="C49" s="851"/>
      <c r="D49" s="851"/>
      <c r="E49" s="851"/>
      <c r="F49" s="852"/>
      <c r="G49" s="852"/>
      <c r="H49" s="853"/>
      <c r="I49" s="854"/>
      <c r="J49" s="854"/>
      <c r="K49" s="853"/>
      <c r="L49" s="854"/>
      <c r="M49" s="854"/>
      <c r="N49" s="854"/>
      <c r="O49" s="854"/>
      <c r="P49" s="854"/>
      <c r="Q49" s="854"/>
      <c r="R49" s="854"/>
      <c r="S49" s="854"/>
      <c r="T49" s="854"/>
      <c r="U49" s="854"/>
      <c r="V49" s="854"/>
      <c r="W49" s="852"/>
      <c r="X49" s="853"/>
      <c r="Y49" s="855"/>
      <c r="Z49" s="852"/>
      <c r="AA49" s="853"/>
      <c r="AB49" s="853"/>
      <c r="AC49" s="853"/>
      <c r="AD49" s="853"/>
      <c r="AE49" s="854"/>
    </row>
    <row r="50" spans="1:31" customFormat="1" ht="14.4" x14ac:dyDescent="0.3">
      <c r="B50" s="1356" t="s">
        <v>295</v>
      </c>
      <c r="C50" s="1356"/>
      <c r="D50" s="856" t="s">
        <v>607</v>
      </c>
      <c r="E50" s="856" t="s">
        <v>608</v>
      </c>
      <c r="F50" s="1357" t="s">
        <v>609</v>
      </c>
      <c r="G50" s="1358"/>
      <c r="H50" s="857"/>
      <c r="J50" s="858"/>
      <c r="K50" s="708"/>
      <c r="L50" s="708"/>
      <c r="M50" s="708"/>
      <c r="N50" s="708"/>
      <c r="O50" s="708"/>
      <c r="P50" s="708"/>
      <c r="Q50" s="708"/>
      <c r="R50" s="708"/>
      <c r="S50" s="708"/>
      <c r="T50" s="708"/>
      <c r="U50" s="708"/>
      <c r="V50" s="708"/>
      <c r="W50" s="708"/>
    </row>
    <row r="51" spans="1:31" s="820" customFormat="1" x14ac:dyDescent="0.3">
      <c r="A51" s="859"/>
      <c r="B51" s="860" t="s">
        <v>610</v>
      </c>
      <c r="C51" s="861"/>
      <c r="D51" s="861" t="s">
        <v>611</v>
      </c>
      <c r="E51" s="862">
        <f>D48+G48+J48+N48+Q48</f>
        <v>13637.88</v>
      </c>
      <c r="F51" s="863" t="s">
        <v>612</v>
      </c>
      <c r="G51" s="864"/>
      <c r="I51" s="865"/>
      <c r="J51" s="865"/>
      <c r="K51" s="865"/>
      <c r="L51" s="865"/>
      <c r="M51" s="865"/>
      <c r="N51" s="865"/>
      <c r="O51" s="865"/>
      <c r="P51" s="865"/>
      <c r="Q51" s="865"/>
      <c r="R51" s="865"/>
      <c r="S51" s="865"/>
      <c r="T51" s="865"/>
      <c r="U51" s="865"/>
      <c r="V51" s="865"/>
      <c r="W51" s="866"/>
      <c r="X51" s="865"/>
      <c r="Y51" s="865"/>
      <c r="Z51" s="866"/>
      <c r="AA51" s="865"/>
      <c r="AB51" s="865"/>
      <c r="AC51" s="865"/>
      <c r="AD51" s="865"/>
      <c r="AE51" s="865"/>
    </row>
    <row r="52" spans="1:31" s="820" customFormat="1" x14ac:dyDescent="0.3">
      <c r="A52" s="859"/>
      <c r="B52" s="860" t="s">
        <v>613</v>
      </c>
      <c r="C52" s="861"/>
      <c r="D52" s="861" t="s">
        <v>32</v>
      </c>
      <c r="E52" s="862">
        <f>V48+AE48</f>
        <v>276.07</v>
      </c>
      <c r="F52" s="1344" t="s">
        <v>614</v>
      </c>
      <c r="G52" s="1345"/>
      <c r="I52" s="865"/>
      <c r="J52" s="865"/>
      <c r="K52" s="865"/>
      <c r="L52" s="865"/>
      <c r="M52" s="865"/>
      <c r="N52" s="865"/>
      <c r="O52" s="865"/>
      <c r="P52" s="865"/>
      <c r="Q52" s="865"/>
      <c r="R52" s="865"/>
      <c r="S52" s="865"/>
      <c r="T52" s="865"/>
      <c r="U52" s="865"/>
      <c r="V52" s="865"/>
      <c r="W52" s="866"/>
      <c r="X52" s="865"/>
      <c r="Y52" s="865"/>
      <c r="Z52" s="866"/>
      <c r="AA52" s="865"/>
      <c r="AB52" s="865"/>
      <c r="AC52" s="865"/>
      <c r="AD52" s="865"/>
      <c r="AE52" s="865"/>
    </row>
    <row r="53" spans="1:31" s="820" customFormat="1" x14ac:dyDescent="0.3">
      <c r="A53" s="859"/>
      <c r="B53" s="860" t="s">
        <v>615</v>
      </c>
      <c r="C53" s="861"/>
      <c r="D53" s="861" t="s">
        <v>32</v>
      </c>
      <c r="E53" s="862">
        <f>Y48</f>
        <v>178.75</v>
      </c>
      <c r="F53" s="863" t="s">
        <v>616</v>
      </c>
      <c r="G53" s="863"/>
      <c r="I53" s="865"/>
      <c r="J53" s="865"/>
      <c r="K53" s="865"/>
      <c r="L53" s="865"/>
      <c r="M53" s="865"/>
      <c r="N53" s="865"/>
      <c r="O53" s="865"/>
      <c r="P53" s="865"/>
      <c r="Q53" s="865"/>
      <c r="R53" s="865"/>
      <c r="S53" s="865"/>
      <c r="T53" s="865"/>
      <c r="U53" s="865"/>
      <c r="V53" s="865"/>
      <c r="W53" s="866"/>
      <c r="X53" s="865"/>
      <c r="Y53" s="865"/>
      <c r="Z53" s="866"/>
      <c r="AA53" s="865"/>
      <c r="AB53" s="865"/>
      <c r="AC53" s="865"/>
      <c r="AD53" s="865"/>
      <c r="AE53" s="865"/>
    </row>
    <row r="54" spans="1:31" s="820" customFormat="1" x14ac:dyDescent="0.3">
      <c r="A54" s="859"/>
      <c r="B54" s="859"/>
      <c r="C54" s="867"/>
      <c r="D54" s="867"/>
      <c r="E54" s="867"/>
      <c r="F54" s="867"/>
      <c r="G54" s="866"/>
      <c r="H54" s="865"/>
      <c r="I54" s="865"/>
      <c r="J54" s="865"/>
      <c r="K54" s="865"/>
      <c r="L54" s="865"/>
      <c r="M54" s="865"/>
      <c r="N54" s="865"/>
      <c r="O54" s="865"/>
      <c r="P54" s="865"/>
      <c r="Q54" s="865"/>
      <c r="R54" s="865"/>
      <c r="S54" s="865"/>
      <c r="T54" s="865"/>
      <c r="U54" s="865"/>
      <c r="V54" s="865"/>
      <c r="W54" s="866"/>
      <c r="X54" s="865"/>
      <c r="Y54" s="865"/>
      <c r="Z54" s="866"/>
      <c r="AA54" s="865"/>
      <c r="AB54" s="865"/>
      <c r="AC54" s="865"/>
      <c r="AD54" s="865"/>
      <c r="AE54" s="865"/>
    </row>
    <row r="55" spans="1:31" s="820" customFormat="1" x14ac:dyDescent="0.3">
      <c r="A55" s="859"/>
      <c r="B55" s="859"/>
      <c r="C55" s="867"/>
      <c r="D55" s="867"/>
      <c r="E55" s="868"/>
      <c r="F55" s="867"/>
      <c r="G55" s="866"/>
      <c r="H55" s="865"/>
      <c r="I55" s="865"/>
      <c r="J55" s="865"/>
      <c r="K55" s="865"/>
      <c r="L55" s="865"/>
      <c r="M55" s="865"/>
      <c r="N55" s="865">
        <v>11068.93</v>
      </c>
      <c r="O55" s="865"/>
      <c r="P55" s="865"/>
      <c r="Q55" s="865"/>
      <c r="R55" s="865"/>
      <c r="S55" s="865"/>
      <c r="T55" s="865"/>
      <c r="U55" s="865"/>
      <c r="V55" s="865"/>
      <c r="W55" s="866"/>
      <c r="X55" s="865"/>
      <c r="Y55" s="865"/>
      <c r="Z55" s="866"/>
      <c r="AA55" s="865"/>
      <c r="AB55" s="865"/>
      <c r="AC55" s="865"/>
      <c r="AD55" s="865"/>
      <c r="AE55" s="865"/>
    </row>
    <row r="56" spans="1:31" s="820" customFormat="1" x14ac:dyDescent="0.3">
      <c r="A56" s="859"/>
      <c r="B56" s="859"/>
      <c r="C56" s="867"/>
      <c r="D56" s="867"/>
      <c r="E56" s="867"/>
      <c r="F56" s="867"/>
      <c r="G56" s="866"/>
      <c r="H56" s="865"/>
      <c r="I56" s="865"/>
      <c r="J56" s="865"/>
      <c r="K56" s="865"/>
      <c r="L56" s="865"/>
      <c r="M56" s="865"/>
      <c r="N56" s="865">
        <f>N55-J48</f>
        <v>-1.9999999998617568E-2</v>
      </c>
      <c r="O56" s="865"/>
      <c r="P56" s="865"/>
      <c r="Q56" s="865"/>
      <c r="R56" s="865">
        <f>C48+G48+J48+M48+Q48</f>
        <v>12071.999999999998</v>
      </c>
      <c r="S56" s="865"/>
      <c r="T56" s="865"/>
      <c r="U56" s="865"/>
      <c r="V56" s="865"/>
      <c r="W56" s="866"/>
      <c r="X56" s="865"/>
      <c r="Y56" s="865"/>
      <c r="Z56" s="866"/>
      <c r="AA56" s="865"/>
      <c r="AB56" s="865"/>
      <c r="AC56" s="865"/>
      <c r="AD56" s="865"/>
      <c r="AE56" s="865"/>
    </row>
    <row r="57" spans="1:31" s="820" customFormat="1" x14ac:dyDescent="0.3">
      <c r="A57" s="859"/>
      <c r="B57" s="859"/>
      <c r="C57" s="867"/>
      <c r="D57" s="867"/>
      <c r="E57" s="867"/>
      <c r="F57" s="867"/>
      <c r="G57" s="866"/>
      <c r="H57" s="865"/>
      <c r="I57" s="865"/>
      <c r="J57" s="865"/>
      <c r="K57" s="865"/>
      <c r="L57" s="865"/>
      <c r="M57" s="865"/>
      <c r="N57" s="865"/>
      <c r="O57" s="865"/>
      <c r="P57" s="865"/>
      <c r="Q57" s="865"/>
      <c r="R57" s="865"/>
      <c r="S57" s="865"/>
      <c r="T57" s="865"/>
      <c r="U57" s="865"/>
      <c r="V57" s="865"/>
      <c r="W57" s="866"/>
      <c r="X57" s="865"/>
      <c r="Y57" s="865"/>
      <c r="Z57" s="866"/>
      <c r="AA57" s="865"/>
      <c r="AB57" s="865"/>
      <c r="AC57" s="865"/>
      <c r="AD57" s="865"/>
      <c r="AE57" s="865"/>
    </row>
    <row r="58" spans="1:31" s="820" customFormat="1" x14ac:dyDescent="0.3">
      <c r="A58" s="859"/>
      <c r="B58" s="859"/>
      <c r="F58" s="867"/>
      <c r="G58" s="866"/>
      <c r="H58" s="865"/>
      <c r="I58" s="865"/>
      <c r="J58" s="865"/>
      <c r="K58" s="865"/>
      <c r="L58" s="865"/>
      <c r="M58" s="865"/>
      <c r="N58" s="865"/>
      <c r="O58" s="865"/>
      <c r="P58" s="865"/>
      <c r="Q58" s="865"/>
      <c r="R58" s="865"/>
      <c r="S58" s="865"/>
      <c r="T58" s="865"/>
      <c r="U58" s="865"/>
      <c r="V58" s="865"/>
      <c r="W58" s="866"/>
      <c r="X58" s="865"/>
      <c r="Y58" s="865"/>
      <c r="Z58" s="866"/>
      <c r="AA58" s="865"/>
      <c r="AB58" s="865"/>
      <c r="AC58" s="865"/>
      <c r="AD58" s="865"/>
      <c r="AE58" s="865"/>
    </row>
    <row r="59" spans="1:31" s="820" customFormat="1" x14ac:dyDescent="0.3">
      <c r="A59" s="859"/>
      <c r="B59" s="859"/>
      <c r="F59" s="867"/>
      <c r="G59" s="866"/>
      <c r="H59" s="865"/>
      <c r="I59" s="865"/>
      <c r="J59" s="865"/>
      <c r="K59" s="865"/>
      <c r="L59" s="865"/>
      <c r="M59" s="865"/>
      <c r="N59" s="865"/>
      <c r="O59" s="865"/>
      <c r="P59" s="865"/>
      <c r="Q59" s="865"/>
      <c r="R59" s="865"/>
      <c r="S59" s="865"/>
      <c r="T59" s="865"/>
      <c r="U59" s="865"/>
      <c r="V59" s="865"/>
      <c r="W59" s="866"/>
      <c r="X59" s="865"/>
      <c r="Y59" s="865"/>
      <c r="Z59" s="866"/>
      <c r="AA59" s="865"/>
      <c r="AB59" s="865"/>
      <c r="AC59" s="865"/>
      <c r="AD59" s="865"/>
      <c r="AE59" s="865"/>
    </row>
    <row r="60" spans="1:31" s="820" customFormat="1" x14ac:dyDescent="0.3">
      <c r="A60" s="859"/>
      <c r="B60" s="859"/>
      <c r="F60" s="867"/>
      <c r="G60" s="866"/>
      <c r="H60" s="865"/>
      <c r="I60" s="865"/>
      <c r="J60" s="865"/>
      <c r="K60" s="865"/>
      <c r="L60" s="865"/>
      <c r="M60" s="865"/>
      <c r="N60" s="865"/>
      <c r="O60" s="865"/>
      <c r="P60" s="865"/>
      <c r="Q60" s="865"/>
      <c r="R60" s="865"/>
      <c r="S60" s="865"/>
      <c r="T60" s="865"/>
      <c r="U60" s="865"/>
      <c r="V60" s="865"/>
      <c r="W60" s="866"/>
      <c r="X60" s="865"/>
      <c r="Y60" s="865"/>
      <c r="Z60" s="866"/>
      <c r="AA60" s="865"/>
      <c r="AB60" s="865"/>
      <c r="AC60" s="865"/>
      <c r="AD60" s="865"/>
      <c r="AE60" s="865"/>
    </row>
    <row r="61" spans="1:31" s="820" customFormat="1" x14ac:dyDescent="0.3">
      <c r="A61" s="859"/>
      <c r="B61" s="859"/>
      <c r="F61" s="867"/>
      <c r="G61" s="866"/>
      <c r="H61" s="865"/>
      <c r="I61" s="865"/>
      <c r="J61" s="865"/>
      <c r="K61" s="865"/>
      <c r="L61" s="865"/>
      <c r="M61" s="865"/>
      <c r="N61" s="865"/>
      <c r="O61" s="865"/>
      <c r="P61" s="865"/>
      <c r="Q61" s="865"/>
      <c r="R61" s="865"/>
      <c r="S61" s="865"/>
      <c r="T61" s="865"/>
      <c r="U61" s="865"/>
      <c r="V61" s="865"/>
      <c r="W61" s="866"/>
      <c r="X61" s="865"/>
      <c r="Y61" s="865"/>
      <c r="Z61" s="866"/>
      <c r="AA61" s="865"/>
      <c r="AB61" s="865"/>
      <c r="AC61" s="865"/>
      <c r="AD61" s="865"/>
      <c r="AE61" s="865"/>
    </row>
    <row r="62" spans="1:31" s="820" customFormat="1" x14ac:dyDescent="0.3">
      <c r="A62" s="859"/>
      <c r="B62" s="859"/>
      <c r="C62" s="867"/>
      <c r="D62" s="867"/>
      <c r="E62" s="867"/>
      <c r="F62" s="867"/>
      <c r="G62" s="866"/>
      <c r="H62" s="865"/>
      <c r="I62" s="865"/>
      <c r="J62" s="865"/>
      <c r="K62" s="865"/>
      <c r="L62" s="865"/>
      <c r="M62" s="865"/>
      <c r="N62" s="865"/>
      <c r="O62" s="865">
        <f>SUM(D48:AE48)</f>
        <v>14092.699999999999</v>
      </c>
      <c r="P62" s="865"/>
      <c r="Q62" s="865"/>
      <c r="R62" s="865"/>
      <c r="S62" s="865"/>
      <c r="T62" s="865"/>
      <c r="U62" s="865"/>
      <c r="V62" s="865"/>
      <c r="W62" s="866"/>
      <c r="X62" s="865"/>
      <c r="Y62" s="865"/>
      <c r="Z62" s="866"/>
      <c r="AA62" s="865"/>
      <c r="AB62" s="865"/>
      <c r="AC62" s="865"/>
      <c r="AD62" s="865"/>
      <c r="AE62" s="865"/>
    </row>
    <row r="63" spans="1:31" s="820" customFormat="1" x14ac:dyDescent="0.3">
      <c r="A63" s="859"/>
      <c r="B63" s="859"/>
      <c r="C63" s="867"/>
      <c r="D63" s="867"/>
      <c r="E63" s="867"/>
      <c r="F63" s="867"/>
      <c r="G63" s="866"/>
      <c r="H63" s="865"/>
      <c r="I63" s="865"/>
      <c r="J63" s="869"/>
      <c r="K63" s="865"/>
      <c r="L63" s="865"/>
      <c r="M63" s="865"/>
      <c r="N63" s="865"/>
      <c r="O63" s="865"/>
      <c r="P63" s="865"/>
      <c r="Q63" s="865"/>
      <c r="R63" s="865"/>
      <c r="S63" s="865"/>
      <c r="T63" s="865"/>
      <c r="U63" s="865"/>
      <c r="V63" s="865"/>
      <c r="W63" s="866"/>
      <c r="X63" s="865"/>
      <c r="Y63" s="865"/>
      <c r="Z63" s="866"/>
      <c r="AA63" s="865"/>
      <c r="AB63" s="865"/>
      <c r="AC63" s="865"/>
      <c r="AD63" s="865"/>
      <c r="AE63" s="865"/>
    </row>
    <row r="64" spans="1:31" s="820" customFormat="1" x14ac:dyDescent="0.3">
      <c r="A64" s="859"/>
      <c r="B64" s="859"/>
      <c r="C64" s="867"/>
      <c r="D64" s="867"/>
      <c r="E64" s="867"/>
      <c r="F64" s="867"/>
      <c r="G64" s="866"/>
      <c r="H64" s="865"/>
      <c r="I64" s="865"/>
      <c r="J64" s="865"/>
      <c r="K64" s="865"/>
      <c r="L64" s="865"/>
      <c r="M64" s="865"/>
      <c r="N64" s="865"/>
      <c r="O64" s="865"/>
      <c r="P64" s="865"/>
      <c r="Q64" s="865"/>
      <c r="R64" s="865"/>
      <c r="S64" s="865"/>
      <c r="T64" s="865"/>
      <c r="U64" s="865"/>
      <c r="V64" s="865"/>
      <c r="W64" s="866"/>
      <c r="X64" s="865"/>
      <c r="Y64" s="865"/>
      <c r="Z64" s="866"/>
      <c r="AA64" s="865"/>
      <c r="AB64" s="865"/>
      <c r="AC64" s="865"/>
      <c r="AD64" s="865"/>
      <c r="AE64" s="865"/>
    </row>
    <row r="65" spans="1:31" s="820" customFormat="1" x14ac:dyDescent="0.3">
      <c r="A65" s="859"/>
      <c r="B65" s="859"/>
      <c r="C65" s="867"/>
      <c r="D65" s="867"/>
      <c r="E65" s="867"/>
      <c r="F65" s="867"/>
      <c r="G65" s="866"/>
      <c r="H65" s="865"/>
      <c r="I65" s="865"/>
      <c r="J65" s="865"/>
      <c r="K65" s="865"/>
      <c r="L65" s="865"/>
      <c r="M65" s="865"/>
      <c r="N65" s="865"/>
      <c r="O65" s="865"/>
      <c r="P65" s="865"/>
      <c r="Q65" s="865"/>
      <c r="R65" s="865"/>
      <c r="S65" s="865"/>
      <c r="T65" s="865"/>
      <c r="U65" s="865"/>
      <c r="V65" s="865"/>
      <c r="W65" s="866"/>
      <c r="X65" s="865"/>
      <c r="Y65" s="865"/>
      <c r="Z65" s="866"/>
      <c r="AA65" s="865"/>
      <c r="AB65" s="865"/>
      <c r="AC65" s="865"/>
      <c r="AD65" s="865"/>
      <c r="AE65" s="865"/>
    </row>
    <row r="66" spans="1:31" s="820" customFormat="1" x14ac:dyDescent="0.3">
      <c r="A66" s="859"/>
      <c r="B66" s="859"/>
      <c r="C66" s="867"/>
      <c r="D66" s="867"/>
      <c r="E66" s="867"/>
      <c r="F66" s="867"/>
      <c r="G66" s="866"/>
      <c r="H66" s="865"/>
      <c r="I66" s="865"/>
      <c r="J66" s="865"/>
      <c r="K66" s="865"/>
      <c r="L66" s="865"/>
      <c r="M66" s="865"/>
      <c r="N66" s="865"/>
      <c r="O66" s="865"/>
      <c r="P66" s="865"/>
      <c r="Q66" s="865"/>
      <c r="R66" s="865"/>
      <c r="S66" s="865"/>
      <c r="T66" s="865"/>
      <c r="U66" s="865"/>
      <c r="V66" s="865"/>
      <c r="W66" s="866"/>
      <c r="X66" s="865"/>
      <c r="Y66" s="865"/>
      <c r="Z66" s="866"/>
      <c r="AA66" s="865"/>
      <c r="AB66" s="865"/>
      <c r="AC66" s="865"/>
      <c r="AD66" s="865"/>
      <c r="AE66" s="865"/>
    </row>
    <row r="67" spans="1:31" s="820" customFormat="1" x14ac:dyDescent="0.3">
      <c r="A67" s="859"/>
      <c r="B67" s="859"/>
      <c r="C67" s="867"/>
      <c r="D67" s="867"/>
      <c r="E67" s="867"/>
      <c r="F67" s="867"/>
      <c r="G67" s="866"/>
      <c r="H67" s="865"/>
      <c r="I67" s="865"/>
      <c r="J67" s="865"/>
      <c r="K67" s="865"/>
      <c r="L67" s="865"/>
      <c r="M67" s="865"/>
      <c r="N67" s="865"/>
      <c r="O67" s="865"/>
      <c r="P67" s="865"/>
      <c r="Q67" s="865"/>
      <c r="R67" s="865"/>
      <c r="S67" s="865"/>
      <c r="T67" s="865"/>
      <c r="U67" s="865"/>
      <c r="V67" s="865"/>
      <c r="W67" s="866"/>
      <c r="X67" s="865"/>
      <c r="Y67" s="865"/>
      <c r="Z67" s="866"/>
      <c r="AA67" s="865"/>
      <c r="AB67" s="865"/>
      <c r="AC67" s="865"/>
      <c r="AD67" s="865"/>
      <c r="AE67" s="865"/>
    </row>
    <row r="68" spans="1:31" s="820" customFormat="1" x14ac:dyDescent="0.3">
      <c r="A68" s="859"/>
      <c r="B68" s="859"/>
      <c r="C68" s="867"/>
      <c r="D68" s="867"/>
      <c r="E68" s="867"/>
      <c r="F68" s="867"/>
      <c r="G68" s="866"/>
      <c r="H68" s="865"/>
      <c r="I68" s="865"/>
      <c r="J68" s="865"/>
      <c r="K68" s="865"/>
      <c r="L68" s="865"/>
      <c r="M68" s="865"/>
      <c r="N68" s="865"/>
      <c r="O68" s="865"/>
      <c r="P68" s="865"/>
      <c r="Q68" s="865"/>
      <c r="R68" s="865"/>
      <c r="S68" s="865"/>
      <c r="T68" s="865"/>
      <c r="U68" s="865"/>
      <c r="V68" s="865"/>
      <c r="W68" s="866"/>
      <c r="X68" s="865"/>
      <c r="Y68" s="865"/>
      <c r="Z68" s="866"/>
      <c r="AA68" s="865"/>
      <c r="AB68" s="865"/>
      <c r="AC68" s="865"/>
      <c r="AD68" s="865"/>
      <c r="AE68" s="865"/>
    </row>
    <row r="69" spans="1:31" s="820" customFormat="1" x14ac:dyDescent="0.3">
      <c r="A69" s="859"/>
      <c r="B69" s="859"/>
      <c r="C69" s="867"/>
      <c r="D69" s="867"/>
      <c r="E69" s="867"/>
      <c r="F69" s="867"/>
      <c r="G69" s="866"/>
      <c r="H69" s="865"/>
      <c r="I69" s="865"/>
      <c r="J69" s="865"/>
      <c r="K69" s="865"/>
      <c r="L69" s="865"/>
      <c r="M69" s="865"/>
      <c r="N69" s="865"/>
      <c r="O69" s="865"/>
      <c r="P69" s="865"/>
      <c r="Q69" s="865"/>
      <c r="R69" s="865"/>
      <c r="S69" s="865"/>
      <c r="T69" s="865"/>
      <c r="U69" s="865"/>
      <c r="V69" s="865"/>
      <c r="W69" s="866"/>
      <c r="X69" s="865"/>
      <c r="Y69" s="865"/>
      <c r="Z69" s="866"/>
      <c r="AA69" s="865"/>
      <c r="AB69" s="865"/>
      <c r="AC69" s="865"/>
      <c r="AD69" s="865"/>
      <c r="AE69" s="865"/>
    </row>
    <row r="70" spans="1:31" s="820" customFormat="1" x14ac:dyDescent="0.3">
      <c r="A70" s="859"/>
      <c r="B70" s="859"/>
      <c r="C70" s="867"/>
      <c r="D70" s="867"/>
      <c r="E70" s="867"/>
      <c r="F70" s="867"/>
      <c r="G70" s="866"/>
      <c r="H70" s="865"/>
      <c r="I70" s="865"/>
      <c r="J70" s="865"/>
      <c r="K70" s="865"/>
      <c r="L70" s="865"/>
      <c r="M70" s="865"/>
      <c r="N70" s="865"/>
      <c r="O70" s="865"/>
      <c r="P70" s="865"/>
      <c r="Q70" s="865"/>
      <c r="R70" s="865"/>
      <c r="S70" s="865"/>
      <c r="T70" s="865"/>
      <c r="U70" s="865"/>
      <c r="V70" s="865"/>
      <c r="W70" s="866"/>
      <c r="X70" s="865"/>
      <c r="Y70" s="865"/>
      <c r="Z70" s="866"/>
      <c r="AA70" s="865"/>
      <c r="AB70" s="865"/>
      <c r="AC70" s="865"/>
      <c r="AD70" s="865"/>
      <c r="AE70" s="865"/>
    </row>
    <row r="71" spans="1:31" s="820" customFormat="1" x14ac:dyDescent="0.3">
      <c r="A71" s="859"/>
      <c r="B71" s="859"/>
      <c r="C71" s="867"/>
      <c r="D71" s="867"/>
      <c r="E71" s="867"/>
      <c r="F71" s="867"/>
      <c r="G71" s="866"/>
      <c r="H71" s="865"/>
      <c r="I71" s="865"/>
      <c r="J71" s="865"/>
      <c r="K71" s="865"/>
      <c r="L71" s="865"/>
      <c r="M71" s="865"/>
      <c r="N71" s="865"/>
      <c r="O71" s="865"/>
      <c r="P71" s="865"/>
      <c r="Q71" s="865"/>
      <c r="R71" s="865"/>
      <c r="S71" s="865"/>
      <c r="T71" s="865"/>
      <c r="U71" s="865"/>
      <c r="V71" s="865"/>
      <c r="W71" s="866"/>
      <c r="X71" s="865"/>
      <c r="Y71" s="865"/>
      <c r="Z71" s="866"/>
      <c r="AA71" s="865"/>
      <c r="AB71" s="865"/>
      <c r="AC71" s="865"/>
      <c r="AD71" s="865"/>
      <c r="AE71" s="865"/>
    </row>
    <row r="72" spans="1:31" s="820" customFormat="1" x14ac:dyDescent="0.3">
      <c r="A72" s="859"/>
      <c r="B72" s="859"/>
      <c r="C72" s="867"/>
      <c r="D72" s="867"/>
      <c r="E72" s="867"/>
      <c r="F72" s="867"/>
      <c r="G72" s="866"/>
      <c r="H72" s="865"/>
      <c r="I72" s="865"/>
      <c r="J72" s="865"/>
      <c r="K72" s="865"/>
      <c r="L72" s="865"/>
      <c r="M72" s="865"/>
      <c r="N72" s="865"/>
      <c r="O72" s="865"/>
      <c r="P72" s="865"/>
      <c r="Q72" s="865"/>
      <c r="R72" s="865"/>
      <c r="S72" s="865"/>
      <c r="T72" s="865"/>
      <c r="U72" s="865"/>
      <c r="V72" s="865"/>
      <c r="W72" s="866"/>
      <c r="X72" s="865"/>
      <c r="Y72" s="865"/>
      <c r="Z72" s="866"/>
      <c r="AA72" s="865"/>
      <c r="AB72" s="865"/>
      <c r="AC72" s="865"/>
      <c r="AD72" s="865"/>
      <c r="AE72" s="865"/>
    </row>
    <row r="73" spans="1:31" s="820" customFormat="1" x14ac:dyDescent="0.3">
      <c r="A73" s="859"/>
      <c r="B73" s="859"/>
      <c r="C73" s="867"/>
      <c r="D73" s="867"/>
      <c r="E73" s="867"/>
      <c r="F73" s="867"/>
      <c r="G73" s="866"/>
      <c r="H73" s="865"/>
      <c r="I73" s="865"/>
      <c r="J73" s="865"/>
      <c r="K73" s="865"/>
      <c r="L73" s="865"/>
      <c r="M73" s="865"/>
      <c r="N73" s="865"/>
      <c r="O73" s="865"/>
      <c r="P73" s="865"/>
      <c r="Q73" s="865"/>
      <c r="R73" s="865"/>
      <c r="S73" s="865"/>
      <c r="T73" s="865"/>
      <c r="U73" s="865"/>
      <c r="V73" s="865"/>
      <c r="W73" s="866"/>
      <c r="X73" s="865"/>
      <c r="Y73" s="865"/>
      <c r="Z73" s="866"/>
      <c r="AA73" s="865"/>
      <c r="AB73" s="865"/>
      <c r="AC73" s="865"/>
      <c r="AD73" s="865"/>
      <c r="AE73" s="865"/>
    </row>
    <row r="74" spans="1:31" s="820" customFormat="1" x14ac:dyDescent="0.3">
      <c r="A74" s="859"/>
      <c r="B74" s="859"/>
      <c r="C74" s="867"/>
      <c r="D74" s="867"/>
      <c r="E74" s="867"/>
      <c r="F74" s="867"/>
      <c r="G74" s="866"/>
      <c r="H74" s="865"/>
      <c r="I74" s="865"/>
      <c r="J74" s="865"/>
      <c r="K74" s="865"/>
      <c r="L74" s="865"/>
      <c r="M74" s="865"/>
      <c r="N74" s="865"/>
      <c r="O74" s="865"/>
      <c r="P74" s="865"/>
      <c r="Q74" s="865"/>
      <c r="R74" s="865"/>
      <c r="S74" s="865"/>
      <c r="T74" s="865"/>
      <c r="U74" s="865"/>
      <c r="V74" s="865"/>
      <c r="W74" s="866"/>
      <c r="X74" s="865"/>
      <c r="Y74" s="865"/>
      <c r="Z74" s="866"/>
      <c r="AA74" s="865"/>
      <c r="AB74" s="865"/>
      <c r="AC74" s="865"/>
      <c r="AD74" s="865"/>
      <c r="AE74" s="865"/>
    </row>
    <row r="75" spans="1:31" s="820" customFormat="1" x14ac:dyDescent="0.3">
      <c r="A75" s="859"/>
      <c r="B75" s="859"/>
      <c r="C75" s="867"/>
      <c r="D75" s="867"/>
      <c r="E75" s="867"/>
      <c r="F75" s="867"/>
      <c r="G75" s="866"/>
      <c r="H75" s="865"/>
      <c r="I75" s="865"/>
      <c r="J75" s="865"/>
      <c r="K75" s="865"/>
      <c r="L75" s="865"/>
      <c r="M75" s="865"/>
      <c r="N75" s="865"/>
      <c r="O75" s="865"/>
      <c r="P75" s="865"/>
      <c r="Q75" s="865"/>
      <c r="R75" s="865"/>
      <c r="S75" s="865"/>
      <c r="T75" s="865"/>
      <c r="U75" s="865"/>
      <c r="V75" s="865"/>
      <c r="W75" s="866"/>
      <c r="X75" s="865"/>
      <c r="Y75" s="865"/>
      <c r="Z75" s="866"/>
      <c r="AA75" s="865"/>
      <c r="AB75" s="865"/>
      <c r="AC75" s="865"/>
      <c r="AD75" s="865"/>
      <c r="AE75" s="865"/>
    </row>
    <row r="76" spans="1:31" s="820" customFormat="1" x14ac:dyDescent="0.3">
      <c r="A76" s="859"/>
      <c r="B76" s="859"/>
      <c r="C76" s="867"/>
      <c r="D76" s="867"/>
      <c r="E76" s="867"/>
      <c r="F76" s="867"/>
      <c r="G76" s="866"/>
      <c r="H76" s="865"/>
      <c r="I76" s="865"/>
      <c r="J76" s="865"/>
      <c r="K76" s="865"/>
      <c r="L76" s="865"/>
      <c r="M76" s="865"/>
      <c r="N76" s="865"/>
      <c r="O76" s="865"/>
      <c r="P76" s="865"/>
      <c r="Q76" s="865"/>
      <c r="R76" s="865"/>
      <c r="S76" s="865"/>
      <c r="T76" s="865"/>
      <c r="U76" s="865"/>
      <c r="V76" s="865"/>
      <c r="W76" s="866"/>
      <c r="X76" s="865"/>
      <c r="Y76" s="865"/>
      <c r="Z76" s="866"/>
      <c r="AA76" s="865"/>
      <c r="AB76" s="865"/>
      <c r="AC76" s="865"/>
      <c r="AD76" s="865"/>
      <c r="AE76" s="865"/>
    </row>
    <row r="77" spans="1:31" s="820" customFormat="1" x14ac:dyDescent="0.3">
      <c r="A77" s="859"/>
      <c r="B77" s="859"/>
      <c r="C77" s="867"/>
      <c r="D77" s="867"/>
      <c r="E77" s="867"/>
      <c r="F77" s="867"/>
      <c r="G77" s="866"/>
      <c r="H77" s="865"/>
      <c r="I77" s="865"/>
      <c r="J77" s="865"/>
      <c r="K77" s="865"/>
      <c r="L77" s="865"/>
      <c r="M77" s="865"/>
      <c r="N77" s="865"/>
      <c r="O77" s="865"/>
      <c r="P77" s="865"/>
      <c r="Q77" s="865"/>
      <c r="R77" s="865"/>
      <c r="S77" s="865"/>
      <c r="T77" s="865"/>
      <c r="U77" s="865"/>
      <c r="V77" s="865"/>
      <c r="W77" s="866"/>
      <c r="X77" s="865"/>
      <c r="Y77" s="865"/>
      <c r="Z77" s="866"/>
      <c r="AA77" s="865"/>
      <c r="AB77" s="865"/>
      <c r="AC77" s="865"/>
      <c r="AD77" s="865"/>
      <c r="AE77" s="865"/>
    </row>
    <row r="78" spans="1:31" s="820" customFormat="1" x14ac:dyDescent="0.3">
      <c r="A78" s="859"/>
      <c r="B78" s="859"/>
      <c r="C78" s="867"/>
      <c r="D78" s="867"/>
      <c r="E78" s="867"/>
      <c r="F78" s="867"/>
      <c r="G78" s="866"/>
      <c r="H78" s="865"/>
      <c r="I78" s="865"/>
      <c r="J78" s="865"/>
      <c r="K78" s="865"/>
      <c r="L78" s="865"/>
      <c r="M78" s="865"/>
      <c r="N78" s="865"/>
      <c r="O78" s="865"/>
      <c r="P78" s="865"/>
      <c r="Q78" s="865"/>
      <c r="R78" s="865"/>
      <c r="S78" s="865"/>
      <c r="T78" s="865"/>
      <c r="U78" s="865"/>
      <c r="V78" s="865"/>
      <c r="W78" s="866"/>
      <c r="X78" s="865"/>
      <c r="Y78" s="865"/>
      <c r="Z78" s="866"/>
      <c r="AA78" s="865"/>
      <c r="AB78" s="865"/>
      <c r="AC78" s="865"/>
      <c r="AD78" s="865"/>
      <c r="AE78" s="865"/>
    </row>
    <row r="79" spans="1:31" s="820" customFormat="1" x14ac:dyDescent="0.3">
      <c r="A79" s="859"/>
      <c r="B79" s="859"/>
      <c r="C79" s="867"/>
      <c r="D79" s="867"/>
      <c r="E79" s="867"/>
      <c r="F79" s="867"/>
      <c r="G79" s="866"/>
      <c r="H79" s="865"/>
      <c r="I79" s="865"/>
      <c r="J79" s="865"/>
      <c r="K79" s="865"/>
      <c r="L79" s="865"/>
      <c r="M79" s="865"/>
      <c r="N79" s="865"/>
      <c r="O79" s="865"/>
      <c r="P79" s="865"/>
      <c r="Q79" s="865"/>
      <c r="R79" s="865"/>
      <c r="S79" s="865"/>
      <c r="T79" s="865"/>
      <c r="U79" s="865"/>
      <c r="V79" s="865"/>
      <c r="W79" s="866"/>
      <c r="X79" s="865"/>
      <c r="Y79" s="865"/>
      <c r="Z79" s="866"/>
      <c r="AA79" s="865"/>
      <c r="AB79" s="865"/>
      <c r="AC79" s="865"/>
      <c r="AD79" s="865"/>
      <c r="AE79" s="865"/>
    </row>
    <row r="80" spans="1:31" s="820" customFormat="1" x14ac:dyDescent="0.3">
      <c r="A80" s="859"/>
      <c r="B80" s="859"/>
      <c r="C80" s="867"/>
      <c r="D80" s="867"/>
      <c r="E80" s="867"/>
      <c r="F80" s="867"/>
      <c r="G80" s="866"/>
      <c r="H80" s="865"/>
      <c r="I80" s="865"/>
      <c r="J80" s="865"/>
      <c r="K80" s="865"/>
      <c r="L80" s="865"/>
      <c r="M80" s="865"/>
      <c r="N80" s="865"/>
      <c r="O80" s="865"/>
      <c r="P80" s="865"/>
      <c r="Q80" s="865"/>
      <c r="R80" s="865"/>
      <c r="S80" s="865"/>
      <c r="T80" s="865"/>
      <c r="U80" s="865"/>
      <c r="V80" s="865"/>
      <c r="W80" s="866"/>
      <c r="X80" s="865"/>
      <c r="Y80" s="865"/>
      <c r="Z80" s="866"/>
      <c r="AA80" s="865"/>
      <c r="AB80" s="865"/>
      <c r="AC80" s="865"/>
      <c r="AD80" s="865"/>
      <c r="AE80" s="865"/>
    </row>
    <row r="81" spans="1:31" s="820" customFormat="1" x14ac:dyDescent="0.3">
      <c r="A81" s="859"/>
      <c r="B81" s="859"/>
      <c r="C81" s="867"/>
      <c r="D81" s="867"/>
      <c r="E81" s="867"/>
      <c r="F81" s="867"/>
      <c r="G81" s="866"/>
      <c r="H81" s="865"/>
      <c r="I81" s="865"/>
      <c r="J81" s="865"/>
      <c r="K81" s="865"/>
      <c r="L81" s="865"/>
      <c r="M81" s="865"/>
      <c r="N81" s="865"/>
      <c r="O81" s="865"/>
      <c r="P81" s="865"/>
      <c r="Q81" s="865"/>
      <c r="R81" s="865"/>
      <c r="S81" s="865"/>
      <c r="T81" s="865"/>
      <c r="U81" s="865"/>
      <c r="V81" s="865"/>
      <c r="W81" s="866"/>
      <c r="X81" s="865"/>
      <c r="Y81" s="865"/>
      <c r="Z81" s="866"/>
      <c r="AA81" s="865"/>
      <c r="AB81" s="865"/>
      <c r="AC81" s="865"/>
      <c r="AD81" s="865"/>
      <c r="AE81" s="865"/>
    </row>
    <row r="82" spans="1:31" s="820" customFormat="1" x14ac:dyDescent="0.3">
      <c r="A82" s="859"/>
      <c r="B82" s="859"/>
      <c r="C82" s="867"/>
      <c r="D82" s="867"/>
      <c r="E82" s="867"/>
      <c r="F82" s="867"/>
      <c r="G82" s="866"/>
      <c r="H82" s="865"/>
      <c r="I82" s="865"/>
      <c r="J82" s="865"/>
      <c r="K82" s="865"/>
      <c r="L82" s="865"/>
      <c r="M82" s="865"/>
      <c r="N82" s="865"/>
      <c r="O82" s="865"/>
      <c r="P82" s="865"/>
      <c r="Q82" s="865"/>
      <c r="R82" s="865"/>
      <c r="S82" s="865"/>
      <c r="T82" s="865"/>
      <c r="U82" s="865"/>
      <c r="V82" s="865"/>
      <c r="W82" s="866"/>
      <c r="X82" s="865"/>
      <c r="Y82" s="865"/>
      <c r="Z82" s="866"/>
      <c r="AA82" s="865"/>
      <c r="AB82" s="865"/>
      <c r="AC82" s="865"/>
      <c r="AD82" s="865"/>
      <c r="AE82" s="865"/>
    </row>
    <row r="83" spans="1:31" s="820" customFormat="1" x14ac:dyDescent="0.3">
      <c r="A83" s="859"/>
      <c r="B83" s="859"/>
      <c r="C83" s="867"/>
      <c r="D83" s="867"/>
      <c r="E83" s="867"/>
      <c r="F83" s="867"/>
      <c r="G83" s="866"/>
      <c r="H83" s="865"/>
      <c r="I83" s="865"/>
      <c r="J83" s="865"/>
      <c r="K83" s="865"/>
      <c r="L83" s="865"/>
      <c r="M83" s="865"/>
      <c r="N83" s="865"/>
      <c r="O83" s="865"/>
      <c r="P83" s="865"/>
      <c r="Q83" s="865"/>
      <c r="R83" s="865"/>
      <c r="S83" s="865"/>
      <c r="T83" s="865"/>
      <c r="U83" s="865"/>
      <c r="V83" s="865"/>
      <c r="W83" s="866"/>
      <c r="X83" s="865"/>
      <c r="Y83" s="865"/>
      <c r="Z83" s="866"/>
      <c r="AA83" s="865"/>
      <c r="AB83" s="865"/>
      <c r="AC83" s="865"/>
      <c r="AD83" s="865"/>
      <c r="AE83" s="865"/>
    </row>
    <row r="84" spans="1:31" s="820" customFormat="1" x14ac:dyDescent="0.3">
      <c r="A84" s="859"/>
      <c r="B84" s="859"/>
      <c r="C84" s="867"/>
      <c r="D84" s="867"/>
      <c r="E84" s="867"/>
      <c r="F84" s="867"/>
      <c r="G84" s="866"/>
      <c r="H84" s="865"/>
      <c r="I84" s="865"/>
      <c r="J84" s="865"/>
      <c r="K84" s="865"/>
      <c r="L84" s="865"/>
      <c r="M84" s="865"/>
      <c r="N84" s="865"/>
      <c r="O84" s="865"/>
      <c r="P84" s="865"/>
      <c r="Q84" s="865"/>
      <c r="R84" s="865"/>
      <c r="S84" s="865"/>
      <c r="T84" s="865"/>
      <c r="U84" s="865"/>
      <c r="V84" s="865"/>
      <c r="W84" s="866"/>
      <c r="X84" s="865"/>
      <c r="Y84" s="865"/>
      <c r="Z84" s="866"/>
      <c r="AA84" s="865"/>
      <c r="AB84" s="865"/>
      <c r="AC84" s="865"/>
      <c r="AD84" s="865"/>
      <c r="AE84" s="865"/>
    </row>
    <row r="85" spans="1:31" s="820" customFormat="1" x14ac:dyDescent="0.3">
      <c r="A85" s="859"/>
      <c r="B85" s="859"/>
      <c r="C85" s="867"/>
      <c r="D85" s="867"/>
      <c r="E85" s="867"/>
      <c r="F85" s="867"/>
      <c r="G85" s="866"/>
      <c r="H85" s="865"/>
      <c r="I85" s="865"/>
      <c r="J85" s="865"/>
      <c r="K85" s="865"/>
      <c r="L85" s="865"/>
      <c r="M85" s="865"/>
      <c r="N85" s="865"/>
      <c r="O85" s="865"/>
      <c r="P85" s="865"/>
      <c r="Q85" s="865"/>
      <c r="R85" s="865"/>
      <c r="S85" s="865"/>
      <c r="T85" s="865"/>
      <c r="U85" s="865"/>
      <c r="V85" s="865"/>
      <c r="W85" s="866"/>
      <c r="X85" s="865"/>
      <c r="Y85" s="865"/>
      <c r="Z85" s="866"/>
      <c r="AA85" s="865"/>
      <c r="AB85" s="865"/>
      <c r="AC85" s="865"/>
      <c r="AD85" s="865"/>
      <c r="AE85" s="865"/>
    </row>
    <row r="86" spans="1:31" s="820" customFormat="1" x14ac:dyDescent="0.3">
      <c r="A86" s="859"/>
      <c r="B86" s="859"/>
      <c r="C86" s="867"/>
      <c r="D86" s="867"/>
      <c r="E86" s="867"/>
      <c r="F86" s="867"/>
      <c r="G86" s="866"/>
      <c r="H86" s="865"/>
      <c r="I86" s="865"/>
      <c r="J86" s="865"/>
      <c r="K86" s="865"/>
      <c r="L86" s="865"/>
      <c r="M86" s="865"/>
      <c r="N86" s="865"/>
      <c r="O86" s="865"/>
      <c r="P86" s="865"/>
      <c r="Q86" s="865"/>
      <c r="R86" s="865"/>
      <c r="S86" s="865"/>
      <c r="T86" s="865"/>
      <c r="U86" s="865"/>
      <c r="V86" s="865"/>
      <c r="W86" s="866"/>
      <c r="X86" s="865"/>
      <c r="Y86" s="865"/>
      <c r="Z86" s="866"/>
      <c r="AA86" s="865"/>
      <c r="AB86" s="865"/>
      <c r="AC86" s="865"/>
      <c r="AD86" s="865"/>
      <c r="AE86" s="865"/>
    </row>
    <row r="87" spans="1:31" s="820" customFormat="1" x14ac:dyDescent="0.3">
      <c r="A87" s="859"/>
      <c r="B87" s="859"/>
      <c r="C87" s="867"/>
      <c r="D87" s="867"/>
      <c r="E87" s="867"/>
      <c r="F87" s="867"/>
      <c r="G87" s="866"/>
      <c r="H87" s="865"/>
      <c r="I87" s="865"/>
      <c r="J87" s="865"/>
      <c r="K87" s="865"/>
      <c r="L87" s="865"/>
      <c r="M87" s="865"/>
      <c r="N87" s="865"/>
      <c r="O87" s="865"/>
      <c r="P87" s="865"/>
      <c r="Q87" s="865"/>
      <c r="R87" s="865"/>
      <c r="S87" s="865"/>
      <c r="T87" s="865"/>
      <c r="U87" s="865"/>
      <c r="V87" s="865"/>
      <c r="W87" s="866"/>
      <c r="X87" s="865"/>
      <c r="Y87" s="865"/>
      <c r="Z87" s="866"/>
      <c r="AA87" s="865"/>
      <c r="AB87" s="865"/>
      <c r="AC87" s="865"/>
      <c r="AD87" s="865"/>
      <c r="AE87" s="865"/>
    </row>
    <row r="88" spans="1:31" s="820" customFormat="1" x14ac:dyDescent="0.3">
      <c r="A88" s="859"/>
      <c r="B88" s="859"/>
      <c r="C88" s="867"/>
      <c r="D88" s="867"/>
      <c r="E88" s="867"/>
      <c r="F88" s="867"/>
      <c r="G88" s="866"/>
      <c r="H88" s="865"/>
      <c r="I88" s="865"/>
      <c r="J88" s="865"/>
      <c r="K88" s="865"/>
      <c r="L88" s="865"/>
      <c r="M88" s="865"/>
      <c r="N88" s="865"/>
      <c r="O88" s="865"/>
      <c r="P88" s="865"/>
      <c r="Q88" s="865"/>
      <c r="R88" s="865"/>
      <c r="S88" s="865"/>
      <c r="T88" s="865"/>
      <c r="U88" s="865"/>
      <c r="V88" s="865"/>
      <c r="W88" s="866"/>
      <c r="X88" s="865"/>
      <c r="Y88" s="865"/>
      <c r="Z88" s="866"/>
      <c r="AA88" s="865"/>
      <c r="AB88" s="865"/>
      <c r="AC88" s="865"/>
      <c r="AD88" s="865"/>
      <c r="AE88" s="865"/>
    </row>
    <row r="89" spans="1:31" s="820" customFormat="1" x14ac:dyDescent="0.3">
      <c r="A89" s="859"/>
      <c r="B89" s="859"/>
      <c r="C89" s="867"/>
      <c r="D89" s="867"/>
      <c r="E89" s="867"/>
      <c r="F89" s="867"/>
      <c r="G89" s="866"/>
      <c r="H89" s="865"/>
      <c r="I89" s="865"/>
      <c r="J89" s="865"/>
      <c r="K89" s="865"/>
      <c r="L89" s="865"/>
      <c r="M89" s="865"/>
      <c r="N89" s="865"/>
      <c r="O89" s="865"/>
      <c r="P89" s="865"/>
      <c r="Q89" s="865"/>
      <c r="R89" s="865"/>
      <c r="S89" s="865"/>
      <c r="T89" s="865"/>
      <c r="U89" s="865"/>
      <c r="V89" s="865"/>
      <c r="W89" s="866"/>
      <c r="X89" s="865"/>
      <c r="Y89" s="865"/>
      <c r="Z89" s="866"/>
      <c r="AA89" s="865"/>
      <c r="AB89" s="865"/>
      <c r="AC89" s="865"/>
      <c r="AD89" s="865"/>
      <c r="AE89" s="865"/>
    </row>
    <row r="90" spans="1:31" s="820" customFormat="1" x14ac:dyDescent="0.3">
      <c r="A90" s="859"/>
      <c r="B90" s="859"/>
      <c r="C90" s="867"/>
      <c r="D90" s="867"/>
      <c r="E90" s="867"/>
      <c r="F90" s="867"/>
      <c r="G90" s="866"/>
      <c r="H90" s="865"/>
      <c r="I90" s="865"/>
      <c r="J90" s="865"/>
      <c r="K90" s="865"/>
      <c r="L90" s="865"/>
      <c r="M90" s="865"/>
      <c r="N90" s="865"/>
      <c r="O90" s="865"/>
      <c r="P90" s="865"/>
      <c r="Q90" s="865"/>
      <c r="R90" s="865"/>
      <c r="S90" s="865"/>
      <c r="T90" s="865"/>
      <c r="U90" s="865"/>
      <c r="V90" s="865"/>
      <c r="W90" s="866"/>
      <c r="X90" s="865"/>
      <c r="Y90" s="865"/>
      <c r="Z90" s="866"/>
      <c r="AA90" s="865"/>
      <c r="AB90" s="865"/>
      <c r="AC90" s="865"/>
      <c r="AD90" s="865"/>
      <c r="AE90" s="865"/>
    </row>
    <row r="91" spans="1:31" s="820" customFormat="1" x14ac:dyDescent="0.3">
      <c r="A91" s="859"/>
      <c r="B91" s="859"/>
      <c r="C91" s="867"/>
      <c r="D91" s="867"/>
      <c r="E91" s="867"/>
      <c r="F91" s="867"/>
      <c r="G91" s="866"/>
      <c r="H91" s="865"/>
      <c r="I91" s="865"/>
      <c r="J91" s="865"/>
      <c r="K91" s="865"/>
      <c r="L91" s="865"/>
      <c r="M91" s="865"/>
      <c r="N91" s="865"/>
      <c r="O91" s="865"/>
      <c r="P91" s="865"/>
      <c r="Q91" s="865"/>
      <c r="R91" s="865"/>
      <c r="S91" s="865"/>
      <c r="T91" s="865"/>
      <c r="U91" s="865"/>
      <c r="V91" s="865"/>
      <c r="W91" s="866"/>
      <c r="X91" s="865"/>
      <c r="Y91" s="865"/>
      <c r="Z91" s="866"/>
      <c r="AA91" s="865"/>
      <c r="AB91" s="865"/>
      <c r="AC91" s="865"/>
      <c r="AD91" s="865"/>
      <c r="AE91" s="865"/>
    </row>
    <row r="92" spans="1:31" s="820" customFormat="1" x14ac:dyDescent="0.3">
      <c r="A92" s="859"/>
      <c r="B92" s="859"/>
      <c r="C92" s="867"/>
      <c r="D92" s="867"/>
      <c r="E92" s="867"/>
      <c r="F92" s="867"/>
      <c r="G92" s="866"/>
      <c r="H92" s="865"/>
      <c r="I92" s="865"/>
      <c r="J92" s="865"/>
      <c r="K92" s="865"/>
      <c r="L92" s="865"/>
      <c r="M92" s="865"/>
      <c r="N92" s="865"/>
      <c r="O92" s="865"/>
      <c r="P92" s="865"/>
      <c r="Q92" s="865"/>
      <c r="R92" s="865"/>
      <c r="S92" s="865"/>
      <c r="T92" s="865"/>
      <c r="U92" s="865"/>
      <c r="V92" s="865"/>
      <c r="W92" s="866"/>
      <c r="X92" s="865"/>
      <c r="Y92" s="865"/>
      <c r="Z92" s="866"/>
      <c r="AA92" s="865"/>
      <c r="AB92" s="865"/>
      <c r="AC92" s="865"/>
      <c r="AD92" s="865"/>
      <c r="AE92" s="865"/>
    </row>
    <row r="93" spans="1:31" s="820" customFormat="1" x14ac:dyDescent="0.3">
      <c r="A93" s="859"/>
      <c r="B93" s="859"/>
      <c r="C93" s="867"/>
      <c r="D93" s="867"/>
      <c r="E93" s="867"/>
      <c r="F93" s="867"/>
      <c r="G93" s="866"/>
      <c r="H93" s="865"/>
      <c r="I93" s="865"/>
      <c r="J93" s="865"/>
      <c r="K93" s="865"/>
      <c r="L93" s="865"/>
      <c r="M93" s="865"/>
      <c r="N93" s="865"/>
      <c r="O93" s="865"/>
      <c r="P93" s="865"/>
      <c r="Q93" s="865"/>
      <c r="R93" s="865"/>
      <c r="S93" s="865"/>
      <c r="T93" s="865"/>
      <c r="U93" s="865"/>
      <c r="V93" s="865"/>
      <c r="W93" s="866"/>
      <c r="X93" s="865"/>
      <c r="Y93" s="865"/>
      <c r="Z93" s="866"/>
      <c r="AA93" s="865"/>
      <c r="AB93" s="865"/>
      <c r="AC93" s="865"/>
      <c r="AD93" s="865"/>
      <c r="AE93" s="865"/>
    </row>
    <row r="94" spans="1:31" s="820" customFormat="1" x14ac:dyDescent="0.3">
      <c r="A94" s="859"/>
      <c r="B94" s="859"/>
      <c r="C94" s="867"/>
      <c r="D94" s="867"/>
      <c r="E94" s="867"/>
      <c r="F94" s="867"/>
      <c r="G94" s="866"/>
      <c r="H94" s="865"/>
      <c r="I94" s="865"/>
      <c r="J94" s="865"/>
      <c r="K94" s="865"/>
      <c r="L94" s="865"/>
      <c r="M94" s="865"/>
      <c r="N94" s="865"/>
      <c r="O94" s="865"/>
      <c r="P94" s="865"/>
      <c r="Q94" s="865"/>
      <c r="R94" s="865"/>
      <c r="S94" s="865"/>
      <c r="T94" s="865"/>
      <c r="U94" s="865"/>
      <c r="V94" s="865"/>
      <c r="W94" s="866"/>
      <c r="X94" s="865"/>
      <c r="Y94" s="865"/>
      <c r="Z94" s="866"/>
      <c r="AA94" s="865"/>
      <c r="AB94" s="865"/>
      <c r="AC94" s="865"/>
      <c r="AD94" s="865"/>
      <c r="AE94" s="865"/>
    </row>
    <row r="95" spans="1:31" s="820" customFormat="1" x14ac:dyDescent="0.3">
      <c r="A95" s="859"/>
      <c r="B95" s="859"/>
      <c r="C95" s="867"/>
      <c r="D95" s="867"/>
      <c r="E95" s="867"/>
      <c r="F95" s="867"/>
      <c r="G95" s="866"/>
      <c r="H95" s="865"/>
      <c r="I95" s="865"/>
      <c r="J95" s="865"/>
      <c r="K95" s="865"/>
      <c r="L95" s="865"/>
      <c r="M95" s="865"/>
      <c r="N95" s="865"/>
      <c r="O95" s="865"/>
      <c r="P95" s="865"/>
      <c r="Q95" s="865"/>
      <c r="R95" s="865"/>
      <c r="S95" s="865"/>
      <c r="T95" s="865"/>
      <c r="U95" s="865"/>
      <c r="V95" s="865"/>
      <c r="W95" s="866"/>
      <c r="X95" s="865"/>
      <c r="Y95" s="865"/>
      <c r="Z95" s="866"/>
      <c r="AA95" s="865"/>
      <c r="AB95" s="865"/>
      <c r="AC95" s="865"/>
      <c r="AD95" s="865"/>
      <c r="AE95" s="865"/>
    </row>
    <row r="96" spans="1:31" s="820" customFormat="1" x14ac:dyDescent="0.3">
      <c r="A96" s="859"/>
      <c r="B96" s="859"/>
      <c r="C96" s="867"/>
      <c r="D96" s="867"/>
      <c r="E96" s="867"/>
      <c r="F96" s="867"/>
      <c r="G96" s="866"/>
      <c r="H96" s="865"/>
      <c r="I96" s="865"/>
      <c r="J96" s="865"/>
      <c r="K96" s="865"/>
      <c r="L96" s="865"/>
      <c r="M96" s="865"/>
      <c r="N96" s="865"/>
      <c r="O96" s="865"/>
      <c r="P96" s="865"/>
      <c r="Q96" s="865"/>
      <c r="R96" s="865"/>
      <c r="S96" s="865"/>
      <c r="T96" s="865"/>
      <c r="U96" s="865"/>
      <c r="V96" s="865"/>
      <c r="W96" s="866"/>
      <c r="X96" s="865"/>
      <c r="Y96" s="865"/>
      <c r="Z96" s="866"/>
      <c r="AA96" s="865"/>
      <c r="AB96" s="865"/>
      <c r="AC96" s="865"/>
      <c r="AD96" s="865"/>
      <c r="AE96" s="865"/>
    </row>
    <row r="97" spans="1:31" s="820" customFormat="1" x14ac:dyDescent="0.3">
      <c r="A97" s="859"/>
      <c r="B97" s="859"/>
      <c r="C97" s="867"/>
      <c r="D97" s="867"/>
      <c r="E97" s="867"/>
      <c r="F97" s="867"/>
      <c r="G97" s="866"/>
      <c r="H97" s="865"/>
      <c r="I97" s="865"/>
      <c r="J97" s="865"/>
      <c r="K97" s="865"/>
      <c r="L97" s="865"/>
      <c r="M97" s="865"/>
      <c r="N97" s="865"/>
      <c r="O97" s="865"/>
      <c r="P97" s="865"/>
      <c r="Q97" s="865"/>
      <c r="R97" s="865"/>
      <c r="S97" s="865"/>
      <c r="T97" s="865"/>
      <c r="U97" s="865"/>
      <c r="V97" s="865"/>
      <c r="W97" s="866"/>
      <c r="X97" s="865"/>
      <c r="Y97" s="865"/>
      <c r="Z97" s="866"/>
      <c r="AA97" s="865"/>
      <c r="AB97" s="865"/>
      <c r="AC97" s="865"/>
      <c r="AD97" s="865"/>
      <c r="AE97" s="865"/>
    </row>
    <row r="98" spans="1:31" s="820" customFormat="1" x14ac:dyDescent="0.3">
      <c r="A98" s="859"/>
      <c r="B98" s="859"/>
      <c r="C98" s="867"/>
      <c r="D98" s="867"/>
      <c r="E98" s="867"/>
      <c r="F98" s="867"/>
      <c r="G98" s="866"/>
      <c r="H98" s="865"/>
      <c r="I98" s="865"/>
      <c r="J98" s="865"/>
      <c r="K98" s="865"/>
      <c r="L98" s="865"/>
      <c r="M98" s="865"/>
      <c r="N98" s="865"/>
      <c r="O98" s="865"/>
      <c r="P98" s="865"/>
      <c r="Q98" s="865"/>
      <c r="R98" s="865"/>
      <c r="S98" s="865"/>
      <c r="T98" s="865"/>
      <c r="U98" s="865"/>
      <c r="V98" s="865"/>
      <c r="W98" s="866"/>
      <c r="X98" s="865"/>
      <c r="Y98" s="865"/>
      <c r="Z98" s="866"/>
      <c r="AA98" s="865"/>
      <c r="AB98" s="865"/>
      <c r="AC98" s="865"/>
      <c r="AD98" s="865"/>
      <c r="AE98" s="865"/>
    </row>
    <row r="99" spans="1:31" s="820" customFormat="1" x14ac:dyDescent="0.3">
      <c r="A99" s="859"/>
      <c r="B99" s="859"/>
      <c r="C99" s="867"/>
      <c r="D99" s="867"/>
      <c r="E99" s="867"/>
      <c r="F99" s="867"/>
      <c r="G99" s="866"/>
      <c r="H99" s="865"/>
      <c r="I99" s="865"/>
      <c r="J99" s="865"/>
      <c r="K99" s="865"/>
      <c r="L99" s="865"/>
      <c r="M99" s="865"/>
      <c r="N99" s="865"/>
      <c r="O99" s="865"/>
      <c r="P99" s="865"/>
      <c r="Q99" s="865"/>
      <c r="R99" s="865"/>
      <c r="S99" s="865"/>
      <c r="T99" s="865"/>
      <c r="U99" s="865"/>
      <c r="V99" s="865"/>
      <c r="W99" s="866"/>
      <c r="X99" s="865"/>
      <c r="Y99" s="865"/>
      <c r="Z99" s="866"/>
      <c r="AA99" s="865"/>
      <c r="AB99" s="865"/>
      <c r="AC99" s="865"/>
      <c r="AD99" s="865"/>
      <c r="AE99" s="865"/>
    </row>
    <row r="100" spans="1:31" s="820" customFormat="1" x14ac:dyDescent="0.3">
      <c r="A100" s="859"/>
      <c r="B100" s="859"/>
      <c r="C100" s="867"/>
      <c r="D100" s="867"/>
      <c r="E100" s="867"/>
      <c r="F100" s="867"/>
      <c r="G100" s="866"/>
      <c r="H100" s="865"/>
      <c r="I100" s="865"/>
      <c r="J100" s="865"/>
      <c r="K100" s="865"/>
      <c r="L100" s="865"/>
      <c r="M100" s="865"/>
      <c r="N100" s="865"/>
      <c r="O100" s="865"/>
      <c r="P100" s="865"/>
      <c r="Q100" s="865"/>
      <c r="R100" s="865"/>
      <c r="S100" s="865"/>
      <c r="T100" s="865"/>
      <c r="U100" s="865"/>
      <c r="V100" s="865"/>
      <c r="W100" s="866"/>
      <c r="X100" s="865"/>
      <c r="Y100" s="865"/>
      <c r="Z100" s="866"/>
      <c r="AA100" s="865"/>
      <c r="AB100" s="865"/>
      <c r="AC100" s="865"/>
      <c r="AD100" s="865"/>
      <c r="AE100" s="865"/>
    </row>
    <row r="101" spans="1:31" s="820" customFormat="1" x14ac:dyDescent="0.3">
      <c r="A101" s="859"/>
      <c r="B101" s="859"/>
      <c r="C101" s="867"/>
      <c r="D101" s="867"/>
      <c r="E101" s="867"/>
      <c r="F101" s="867"/>
      <c r="G101" s="866"/>
      <c r="H101" s="865"/>
      <c r="I101" s="865"/>
      <c r="J101" s="865"/>
      <c r="K101" s="865"/>
      <c r="L101" s="865"/>
      <c r="M101" s="865"/>
      <c r="N101" s="865"/>
      <c r="O101" s="865"/>
      <c r="P101" s="865"/>
      <c r="Q101" s="865"/>
      <c r="R101" s="865"/>
      <c r="S101" s="865"/>
      <c r="T101" s="865"/>
      <c r="U101" s="865"/>
      <c r="V101" s="865"/>
      <c r="W101" s="866"/>
      <c r="X101" s="865"/>
      <c r="Y101" s="865"/>
      <c r="Z101" s="866"/>
      <c r="AA101" s="865"/>
      <c r="AB101" s="865"/>
      <c r="AC101" s="865"/>
      <c r="AD101" s="865"/>
      <c r="AE101" s="865"/>
    </row>
    <row r="102" spans="1:31" s="820" customFormat="1" x14ac:dyDescent="0.3">
      <c r="A102" s="859"/>
      <c r="B102" s="859"/>
      <c r="C102" s="867"/>
      <c r="D102" s="867"/>
      <c r="E102" s="867"/>
      <c r="F102" s="867"/>
      <c r="G102" s="866"/>
      <c r="H102" s="865"/>
      <c r="I102" s="865"/>
      <c r="J102" s="865"/>
      <c r="K102" s="865"/>
      <c r="L102" s="865"/>
      <c r="M102" s="865"/>
      <c r="N102" s="865"/>
      <c r="O102" s="865"/>
      <c r="P102" s="865"/>
      <c r="Q102" s="865"/>
      <c r="R102" s="865"/>
      <c r="S102" s="865"/>
      <c r="T102" s="865"/>
      <c r="U102" s="865"/>
      <c r="V102" s="865"/>
      <c r="W102" s="866"/>
      <c r="X102" s="865"/>
      <c r="Y102" s="865"/>
      <c r="Z102" s="866"/>
      <c r="AA102" s="865"/>
      <c r="AB102" s="865"/>
      <c r="AC102" s="865"/>
      <c r="AD102" s="865"/>
      <c r="AE102" s="865"/>
    </row>
    <row r="103" spans="1:31" s="820" customFormat="1" x14ac:dyDescent="0.3">
      <c r="A103" s="859"/>
      <c r="B103" s="859"/>
      <c r="C103" s="867"/>
      <c r="D103" s="867"/>
      <c r="E103" s="867"/>
      <c r="F103" s="867"/>
      <c r="G103" s="866"/>
      <c r="H103" s="865"/>
      <c r="I103" s="865"/>
      <c r="J103" s="865"/>
      <c r="K103" s="865"/>
      <c r="L103" s="865"/>
      <c r="M103" s="865"/>
      <c r="N103" s="865"/>
      <c r="O103" s="865"/>
      <c r="P103" s="865"/>
      <c r="Q103" s="865"/>
      <c r="R103" s="865"/>
      <c r="S103" s="865"/>
      <c r="T103" s="865"/>
      <c r="U103" s="865"/>
      <c r="V103" s="865"/>
      <c r="W103" s="866"/>
      <c r="X103" s="865"/>
      <c r="Y103" s="865"/>
      <c r="Z103" s="866"/>
      <c r="AA103" s="865"/>
      <c r="AB103" s="865"/>
      <c r="AC103" s="865"/>
      <c r="AD103" s="865"/>
      <c r="AE103" s="865"/>
    </row>
    <row r="104" spans="1:31" s="820" customFormat="1" x14ac:dyDescent="0.3">
      <c r="A104" s="859"/>
      <c r="B104" s="859"/>
      <c r="C104" s="867"/>
      <c r="D104" s="867"/>
      <c r="E104" s="867"/>
      <c r="F104" s="867"/>
      <c r="G104" s="866"/>
      <c r="H104" s="865"/>
      <c r="I104" s="865"/>
      <c r="J104" s="865"/>
      <c r="K104" s="865"/>
      <c r="L104" s="865"/>
      <c r="M104" s="865"/>
      <c r="N104" s="865"/>
      <c r="O104" s="865"/>
      <c r="P104" s="865"/>
      <c r="Q104" s="865"/>
      <c r="R104" s="865"/>
      <c r="S104" s="865"/>
      <c r="T104" s="865"/>
      <c r="U104" s="865"/>
      <c r="V104" s="865"/>
      <c r="W104" s="866"/>
      <c r="X104" s="865"/>
      <c r="Y104" s="865"/>
      <c r="Z104" s="866"/>
      <c r="AA104" s="865"/>
      <c r="AB104" s="865"/>
      <c r="AC104" s="865"/>
      <c r="AD104" s="865"/>
      <c r="AE104" s="865"/>
    </row>
    <row r="105" spans="1:31" s="820" customFormat="1" x14ac:dyDescent="0.3">
      <c r="A105" s="859"/>
      <c r="B105" s="859"/>
      <c r="C105" s="867"/>
      <c r="D105" s="867"/>
      <c r="E105" s="867"/>
      <c r="F105" s="867"/>
      <c r="G105" s="866"/>
      <c r="H105" s="865"/>
      <c r="I105" s="865"/>
      <c r="J105" s="865"/>
      <c r="K105" s="865"/>
      <c r="L105" s="865"/>
      <c r="M105" s="865"/>
      <c r="N105" s="865"/>
      <c r="O105" s="865"/>
      <c r="P105" s="865"/>
      <c r="Q105" s="865"/>
      <c r="R105" s="865"/>
      <c r="S105" s="865"/>
      <c r="T105" s="865"/>
      <c r="U105" s="865"/>
      <c r="V105" s="865"/>
      <c r="W105" s="866"/>
      <c r="X105" s="865"/>
      <c r="Y105" s="865"/>
      <c r="Z105" s="866"/>
      <c r="AA105" s="865"/>
      <c r="AB105" s="865"/>
      <c r="AC105" s="865"/>
      <c r="AD105" s="865"/>
      <c r="AE105" s="865"/>
    </row>
    <row r="106" spans="1:31" s="820" customFormat="1" x14ac:dyDescent="0.3">
      <c r="A106" s="859"/>
      <c r="B106" s="859"/>
      <c r="C106" s="867"/>
      <c r="D106" s="867"/>
      <c r="E106" s="867"/>
      <c r="F106" s="867"/>
      <c r="G106" s="866"/>
      <c r="H106" s="865"/>
      <c r="I106" s="865"/>
      <c r="J106" s="865"/>
      <c r="K106" s="865"/>
      <c r="L106" s="865"/>
      <c r="M106" s="865"/>
      <c r="N106" s="865"/>
      <c r="O106" s="865"/>
      <c r="P106" s="865"/>
      <c r="Q106" s="865"/>
      <c r="R106" s="865"/>
      <c r="S106" s="865"/>
      <c r="T106" s="865"/>
      <c r="U106" s="865"/>
      <c r="V106" s="865"/>
      <c r="W106" s="866"/>
      <c r="X106" s="865"/>
      <c r="Y106" s="865"/>
      <c r="Z106" s="866"/>
      <c r="AA106" s="865"/>
      <c r="AB106" s="865"/>
      <c r="AC106" s="865"/>
      <c r="AD106" s="865"/>
      <c r="AE106" s="865"/>
    </row>
    <row r="107" spans="1:31" s="820" customFormat="1" x14ac:dyDescent="0.3">
      <c r="A107" s="859"/>
      <c r="B107" s="859"/>
      <c r="C107" s="867"/>
      <c r="D107" s="867"/>
      <c r="E107" s="867"/>
      <c r="F107" s="867"/>
      <c r="G107" s="866"/>
      <c r="H107" s="865"/>
      <c r="I107" s="865"/>
      <c r="J107" s="865"/>
      <c r="K107" s="865"/>
      <c r="L107" s="865"/>
      <c r="M107" s="865"/>
      <c r="N107" s="865"/>
      <c r="O107" s="865"/>
      <c r="P107" s="865"/>
      <c r="Q107" s="865"/>
      <c r="R107" s="865"/>
      <c r="S107" s="865"/>
      <c r="T107" s="865"/>
      <c r="U107" s="865"/>
      <c r="V107" s="865"/>
      <c r="W107" s="866"/>
      <c r="X107" s="865"/>
      <c r="Y107" s="865"/>
      <c r="Z107" s="866"/>
      <c r="AA107" s="865"/>
      <c r="AB107" s="865"/>
      <c r="AC107" s="865"/>
      <c r="AD107" s="865"/>
      <c r="AE107" s="865"/>
    </row>
    <row r="108" spans="1:31" s="820" customFormat="1" x14ac:dyDescent="0.3">
      <c r="A108" s="859"/>
      <c r="B108" s="859"/>
      <c r="C108" s="867"/>
      <c r="D108" s="867"/>
      <c r="E108" s="867"/>
      <c r="F108" s="867"/>
      <c r="G108" s="866"/>
      <c r="H108" s="865"/>
      <c r="I108" s="865"/>
      <c r="J108" s="865"/>
      <c r="K108" s="865"/>
      <c r="L108" s="865"/>
      <c r="M108" s="865"/>
      <c r="N108" s="865"/>
      <c r="O108" s="865"/>
      <c r="P108" s="865"/>
      <c r="Q108" s="865"/>
      <c r="R108" s="865"/>
      <c r="S108" s="865"/>
      <c r="T108" s="865"/>
      <c r="U108" s="865"/>
      <c r="V108" s="865"/>
      <c r="W108" s="866"/>
      <c r="X108" s="865"/>
      <c r="Y108" s="865"/>
      <c r="Z108" s="866"/>
      <c r="AA108" s="865"/>
      <c r="AB108" s="865"/>
      <c r="AC108" s="865"/>
      <c r="AD108" s="865"/>
      <c r="AE108" s="865"/>
    </row>
    <row r="109" spans="1:31" s="820" customFormat="1" x14ac:dyDescent="0.3">
      <c r="A109" s="859"/>
      <c r="B109" s="859"/>
      <c r="C109" s="867"/>
      <c r="D109" s="867"/>
      <c r="E109" s="867"/>
      <c r="F109" s="867"/>
      <c r="G109" s="866"/>
      <c r="H109" s="865"/>
      <c r="I109" s="865"/>
      <c r="J109" s="865"/>
      <c r="K109" s="865"/>
      <c r="L109" s="865"/>
      <c r="M109" s="865"/>
      <c r="N109" s="865"/>
      <c r="O109" s="865"/>
      <c r="P109" s="865"/>
      <c r="Q109" s="865"/>
      <c r="R109" s="865"/>
      <c r="S109" s="865"/>
      <c r="T109" s="865"/>
      <c r="U109" s="865"/>
      <c r="V109" s="865"/>
      <c r="W109" s="866"/>
      <c r="X109" s="865"/>
      <c r="Y109" s="865"/>
      <c r="Z109" s="866"/>
      <c r="AA109" s="865"/>
      <c r="AB109" s="865"/>
      <c r="AC109" s="865"/>
      <c r="AD109" s="865"/>
      <c r="AE109" s="865"/>
    </row>
    <row r="110" spans="1:31" s="820" customFormat="1" x14ac:dyDescent="0.3">
      <c r="A110" s="859"/>
      <c r="B110" s="859"/>
      <c r="C110" s="867"/>
      <c r="D110" s="867"/>
      <c r="E110" s="867"/>
      <c r="F110" s="867"/>
      <c r="G110" s="866"/>
      <c r="H110" s="865"/>
      <c r="I110" s="865"/>
      <c r="J110" s="865"/>
      <c r="K110" s="865"/>
      <c r="L110" s="865"/>
      <c r="M110" s="865"/>
      <c r="N110" s="865"/>
      <c r="O110" s="865"/>
      <c r="P110" s="865"/>
      <c r="Q110" s="865"/>
      <c r="R110" s="865"/>
      <c r="S110" s="865"/>
      <c r="T110" s="865"/>
      <c r="U110" s="865"/>
      <c r="V110" s="865"/>
      <c r="W110" s="866"/>
      <c r="X110" s="865"/>
      <c r="Y110" s="865"/>
      <c r="Z110" s="866"/>
      <c r="AA110" s="865"/>
      <c r="AB110" s="865"/>
      <c r="AC110" s="865"/>
      <c r="AD110" s="865"/>
      <c r="AE110" s="865"/>
    </row>
    <row r="111" spans="1:31" s="820" customFormat="1" x14ac:dyDescent="0.3">
      <c r="A111" s="859"/>
      <c r="B111" s="859"/>
      <c r="C111" s="867"/>
      <c r="D111" s="867"/>
      <c r="E111" s="867"/>
      <c r="F111" s="867"/>
      <c r="G111" s="866"/>
      <c r="H111" s="865"/>
      <c r="I111" s="865"/>
      <c r="J111" s="865"/>
      <c r="K111" s="865"/>
      <c r="L111" s="865"/>
      <c r="M111" s="865"/>
      <c r="N111" s="865"/>
      <c r="O111" s="865"/>
      <c r="P111" s="865"/>
      <c r="Q111" s="865"/>
      <c r="R111" s="865"/>
      <c r="S111" s="865"/>
      <c r="T111" s="865"/>
      <c r="U111" s="865"/>
      <c r="V111" s="865"/>
      <c r="W111" s="866"/>
      <c r="X111" s="865"/>
      <c r="Y111" s="865"/>
      <c r="Z111" s="866"/>
      <c r="AA111" s="865"/>
      <c r="AB111" s="865"/>
      <c r="AC111" s="865"/>
      <c r="AD111" s="865"/>
      <c r="AE111" s="865"/>
    </row>
    <row r="112" spans="1:31" s="820" customFormat="1" x14ac:dyDescent="0.3">
      <c r="A112" s="859"/>
      <c r="B112" s="859"/>
      <c r="C112" s="867"/>
      <c r="D112" s="867"/>
      <c r="E112" s="867"/>
      <c r="F112" s="867"/>
      <c r="G112" s="866"/>
      <c r="H112" s="865"/>
      <c r="I112" s="865"/>
      <c r="J112" s="865"/>
      <c r="K112" s="865"/>
      <c r="L112" s="865"/>
      <c r="M112" s="865"/>
      <c r="N112" s="865"/>
      <c r="O112" s="865"/>
      <c r="P112" s="865"/>
      <c r="Q112" s="865"/>
      <c r="R112" s="865"/>
      <c r="S112" s="865"/>
      <c r="T112" s="865"/>
      <c r="U112" s="865"/>
      <c r="V112" s="865"/>
      <c r="W112" s="866"/>
      <c r="X112" s="865"/>
      <c r="Y112" s="865"/>
      <c r="Z112" s="866"/>
      <c r="AA112" s="865"/>
      <c r="AB112" s="865"/>
      <c r="AC112" s="865"/>
      <c r="AD112" s="865"/>
      <c r="AE112" s="865"/>
    </row>
    <row r="113" spans="1:31" s="820" customFormat="1" x14ac:dyDescent="0.3">
      <c r="A113" s="859"/>
      <c r="B113" s="859"/>
      <c r="C113" s="867"/>
      <c r="D113" s="867"/>
      <c r="E113" s="867"/>
      <c r="F113" s="867"/>
      <c r="G113" s="866"/>
      <c r="H113" s="865"/>
      <c r="I113" s="865"/>
      <c r="J113" s="865"/>
      <c r="K113" s="865"/>
      <c r="L113" s="865"/>
      <c r="M113" s="865"/>
      <c r="N113" s="865"/>
      <c r="O113" s="865"/>
      <c r="P113" s="865"/>
      <c r="Q113" s="865"/>
      <c r="R113" s="865"/>
      <c r="S113" s="865"/>
      <c r="T113" s="865"/>
      <c r="U113" s="865"/>
      <c r="V113" s="865"/>
      <c r="W113" s="866"/>
      <c r="X113" s="865"/>
      <c r="Y113" s="865"/>
      <c r="Z113" s="866"/>
      <c r="AA113" s="865"/>
      <c r="AB113" s="865"/>
      <c r="AC113" s="865"/>
      <c r="AD113" s="865"/>
      <c r="AE113" s="865"/>
    </row>
    <row r="114" spans="1:31" s="820" customFormat="1" x14ac:dyDescent="0.3">
      <c r="A114" s="859"/>
      <c r="B114" s="859"/>
      <c r="C114" s="867"/>
      <c r="D114" s="867"/>
      <c r="E114" s="867"/>
      <c r="F114" s="867"/>
      <c r="G114" s="866"/>
      <c r="H114" s="865"/>
      <c r="I114" s="865"/>
      <c r="J114" s="865"/>
      <c r="K114" s="865"/>
      <c r="L114" s="865"/>
      <c r="M114" s="865"/>
      <c r="N114" s="865"/>
      <c r="O114" s="865"/>
      <c r="P114" s="865"/>
      <c r="Q114" s="865"/>
      <c r="R114" s="865"/>
      <c r="S114" s="865"/>
      <c r="T114" s="865"/>
      <c r="U114" s="865"/>
      <c r="V114" s="865"/>
      <c r="W114" s="866"/>
      <c r="X114" s="865"/>
      <c r="Y114" s="865"/>
      <c r="Z114" s="866"/>
      <c r="AA114" s="865"/>
      <c r="AB114" s="865"/>
      <c r="AC114" s="865"/>
      <c r="AD114" s="865"/>
      <c r="AE114" s="865"/>
    </row>
    <row r="115" spans="1:31" s="820" customFormat="1" x14ac:dyDescent="0.3">
      <c r="A115" s="859"/>
      <c r="B115" s="859"/>
      <c r="C115" s="867"/>
      <c r="D115" s="867"/>
      <c r="E115" s="867"/>
      <c r="F115" s="867"/>
      <c r="G115" s="866"/>
      <c r="H115" s="865"/>
      <c r="I115" s="865"/>
      <c r="J115" s="865"/>
      <c r="K115" s="865"/>
      <c r="L115" s="865"/>
      <c r="M115" s="865"/>
      <c r="N115" s="865"/>
      <c r="O115" s="865"/>
      <c r="P115" s="865"/>
      <c r="Q115" s="865"/>
      <c r="R115" s="865"/>
      <c r="S115" s="865"/>
      <c r="T115" s="865"/>
      <c r="U115" s="865"/>
      <c r="V115" s="865"/>
      <c r="W115" s="866"/>
      <c r="X115" s="865"/>
      <c r="Y115" s="865"/>
      <c r="Z115" s="866"/>
      <c r="AA115" s="865"/>
      <c r="AB115" s="865"/>
      <c r="AC115" s="865"/>
      <c r="AD115" s="865"/>
      <c r="AE115" s="865"/>
    </row>
    <row r="116" spans="1:31" s="820" customFormat="1" x14ac:dyDescent="0.3">
      <c r="A116" s="859"/>
      <c r="B116" s="859"/>
      <c r="C116" s="867"/>
      <c r="D116" s="867"/>
      <c r="E116" s="867"/>
      <c r="F116" s="867"/>
      <c r="G116" s="866"/>
      <c r="H116" s="865"/>
      <c r="I116" s="865"/>
      <c r="J116" s="865"/>
      <c r="K116" s="865"/>
      <c r="L116" s="865"/>
      <c r="M116" s="865"/>
      <c r="N116" s="865"/>
      <c r="O116" s="865"/>
      <c r="P116" s="865"/>
      <c r="Q116" s="865"/>
      <c r="R116" s="865"/>
      <c r="S116" s="865"/>
      <c r="T116" s="865"/>
      <c r="U116" s="865"/>
      <c r="V116" s="865"/>
      <c r="W116" s="866"/>
      <c r="X116" s="865"/>
      <c r="Y116" s="865"/>
      <c r="Z116" s="866"/>
      <c r="AA116" s="865"/>
      <c r="AB116" s="865"/>
      <c r="AC116" s="865"/>
      <c r="AD116" s="865"/>
      <c r="AE116" s="865"/>
    </row>
    <row r="117" spans="1:31" s="820" customFormat="1" x14ac:dyDescent="0.3">
      <c r="A117" s="859"/>
      <c r="B117" s="859"/>
      <c r="C117" s="867"/>
      <c r="D117" s="867"/>
      <c r="E117" s="867"/>
      <c r="F117" s="867"/>
      <c r="G117" s="866"/>
      <c r="H117" s="865"/>
      <c r="I117" s="865"/>
      <c r="J117" s="865"/>
      <c r="K117" s="865"/>
      <c r="L117" s="865"/>
      <c r="M117" s="865"/>
      <c r="N117" s="865"/>
      <c r="O117" s="865"/>
      <c r="P117" s="865"/>
      <c r="Q117" s="865"/>
      <c r="R117" s="865"/>
      <c r="S117" s="865"/>
      <c r="T117" s="865"/>
      <c r="U117" s="865"/>
      <c r="V117" s="865"/>
      <c r="W117" s="866"/>
      <c r="X117" s="865"/>
      <c r="Y117" s="865"/>
      <c r="Z117" s="866"/>
      <c r="AA117" s="865"/>
      <c r="AB117" s="865"/>
      <c r="AC117" s="865"/>
      <c r="AD117" s="865"/>
      <c r="AE117" s="865"/>
    </row>
    <row r="118" spans="1:31" s="820" customFormat="1" x14ac:dyDescent="0.3">
      <c r="A118" s="859"/>
      <c r="B118" s="859"/>
      <c r="C118" s="867"/>
      <c r="D118" s="867"/>
      <c r="E118" s="867"/>
      <c r="F118" s="867"/>
      <c r="G118" s="866"/>
      <c r="H118" s="865"/>
      <c r="I118" s="865"/>
      <c r="J118" s="865"/>
      <c r="K118" s="865"/>
      <c r="L118" s="865"/>
      <c r="M118" s="865"/>
      <c r="N118" s="865"/>
      <c r="O118" s="865"/>
      <c r="P118" s="865"/>
      <c r="Q118" s="865"/>
      <c r="R118" s="865"/>
      <c r="S118" s="865"/>
      <c r="T118" s="865"/>
      <c r="U118" s="865"/>
      <c r="V118" s="865"/>
      <c r="W118" s="866"/>
      <c r="X118" s="865"/>
      <c r="Y118" s="865"/>
      <c r="Z118" s="866"/>
      <c r="AA118" s="865"/>
      <c r="AB118" s="865"/>
      <c r="AC118" s="865"/>
      <c r="AD118" s="865"/>
      <c r="AE118" s="865"/>
    </row>
    <row r="119" spans="1:31" s="820" customFormat="1" x14ac:dyDescent="0.3">
      <c r="A119" s="859"/>
      <c r="B119" s="859"/>
      <c r="C119" s="867"/>
      <c r="D119" s="867"/>
      <c r="E119" s="867"/>
      <c r="F119" s="867"/>
      <c r="G119" s="866"/>
      <c r="H119" s="865"/>
      <c r="I119" s="865"/>
      <c r="J119" s="865"/>
      <c r="K119" s="865"/>
      <c r="L119" s="865"/>
      <c r="M119" s="865"/>
      <c r="N119" s="865"/>
      <c r="O119" s="865"/>
      <c r="P119" s="865"/>
      <c r="Q119" s="865"/>
      <c r="R119" s="865"/>
      <c r="S119" s="865"/>
      <c r="T119" s="865"/>
      <c r="U119" s="865"/>
      <c r="V119" s="865"/>
      <c r="W119" s="866"/>
      <c r="X119" s="865"/>
      <c r="Y119" s="865"/>
      <c r="Z119" s="866"/>
      <c r="AA119" s="865"/>
      <c r="AB119" s="865"/>
      <c r="AC119" s="865"/>
      <c r="AD119" s="865"/>
      <c r="AE119" s="865"/>
    </row>
    <row r="120" spans="1:31" s="820" customFormat="1" x14ac:dyDescent="0.3">
      <c r="A120" s="859"/>
      <c r="B120" s="859"/>
      <c r="C120" s="867"/>
      <c r="D120" s="867"/>
      <c r="E120" s="867"/>
      <c r="F120" s="867"/>
      <c r="G120" s="866"/>
      <c r="H120" s="865"/>
      <c r="I120" s="865"/>
      <c r="J120" s="865"/>
      <c r="K120" s="865"/>
      <c r="L120" s="865"/>
      <c r="M120" s="865"/>
      <c r="N120" s="865"/>
      <c r="O120" s="865"/>
      <c r="P120" s="865"/>
      <c r="Q120" s="865"/>
      <c r="R120" s="865"/>
      <c r="S120" s="865"/>
      <c r="T120" s="865"/>
      <c r="U120" s="865"/>
      <c r="V120" s="865"/>
      <c r="W120" s="866"/>
      <c r="X120" s="865"/>
      <c r="Y120" s="865"/>
      <c r="Z120" s="866"/>
      <c r="AA120" s="865"/>
      <c r="AB120" s="865"/>
      <c r="AC120" s="865"/>
      <c r="AD120" s="865"/>
      <c r="AE120" s="865"/>
    </row>
    <row r="121" spans="1:31" s="820" customFormat="1" x14ac:dyDescent="0.3">
      <c r="A121" s="859"/>
      <c r="B121" s="859"/>
      <c r="C121" s="867"/>
      <c r="D121" s="867"/>
      <c r="E121" s="867"/>
      <c r="F121" s="867"/>
      <c r="G121" s="866"/>
      <c r="H121" s="865"/>
      <c r="I121" s="865"/>
      <c r="J121" s="865"/>
      <c r="K121" s="865"/>
      <c r="L121" s="865"/>
      <c r="M121" s="865"/>
      <c r="N121" s="865"/>
      <c r="O121" s="865"/>
      <c r="P121" s="865"/>
      <c r="Q121" s="865"/>
      <c r="R121" s="865"/>
      <c r="S121" s="865"/>
      <c r="T121" s="865"/>
      <c r="U121" s="865"/>
      <c r="V121" s="865"/>
      <c r="W121" s="866"/>
      <c r="X121" s="865"/>
      <c r="Y121" s="865"/>
      <c r="Z121" s="866"/>
      <c r="AA121" s="865"/>
      <c r="AB121" s="865"/>
      <c r="AC121" s="865"/>
      <c r="AD121" s="865"/>
      <c r="AE121" s="865"/>
    </row>
    <row r="122" spans="1:31" s="820" customFormat="1" x14ac:dyDescent="0.3">
      <c r="A122" s="859"/>
      <c r="B122" s="859"/>
      <c r="C122" s="867"/>
      <c r="D122" s="867"/>
      <c r="E122" s="867"/>
      <c r="F122" s="867"/>
      <c r="G122" s="866"/>
      <c r="H122" s="865"/>
      <c r="I122" s="865"/>
      <c r="J122" s="865"/>
      <c r="K122" s="865"/>
      <c r="L122" s="865"/>
      <c r="M122" s="865"/>
      <c r="N122" s="865"/>
      <c r="O122" s="865"/>
      <c r="P122" s="865"/>
      <c r="Q122" s="865"/>
      <c r="R122" s="865"/>
      <c r="S122" s="865"/>
      <c r="T122" s="865"/>
      <c r="U122" s="865"/>
      <c r="V122" s="865"/>
      <c r="W122" s="866"/>
      <c r="X122" s="865"/>
      <c r="Y122" s="865"/>
      <c r="Z122" s="866"/>
      <c r="AA122" s="865"/>
      <c r="AB122" s="865"/>
      <c r="AC122" s="865"/>
      <c r="AD122" s="865"/>
      <c r="AE122" s="865"/>
    </row>
    <row r="123" spans="1:31" s="820" customFormat="1" x14ac:dyDescent="0.3">
      <c r="A123" s="859"/>
      <c r="B123" s="859"/>
      <c r="C123" s="867"/>
      <c r="D123" s="867"/>
      <c r="E123" s="867"/>
      <c r="F123" s="867"/>
      <c r="G123" s="866"/>
      <c r="H123" s="865"/>
      <c r="I123" s="865"/>
      <c r="J123" s="865"/>
      <c r="K123" s="865"/>
      <c r="L123" s="865"/>
      <c r="M123" s="865"/>
      <c r="N123" s="865"/>
      <c r="O123" s="865"/>
      <c r="P123" s="865"/>
      <c r="Q123" s="865"/>
      <c r="R123" s="865"/>
      <c r="S123" s="865"/>
      <c r="T123" s="865"/>
      <c r="U123" s="865"/>
      <c r="V123" s="865"/>
      <c r="W123" s="866"/>
      <c r="X123" s="865"/>
      <c r="Y123" s="865"/>
      <c r="Z123" s="866"/>
      <c r="AA123" s="865"/>
      <c r="AB123" s="865"/>
      <c r="AC123" s="865"/>
      <c r="AD123" s="865"/>
      <c r="AE123" s="865"/>
    </row>
    <row r="124" spans="1:31" s="820" customFormat="1" x14ac:dyDescent="0.3">
      <c r="A124" s="859"/>
      <c r="B124" s="859"/>
      <c r="C124" s="867"/>
      <c r="D124" s="867"/>
      <c r="E124" s="867"/>
      <c r="F124" s="867"/>
      <c r="G124" s="866"/>
      <c r="H124" s="865"/>
      <c r="I124" s="865"/>
      <c r="J124" s="865"/>
      <c r="K124" s="865"/>
      <c r="L124" s="865"/>
      <c r="M124" s="865"/>
      <c r="N124" s="865"/>
      <c r="O124" s="865"/>
      <c r="P124" s="865"/>
      <c r="Q124" s="865"/>
      <c r="R124" s="865"/>
      <c r="S124" s="865"/>
      <c r="T124" s="865"/>
      <c r="U124" s="865"/>
      <c r="V124" s="865"/>
      <c r="W124" s="866"/>
      <c r="X124" s="865"/>
      <c r="Y124" s="865"/>
      <c r="Z124" s="866"/>
      <c r="AA124" s="865"/>
      <c r="AB124" s="865"/>
      <c r="AC124" s="865"/>
      <c r="AD124" s="865"/>
      <c r="AE124" s="865"/>
    </row>
    <row r="125" spans="1:31" s="820" customFormat="1" x14ac:dyDescent="0.3">
      <c r="A125" s="859"/>
      <c r="B125" s="859"/>
      <c r="C125" s="867"/>
      <c r="D125" s="867"/>
      <c r="E125" s="867"/>
      <c r="F125" s="867"/>
      <c r="G125" s="866"/>
      <c r="H125" s="865"/>
      <c r="I125" s="865"/>
      <c r="J125" s="865"/>
      <c r="K125" s="865"/>
      <c r="L125" s="865"/>
      <c r="M125" s="865"/>
      <c r="N125" s="865"/>
      <c r="O125" s="865"/>
      <c r="P125" s="865"/>
      <c r="Q125" s="865"/>
      <c r="R125" s="865"/>
      <c r="S125" s="865"/>
      <c r="T125" s="865"/>
      <c r="U125" s="865"/>
      <c r="V125" s="865"/>
      <c r="W125" s="866"/>
      <c r="X125" s="865"/>
      <c r="Y125" s="865"/>
      <c r="Z125" s="866"/>
      <c r="AA125" s="865"/>
      <c r="AB125" s="865"/>
      <c r="AC125" s="865"/>
      <c r="AD125" s="865"/>
      <c r="AE125" s="865"/>
    </row>
    <row r="126" spans="1:31" s="820" customFormat="1" x14ac:dyDescent="0.3">
      <c r="A126" s="859"/>
      <c r="B126" s="859"/>
      <c r="C126" s="867"/>
      <c r="D126" s="867"/>
      <c r="E126" s="867"/>
      <c r="F126" s="867"/>
      <c r="G126" s="866"/>
      <c r="H126" s="865"/>
      <c r="I126" s="865"/>
      <c r="J126" s="865"/>
      <c r="K126" s="865"/>
      <c r="L126" s="865"/>
      <c r="M126" s="865"/>
      <c r="N126" s="865"/>
      <c r="O126" s="865"/>
      <c r="P126" s="865"/>
      <c r="Q126" s="865"/>
      <c r="R126" s="865"/>
      <c r="S126" s="865"/>
      <c r="T126" s="865"/>
      <c r="U126" s="865"/>
      <c r="V126" s="865"/>
      <c r="W126" s="866"/>
      <c r="X126" s="865"/>
      <c r="Y126" s="865"/>
      <c r="Z126" s="866"/>
      <c r="AA126" s="865"/>
      <c r="AB126" s="865"/>
      <c r="AC126" s="865"/>
      <c r="AD126" s="865"/>
      <c r="AE126" s="865"/>
    </row>
    <row r="127" spans="1:31" s="820" customFormat="1" x14ac:dyDescent="0.3">
      <c r="A127" s="859"/>
      <c r="B127" s="859"/>
      <c r="C127" s="867"/>
      <c r="D127" s="867"/>
      <c r="E127" s="867"/>
      <c r="F127" s="867"/>
      <c r="G127" s="866"/>
      <c r="H127" s="865"/>
      <c r="I127" s="865"/>
      <c r="J127" s="865"/>
      <c r="K127" s="865"/>
      <c r="L127" s="865"/>
      <c r="M127" s="865"/>
      <c r="N127" s="865"/>
      <c r="O127" s="865"/>
      <c r="P127" s="865"/>
      <c r="Q127" s="865"/>
      <c r="R127" s="865"/>
      <c r="S127" s="865"/>
      <c r="T127" s="865"/>
      <c r="U127" s="865"/>
      <c r="V127" s="865"/>
      <c r="W127" s="866"/>
      <c r="X127" s="865"/>
      <c r="Y127" s="865"/>
      <c r="Z127" s="866"/>
      <c r="AA127" s="865"/>
      <c r="AB127" s="865"/>
      <c r="AC127" s="865"/>
      <c r="AD127" s="865"/>
      <c r="AE127" s="865"/>
    </row>
    <row r="128" spans="1:31" s="820" customFormat="1" x14ac:dyDescent="0.3">
      <c r="A128" s="859"/>
      <c r="B128" s="859"/>
      <c r="C128" s="867"/>
      <c r="D128" s="867"/>
      <c r="E128" s="867"/>
      <c r="F128" s="867"/>
      <c r="G128" s="866"/>
      <c r="H128" s="865"/>
      <c r="I128" s="865"/>
      <c r="J128" s="865"/>
      <c r="K128" s="865"/>
      <c r="L128" s="865"/>
      <c r="M128" s="865"/>
      <c r="N128" s="865"/>
      <c r="O128" s="865"/>
      <c r="P128" s="865"/>
      <c r="Q128" s="865"/>
      <c r="R128" s="865"/>
      <c r="S128" s="865"/>
      <c r="T128" s="865"/>
      <c r="U128" s="865"/>
      <c r="V128" s="865"/>
      <c r="W128" s="866"/>
      <c r="X128" s="865"/>
      <c r="Y128" s="865"/>
      <c r="Z128" s="866"/>
      <c r="AA128" s="865"/>
      <c r="AB128" s="865"/>
      <c r="AC128" s="865"/>
      <c r="AD128" s="865"/>
      <c r="AE128" s="865"/>
    </row>
    <row r="129" spans="1:31" s="820" customFormat="1" x14ac:dyDescent="0.3">
      <c r="A129" s="859"/>
      <c r="B129" s="859"/>
      <c r="C129" s="867"/>
      <c r="D129" s="867"/>
      <c r="E129" s="867"/>
      <c r="F129" s="867"/>
      <c r="G129" s="866"/>
      <c r="H129" s="865"/>
      <c r="I129" s="865"/>
      <c r="J129" s="865"/>
      <c r="K129" s="865"/>
      <c r="L129" s="865"/>
      <c r="M129" s="865"/>
      <c r="N129" s="865"/>
      <c r="O129" s="865"/>
      <c r="P129" s="865"/>
      <c r="Q129" s="865"/>
      <c r="R129" s="865"/>
      <c r="S129" s="865"/>
      <c r="T129" s="865"/>
      <c r="U129" s="865"/>
      <c r="V129" s="865"/>
      <c r="W129" s="866"/>
      <c r="X129" s="865"/>
      <c r="Y129" s="865"/>
      <c r="Z129" s="866"/>
      <c r="AA129" s="865"/>
      <c r="AB129" s="865"/>
      <c r="AC129" s="865"/>
      <c r="AD129" s="865"/>
      <c r="AE129" s="865"/>
    </row>
    <row r="130" spans="1:31" s="820" customFormat="1" x14ac:dyDescent="0.3">
      <c r="A130" s="859"/>
      <c r="B130" s="859"/>
      <c r="C130" s="867"/>
      <c r="D130" s="867"/>
      <c r="E130" s="867"/>
      <c r="F130" s="867"/>
      <c r="G130" s="866"/>
      <c r="H130" s="865"/>
      <c r="I130" s="865"/>
      <c r="J130" s="865"/>
      <c r="K130" s="865"/>
      <c r="L130" s="865"/>
      <c r="M130" s="865"/>
      <c r="N130" s="865"/>
      <c r="O130" s="865"/>
      <c r="P130" s="865"/>
      <c r="Q130" s="865"/>
      <c r="R130" s="865"/>
      <c r="S130" s="865"/>
      <c r="T130" s="865"/>
      <c r="U130" s="865"/>
      <c r="V130" s="865"/>
      <c r="W130" s="866"/>
      <c r="X130" s="865"/>
      <c r="Y130" s="865"/>
      <c r="Z130" s="866"/>
      <c r="AA130" s="865"/>
      <c r="AB130" s="865"/>
      <c r="AC130" s="865"/>
      <c r="AD130" s="865"/>
      <c r="AE130" s="865"/>
    </row>
    <row r="131" spans="1:31" s="820" customFormat="1" x14ac:dyDescent="0.3">
      <c r="A131" s="859"/>
      <c r="B131" s="859"/>
      <c r="C131" s="867"/>
      <c r="D131" s="867"/>
      <c r="E131" s="867"/>
      <c r="F131" s="867"/>
      <c r="G131" s="866"/>
      <c r="H131" s="865"/>
      <c r="I131" s="865"/>
      <c r="J131" s="865"/>
      <c r="K131" s="865"/>
      <c r="L131" s="865"/>
      <c r="M131" s="865"/>
      <c r="N131" s="865"/>
      <c r="O131" s="865"/>
      <c r="P131" s="865"/>
      <c r="Q131" s="865"/>
      <c r="R131" s="865"/>
      <c r="S131" s="865"/>
      <c r="T131" s="865"/>
      <c r="U131" s="865"/>
      <c r="V131" s="865"/>
      <c r="W131" s="866"/>
      <c r="X131" s="865"/>
      <c r="Y131" s="865"/>
      <c r="Z131" s="866"/>
      <c r="AA131" s="865"/>
      <c r="AB131" s="865"/>
      <c r="AC131" s="865"/>
      <c r="AD131" s="865"/>
      <c r="AE131" s="865"/>
    </row>
    <row r="132" spans="1:31" s="820" customFormat="1" x14ac:dyDescent="0.3">
      <c r="A132" s="859"/>
      <c r="B132" s="859"/>
      <c r="C132" s="867"/>
      <c r="D132" s="867"/>
      <c r="E132" s="867"/>
      <c r="F132" s="867"/>
      <c r="G132" s="866"/>
      <c r="H132" s="865"/>
      <c r="I132" s="865"/>
      <c r="J132" s="865"/>
      <c r="K132" s="865"/>
      <c r="L132" s="865"/>
      <c r="M132" s="865"/>
      <c r="N132" s="865"/>
      <c r="O132" s="865"/>
      <c r="P132" s="865"/>
      <c r="Q132" s="865"/>
      <c r="R132" s="865"/>
      <c r="S132" s="865"/>
      <c r="T132" s="865"/>
      <c r="U132" s="865"/>
      <c r="V132" s="865"/>
      <c r="W132" s="866"/>
      <c r="X132" s="865"/>
      <c r="Y132" s="865"/>
      <c r="Z132" s="866"/>
      <c r="AA132" s="865"/>
      <c r="AB132" s="865"/>
      <c r="AC132" s="865"/>
      <c r="AD132" s="865"/>
      <c r="AE132" s="865"/>
    </row>
    <row r="133" spans="1:31" s="820" customFormat="1" x14ac:dyDescent="0.3">
      <c r="A133" s="859"/>
      <c r="B133" s="859"/>
      <c r="C133" s="867"/>
      <c r="D133" s="867"/>
      <c r="E133" s="867"/>
      <c r="F133" s="867"/>
      <c r="G133" s="866"/>
      <c r="H133" s="865"/>
      <c r="I133" s="865"/>
      <c r="J133" s="865"/>
      <c r="K133" s="865"/>
      <c r="L133" s="865"/>
      <c r="M133" s="865"/>
      <c r="N133" s="865"/>
      <c r="O133" s="865"/>
      <c r="P133" s="865"/>
      <c r="Q133" s="865"/>
      <c r="R133" s="865"/>
      <c r="S133" s="865"/>
      <c r="T133" s="865"/>
      <c r="U133" s="865"/>
      <c r="V133" s="865"/>
      <c r="W133" s="866"/>
      <c r="X133" s="865"/>
      <c r="Y133" s="865"/>
      <c r="Z133" s="866"/>
      <c r="AA133" s="865"/>
      <c r="AB133" s="865"/>
      <c r="AC133" s="865"/>
      <c r="AD133" s="865"/>
      <c r="AE133" s="865"/>
    </row>
    <row r="134" spans="1:31" s="820" customFormat="1" x14ac:dyDescent="0.3">
      <c r="A134" s="859"/>
      <c r="B134" s="859"/>
      <c r="C134" s="867"/>
      <c r="D134" s="867"/>
      <c r="E134" s="867"/>
      <c r="F134" s="867"/>
      <c r="G134" s="866"/>
      <c r="H134" s="865"/>
      <c r="I134" s="865"/>
      <c r="J134" s="865"/>
      <c r="K134" s="865"/>
      <c r="L134" s="865"/>
      <c r="M134" s="865"/>
      <c r="N134" s="865"/>
      <c r="O134" s="865"/>
      <c r="P134" s="865"/>
      <c r="Q134" s="865"/>
      <c r="R134" s="865"/>
      <c r="S134" s="865"/>
      <c r="T134" s="865"/>
      <c r="U134" s="865"/>
      <c r="V134" s="865"/>
      <c r="W134" s="866"/>
      <c r="X134" s="865"/>
      <c r="Y134" s="865"/>
      <c r="Z134" s="866"/>
      <c r="AA134" s="865"/>
      <c r="AB134" s="865"/>
      <c r="AC134" s="865"/>
      <c r="AD134" s="865"/>
      <c r="AE134" s="865"/>
    </row>
    <row r="135" spans="1:31" s="820" customFormat="1" x14ac:dyDescent="0.3">
      <c r="A135" s="859"/>
      <c r="B135" s="859"/>
      <c r="C135" s="867"/>
      <c r="D135" s="867"/>
      <c r="E135" s="867"/>
      <c r="F135" s="867"/>
      <c r="G135" s="866"/>
      <c r="H135" s="865"/>
      <c r="I135" s="865"/>
      <c r="J135" s="865"/>
      <c r="K135" s="865"/>
      <c r="L135" s="865"/>
      <c r="M135" s="865"/>
      <c r="N135" s="865"/>
      <c r="O135" s="865"/>
      <c r="P135" s="865"/>
      <c r="Q135" s="865"/>
      <c r="R135" s="865"/>
      <c r="S135" s="865"/>
      <c r="T135" s="865"/>
      <c r="U135" s="865"/>
      <c r="V135" s="865"/>
      <c r="W135" s="866"/>
      <c r="X135" s="865"/>
      <c r="Y135" s="865"/>
      <c r="Z135" s="866"/>
      <c r="AA135" s="865"/>
      <c r="AB135" s="865"/>
      <c r="AC135" s="865"/>
      <c r="AD135" s="865"/>
      <c r="AE135" s="865"/>
    </row>
    <row r="136" spans="1:31" s="820" customFormat="1" x14ac:dyDescent="0.3">
      <c r="A136" s="859"/>
      <c r="B136" s="859"/>
      <c r="C136" s="867"/>
      <c r="D136" s="867"/>
      <c r="E136" s="867"/>
      <c r="F136" s="867"/>
      <c r="G136" s="866"/>
      <c r="H136" s="865"/>
      <c r="I136" s="865"/>
      <c r="J136" s="865"/>
      <c r="K136" s="865"/>
      <c r="L136" s="865"/>
      <c r="M136" s="865"/>
      <c r="N136" s="865"/>
      <c r="O136" s="865"/>
      <c r="P136" s="865"/>
      <c r="Q136" s="865"/>
      <c r="R136" s="865"/>
      <c r="S136" s="865"/>
      <c r="T136" s="865"/>
      <c r="U136" s="865"/>
      <c r="V136" s="865"/>
      <c r="W136" s="866"/>
      <c r="X136" s="865"/>
      <c r="Y136" s="865"/>
      <c r="Z136" s="866"/>
      <c r="AA136" s="865"/>
      <c r="AB136" s="865"/>
      <c r="AC136" s="865"/>
      <c r="AD136" s="865"/>
      <c r="AE136" s="865"/>
    </row>
    <row r="137" spans="1:31" s="820" customFormat="1" x14ac:dyDescent="0.3">
      <c r="A137" s="859"/>
      <c r="B137" s="859"/>
      <c r="C137" s="867"/>
      <c r="D137" s="867"/>
      <c r="E137" s="867"/>
      <c r="F137" s="867"/>
      <c r="G137" s="866"/>
      <c r="H137" s="865"/>
      <c r="I137" s="865"/>
      <c r="J137" s="865"/>
      <c r="K137" s="865"/>
      <c r="L137" s="865"/>
      <c r="M137" s="865"/>
      <c r="N137" s="865"/>
      <c r="O137" s="865"/>
      <c r="P137" s="865"/>
      <c r="Q137" s="865"/>
      <c r="R137" s="865"/>
      <c r="S137" s="865"/>
      <c r="T137" s="865"/>
      <c r="U137" s="865"/>
      <c r="V137" s="865"/>
      <c r="W137" s="866"/>
      <c r="X137" s="865"/>
      <c r="Y137" s="865"/>
      <c r="Z137" s="866"/>
      <c r="AA137" s="865"/>
      <c r="AB137" s="865"/>
      <c r="AC137" s="865"/>
      <c r="AD137" s="865"/>
      <c r="AE137" s="865"/>
    </row>
    <row r="138" spans="1:31" s="820" customFormat="1" x14ac:dyDescent="0.3">
      <c r="A138" s="859"/>
      <c r="B138" s="859"/>
      <c r="C138" s="867"/>
      <c r="D138" s="867"/>
      <c r="E138" s="867"/>
      <c r="F138" s="867"/>
      <c r="G138" s="866"/>
      <c r="H138" s="865"/>
      <c r="I138" s="865"/>
      <c r="J138" s="865"/>
      <c r="K138" s="865"/>
      <c r="L138" s="865"/>
      <c r="M138" s="865"/>
      <c r="N138" s="865"/>
      <c r="O138" s="865"/>
      <c r="P138" s="865"/>
      <c r="Q138" s="865"/>
      <c r="R138" s="865"/>
      <c r="S138" s="865"/>
      <c r="T138" s="865"/>
      <c r="U138" s="865"/>
      <c r="V138" s="865"/>
      <c r="W138" s="866"/>
      <c r="X138" s="865"/>
      <c r="Y138" s="865"/>
      <c r="Z138" s="866"/>
      <c r="AA138" s="865"/>
      <c r="AB138" s="865"/>
      <c r="AC138" s="865"/>
      <c r="AD138" s="865"/>
      <c r="AE138" s="865"/>
    </row>
    <row r="139" spans="1:31" s="820" customFormat="1" x14ac:dyDescent="0.3">
      <c r="A139" s="859"/>
      <c r="B139" s="859"/>
      <c r="C139" s="867"/>
      <c r="D139" s="867"/>
      <c r="E139" s="867"/>
      <c r="F139" s="867"/>
      <c r="G139" s="866"/>
      <c r="H139" s="865"/>
      <c r="I139" s="865"/>
      <c r="J139" s="865"/>
      <c r="K139" s="865"/>
      <c r="L139" s="865"/>
      <c r="M139" s="865"/>
      <c r="N139" s="865"/>
      <c r="O139" s="865"/>
      <c r="P139" s="865"/>
      <c r="Q139" s="865"/>
      <c r="R139" s="865"/>
      <c r="S139" s="865"/>
      <c r="T139" s="865"/>
      <c r="U139" s="865"/>
      <c r="V139" s="865"/>
      <c r="W139" s="866"/>
      <c r="X139" s="865"/>
      <c r="Y139" s="865"/>
      <c r="Z139" s="866"/>
      <c r="AA139" s="865"/>
      <c r="AB139" s="865"/>
      <c r="AC139" s="865"/>
      <c r="AD139" s="865"/>
      <c r="AE139" s="865"/>
    </row>
    <row r="140" spans="1:31" s="820" customFormat="1" x14ac:dyDescent="0.3">
      <c r="A140" s="859"/>
      <c r="B140" s="859"/>
      <c r="C140" s="867"/>
      <c r="D140" s="867"/>
      <c r="E140" s="867"/>
      <c r="F140" s="867"/>
      <c r="G140" s="866"/>
      <c r="H140" s="865"/>
      <c r="I140" s="865"/>
      <c r="J140" s="865"/>
      <c r="K140" s="865"/>
      <c r="L140" s="865"/>
      <c r="M140" s="865"/>
      <c r="N140" s="865"/>
      <c r="O140" s="865"/>
      <c r="P140" s="865"/>
      <c r="Q140" s="865"/>
      <c r="R140" s="865"/>
      <c r="S140" s="865"/>
      <c r="T140" s="865"/>
      <c r="U140" s="865"/>
      <c r="V140" s="865"/>
      <c r="W140" s="866"/>
      <c r="X140" s="865"/>
      <c r="Y140" s="865"/>
      <c r="Z140" s="866"/>
      <c r="AA140" s="865"/>
      <c r="AB140" s="865"/>
      <c r="AC140" s="865"/>
      <c r="AD140" s="865"/>
      <c r="AE140" s="865"/>
    </row>
    <row r="141" spans="1:31" s="820" customFormat="1" x14ac:dyDescent="0.3">
      <c r="A141" s="859"/>
      <c r="B141" s="859"/>
      <c r="C141" s="867"/>
      <c r="D141" s="867"/>
      <c r="E141" s="867"/>
      <c r="F141" s="867"/>
      <c r="G141" s="866"/>
      <c r="H141" s="865"/>
      <c r="I141" s="865"/>
      <c r="J141" s="865"/>
      <c r="K141" s="865"/>
      <c r="L141" s="865"/>
      <c r="M141" s="865"/>
      <c r="N141" s="865"/>
      <c r="O141" s="865"/>
      <c r="P141" s="865"/>
      <c r="Q141" s="865"/>
      <c r="R141" s="865"/>
      <c r="S141" s="865"/>
      <c r="T141" s="865"/>
      <c r="U141" s="865"/>
      <c r="V141" s="865"/>
      <c r="W141" s="866"/>
      <c r="X141" s="865"/>
      <c r="Y141" s="865"/>
      <c r="Z141" s="866"/>
      <c r="AA141" s="865"/>
      <c r="AB141" s="865"/>
      <c r="AC141" s="865"/>
      <c r="AD141" s="865"/>
      <c r="AE141" s="865"/>
    </row>
    <row r="142" spans="1:31" s="820" customFormat="1" x14ac:dyDescent="0.3">
      <c r="A142" s="859"/>
      <c r="B142" s="859"/>
      <c r="C142" s="867"/>
      <c r="D142" s="867"/>
      <c r="E142" s="867"/>
      <c r="F142" s="867"/>
      <c r="G142" s="866"/>
      <c r="H142" s="865"/>
      <c r="I142" s="865"/>
      <c r="J142" s="865"/>
      <c r="K142" s="865"/>
      <c r="L142" s="865"/>
      <c r="M142" s="865"/>
      <c r="N142" s="865"/>
      <c r="O142" s="865"/>
      <c r="P142" s="865"/>
      <c r="Q142" s="865"/>
      <c r="R142" s="865"/>
      <c r="S142" s="865"/>
      <c r="T142" s="865"/>
      <c r="U142" s="865"/>
      <c r="V142" s="865"/>
      <c r="W142" s="866"/>
      <c r="X142" s="865"/>
      <c r="Y142" s="865"/>
      <c r="Z142" s="866"/>
      <c r="AA142" s="865"/>
      <c r="AB142" s="865"/>
      <c r="AC142" s="865"/>
      <c r="AD142" s="865"/>
      <c r="AE142" s="865"/>
    </row>
    <row r="143" spans="1:31" s="820" customFormat="1" x14ac:dyDescent="0.3">
      <c r="A143" s="859"/>
      <c r="B143" s="859"/>
      <c r="C143" s="867"/>
      <c r="D143" s="867"/>
      <c r="E143" s="867"/>
      <c r="F143" s="867"/>
      <c r="G143" s="866"/>
      <c r="H143" s="865"/>
      <c r="I143" s="865"/>
      <c r="J143" s="865"/>
      <c r="K143" s="865"/>
      <c r="L143" s="865"/>
      <c r="M143" s="865"/>
      <c r="N143" s="865"/>
      <c r="O143" s="865"/>
      <c r="P143" s="865"/>
      <c r="Q143" s="865"/>
      <c r="R143" s="865"/>
      <c r="S143" s="865"/>
      <c r="T143" s="865"/>
      <c r="U143" s="865"/>
      <c r="V143" s="865"/>
      <c r="W143" s="866"/>
      <c r="X143" s="865"/>
      <c r="Y143" s="865"/>
      <c r="Z143" s="866"/>
      <c r="AA143" s="865"/>
      <c r="AB143" s="865"/>
      <c r="AC143" s="865"/>
      <c r="AD143" s="865"/>
      <c r="AE143" s="865"/>
    </row>
    <row r="144" spans="1:31" s="820" customFormat="1" x14ac:dyDescent="0.3">
      <c r="A144" s="859"/>
      <c r="B144" s="859"/>
      <c r="C144" s="867"/>
      <c r="D144" s="867"/>
      <c r="E144" s="867"/>
      <c r="F144" s="867"/>
      <c r="G144" s="866"/>
      <c r="H144" s="865"/>
      <c r="I144" s="865"/>
      <c r="J144" s="865"/>
      <c r="K144" s="865"/>
      <c r="L144" s="865"/>
      <c r="M144" s="865"/>
      <c r="N144" s="865"/>
      <c r="O144" s="865"/>
      <c r="P144" s="865"/>
      <c r="Q144" s="865"/>
      <c r="R144" s="865"/>
      <c r="S144" s="865"/>
      <c r="T144" s="865"/>
      <c r="U144" s="865"/>
      <c r="V144" s="865"/>
      <c r="W144" s="866"/>
      <c r="X144" s="865"/>
      <c r="Y144" s="865"/>
      <c r="Z144" s="866"/>
      <c r="AA144" s="865"/>
      <c r="AB144" s="865"/>
      <c r="AC144" s="865"/>
      <c r="AD144" s="865"/>
      <c r="AE144" s="865"/>
    </row>
    <row r="145" spans="1:31" s="820" customFormat="1" x14ac:dyDescent="0.3">
      <c r="A145" s="859"/>
      <c r="B145" s="859"/>
      <c r="C145" s="867"/>
      <c r="D145" s="867"/>
      <c r="E145" s="867"/>
      <c r="F145" s="867"/>
      <c r="G145" s="866"/>
      <c r="H145" s="865"/>
      <c r="I145" s="865"/>
      <c r="J145" s="865"/>
      <c r="K145" s="865"/>
      <c r="L145" s="865"/>
      <c r="M145" s="865"/>
      <c r="N145" s="865"/>
      <c r="O145" s="865"/>
      <c r="P145" s="865"/>
      <c r="Q145" s="865"/>
      <c r="R145" s="865"/>
      <c r="S145" s="865"/>
      <c r="T145" s="865"/>
      <c r="U145" s="865"/>
      <c r="V145" s="865"/>
      <c r="W145" s="866"/>
      <c r="X145" s="865"/>
      <c r="Y145" s="865"/>
      <c r="Z145" s="866"/>
      <c r="AA145" s="865"/>
      <c r="AB145" s="865"/>
      <c r="AC145" s="865"/>
      <c r="AD145" s="865"/>
      <c r="AE145" s="865"/>
    </row>
    <row r="146" spans="1:31" s="820" customFormat="1" x14ac:dyDescent="0.3">
      <c r="A146" s="859"/>
      <c r="B146" s="859"/>
      <c r="C146" s="867"/>
      <c r="D146" s="867"/>
      <c r="E146" s="867"/>
      <c r="F146" s="867"/>
      <c r="G146" s="866"/>
      <c r="H146" s="865"/>
      <c r="I146" s="865"/>
      <c r="J146" s="865"/>
      <c r="K146" s="865"/>
      <c r="L146" s="865"/>
      <c r="M146" s="865"/>
      <c r="N146" s="865"/>
      <c r="O146" s="865"/>
      <c r="P146" s="865"/>
      <c r="Q146" s="865"/>
      <c r="R146" s="865"/>
      <c r="S146" s="865"/>
      <c r="T146" s="865"/>
      <c r="U146" s="865"/>
      <c r="V146" s="865"/>
      <c r="W146" s="866"/>
      <c r="X146" s="865"/>
      <c r="Y146" s="865"/>
      <c r="Z146" s="866"/>
      <c r="AA146" s="865"/>
      <c r="AB146" s="865"/>
      <c r="AC146" s="865"/>
      <c r="AD146" s="865"/>
      <c r="AE146" s="865"/>
    </row>
    <row r="147" spans="1:31" s="820" customFormat="1" x14ac:dyDescent="0.3">
      <c r="A147" s="859"/>
      <c r="B147" s="859"/>
      <c r="C147" s="867"/>
      <c r="D147" s="867"/>
      <c r="E147" s="867"/>
      <c r="F147" s="867"/>
      <c r="G147" s="866"/>
      <c r="H147" s="865"/>
      <c r="I147" s="865"/>
      <c r="J147" s="865"/>
      <c r="K147" s="865"/>
      <c r="L147" s="865"/>
      <c r="M147" s="865"/>
      <c r="N147" s="865"/>
      <c r="O147" s="865"/>
      <c r="P147" s="865"/>
      <c r="Q147" s="865"/>
      <c r="R147" s="865"/>
      <c r="S147" s="865"/>
      <c r="T147" s="865"/>
      <c r="U147" s="865"/>
      <c r="V147" s="865"/>
      <c r="W147" s="866"/>
      <c r="X147" s="865"/>
      <c r="Y147" s="865"/>
      <c r="Z147" s="866"/>
      <c r="AA147" s="865"/>
      <c r="AB147" s="865"/>
      <c r="AC147" s="865"/>
      <c r="AD147" s="865"/>
      <c r="AE147" s="865"/>
    </row>
    <row r="148" spans="1:31" s="820" customFormat="1" x14ac:dyDescent="0.3">
      <c r="A148" s="859"/>
      <c r="B148" s="859"/>
      <c r="C148" s="867"/>
      <c r="D148" s="867"/>
      <c r="E148" s="867"/>
      <c r="F148" s="867"/>
      <c r="G148" s="866"/>
      <c r="H148" s="865"/>
      <c r="I148" s="865"/>
      <c r="J148" s="865"/>
      <c r="K148" s="865"/>
      <c r="L148" s="865"/>
      <c r="M148" s="865"/>
      <c r="N148" s="865"/>
      <c r="O148" s="865"/>
      <c r="P148" s="865"/>
      <c r="Q148" s="865"/>
      <c r="R148" s="865"/>
      <c r="S148" s="865"/>
      <c r="T148" s="865"/>
      <c r="U148" s="865"/>
      <c r="V148" s="865"/>
      <c r="W148" s="866"/>
      <c r="X148" s="865"/>
      <c r="Y148" s="865"/>
      <c r="Z148" s="866"/>
      <c r="AA148" s="865"/>
      <c r="AB148" s="865"/>
      <c r="AC148" s="865"/>
      <c r="AD148" s="865"/>
      <c r="AE148" s="865"/>
    </row>
    <row r="149" spans="1:31" s="820" customFormat="1" x14ac:dyDescent="0.3">
      <c r="A149" s="859"/>
      <c r="B149" s="859"/>
      <c r="C149" s="867"/>
      <c r="D149" s="867"/>
      <c r="E149" s="867"/>
      <c r="F149" s="867"/>
      <c r="G149" s="866"/>
      <c r="H149" s="865"/>
      <c r="I149" s="865"/>
      <c r="J149" s="865"/>
      <c r="K149" s="865"/>
      <c r="L149" s="865"/>
      <c r="M149" s="865"/>
      <c r="N149" s="865"/>
      <c r="O149" s="865"/>
      <c r="P149" s="865"/>
      <c r="Q149" s="865"/>
      <c r="R149" s="865"/>
      <c r="S149" s="865"/>
      <c r="T149" s="865"/>
      <c r="U149" s="865"/>
      <c r="V149" s="865"/>
      <c r="W149" s="866"/>
      <c r="X149" s="865"/>
      <c r="Y149" s="865"/>
      <c r="Z149" s="866"/>
      <c r="AA149" s="865"/>
      <c r="AB149" s="865"/>
      <c r="AC149" s="865"/>
      <c r="AD149" s="865"/>
      <c r="AE149" s="865"/>
    </row>
    <row r="150" spans="1:31" s="820" customFormat="1" x14ac:dyDescent="0.3">
      <c r="A150" s="859"/>
      <c r="B150" s="859"/>
      <c r="C150" s="867"/>
      <c r="D150" s="867"/>
      <c r="E150" s="867"/>
      <c r="F150" s="867"/>
      <c r="G150" s="866"/>
      <c r="H150" s="865"/>
      <c r="I150" s="865"/>
      <c r="J150" s="865"/>
      <c r="K150" s="865"/>
      <c r="L150" s="865"/>
      <c r="M150" s="865"/>
      <c r="N150" s="865"/>
      <c r="O150" s="865"/>
      <c r="P150" s="865"/>
      <c r="Q150" s="865"/>
      <c r="R150" s="865"/>
      <c r="S150" s="865"/>
      <c r="T150" s="865"/>
      <c r="U150" s="865"/>
      <c r="V150" s="865"/>
      <c r="W150" s="866"/>
      <c r="X150" s="865"/>
      <c r="Y150" s="865"/>
      <c r="Z150" s="866"/>
      <c r="AA150" s="865"/>
      <c r="AB150" s="865"/>
      <c r="AC150" s="865"/>
      <c r="AD150" s="865"/>
      <c r="AE150" s="865"/>
    </row>
    <row r="151" spans="1:31" s="820" customFormat="1" x14ac:dyDescent="0.3">
      <c r="A151" s="859"/>
      <c r="B151" s="859"/>
      <c r="C151" s="867"/>
      <c r="D151" s="867"/>
      <c r="E151" s="867"/>
      <c r="F151" s="867"/>
      <c r="G151" s="866"/>
      <c r="H151" s="865"/>
      <c r="I151" s="865"/>
      <c r="J151" s="865"/>
      <c r="K151" s="865"/>
      <c r="L151" s="865"/>
      <c r="M151" s="865"/>
      <c r="N151" s="865"/>
      <c r="O151" s="865"/>
      <c r="P151" s="865"/>
      <c r="Q151" s="865"/>
      <c r="R151" s="865"/>
      <c r="S151" s="865"/>
      <c r="T151" s="865"/>
      <c r="U151" s="865"/>
      <c r="V151" s="865"/>
      <c r="W151" s="866"/>
      <c r="X151" s="865"/>
      <c r="Y151" s="865"/>
      <c r="Z151" s="866"/>
      <c r="AA151" s="865"/>
      <c r="AB151" s="865"/>
      <c r="AC151" s="865"/>
      <c r="AD151" s="865"/>
      <c r="AE151" s="865"/>
    </row>
    <row r="152" spans="1:31" s="820" customFormat="1" x14ac:dyDescent="0.3">
      <c r="A152" s="859"/>
      <c r="B152" s="859"/>
      <c r="C152" s="867"/>
      <c r="D152" s="867"/>
      <c r="E152" s="867"/>
      <c r="F152" s="867"/>
      <c r="G152" s="866"/>
      <c r="H152" s="865"/>
      <c r="I152" s="865"/>
      <c r="J152" s="865"/>
      <c r="K152" s="865"/>
      <c r="L152" s="865"/>
      <c r="M152" s="865"/>
      <c r="N152" s="865"/>
      <c r="O152" s="865"/>
      <c r="P152" s="865"/>
      <c r="Q152" s="865"/>
      <c r="R152" s="865"/>
      <c r="S152" s="865"/>
      <c r="T152" s="865"/>
      <c r="U152" s="865"/>
      <c r="V152" s="865"/>
      <c r="W152" s="866"/>
      <c r="X152" s="865"/>
      <c r="Y152" s="865"/>
      <c r="Z152" s="866"/>
      <c r="AA152" s="865"/>
      <c r="AB152" s="865"/>
      <c r="AC152" s="865"/>
      <c r="AD152" s="865"/>
      <c r="AE152" s="865"/>
    </row>
    <row r="153" spans="1:31" s="820" customFormat="1" x14ac:dyDescent="0.3">
      <c r="A153" s="859"/>
      <c r="B153" s="859"/>
      <c r="C153" s="867"/>
      <c r="D153" s="867"/>
      <c r="E153" s="867"/>
      <c r="F153" s="867"/>
      <c r="G153" s="866"/>
      <c r="H153" s="865"/>
      <c r="I153" s="865"/>
      <c r="J153" s="865"/>
      <c r="K153" s="865"/>
      <c r="L153" s="865"/>
      <c r="M153" s="865"/>
      <c r="N153" s="865"/>
      <c r="O153" s="865"/>
      <c r="P153" s="865"/>
      <c r="Q153" s="865"/>
      <c r="R153" s="865"/>
      <c r="S153" s="865"/>
      <c r="T153" s="865"/>
      <c r="U153" s="865"/>
      <c r="V153" s="865"/>
      <c r="W153" s="866"/>
      <c r="X153" s="865"/>
      <c r="Y153" s="865"/>
      <c r="Z153" s="866"/>
      <c r="AA153" s="865"/>
      <c r="AB153" s="865"/>
      <c r="AC153" s="865"/>
      <c r="AD153" s="865"/>
      <c r="AE153" s="865"/>
    </row>
    <row r="154" spans="1:31" s="820" customFormat="1" x14ac:dyDescent="0.3">
      <c r="A154" s="859"/>
      <c r="B154" s="859"/>
      <c r="C154" s="867"/>
      <c r="D154" s="867"/>
      <c r="E154" s="867"/>
      <c r="F154" s="867"/>
      <c r="G154" s="866"/>
      <c r="H154" s="865"/>
      <c r="I154" s="865"/>
      <c r="J154" s="865"/>
      <c r="K154" s="865"/>
      <c r="L154" s="865"/>
      <c r="M154" s="865"/>
      <c r="N154" s="865"/>
      <c r="O154" s="865"/>
      <c r="P154" s="865"/>
      <c r="Q154" s="865"/>
      <c r="R154" s="865"/>
      <c r="S154" s="865"/>
      <c r="T154" s="865"/>
      <c r="U154" s="865"/>
      <c r="V154" s="865"/>
      <c r="W154" s="866"/>
      <c r="X154" s="865"/>
      <c r="Y154" s="865"/>
      <c r="Z154" s="866"/>
      <c r="AA154" s="865"/>
      <c r="AB154" s="865"/>
      <c r="AC154" s="865"/>
      <c r="AD154" s="865"/>
      <c r="AE154" s="865"/>
    </row>
    <row r="155" spans="1:31" s="820" customFormat="1" x14ac:dyDescent="0.3">
      <c r="A155" s="859"/>
      <c r="B155" s="859"/>
      <c r="C155" s="867"/>
      <c r="D155" s="867"/>
      <c r="E155" s="867"/>
      <c r="F155" s="867"/>
      <c r="G155" s="866"/>
      <c r="H155" s="865"/>
      <c r="I155" s="865"/>
      <c r="J155" s="865"/>
      <c r="K155" s="865"/>
      <c r="L155" s="865"/>
      <c r="M155" s="865"/>
      <c r="N155" s="865"/>
      <c r="O155" s="865"/>
      <c r="P155" s="865"/>
      <c r="Q155" s="865"/>
      <c r="R155" s="865"/>
      <c r="S155" s="865"/>
      <c r="T155" s="865"/>
      <c r="U155" s="865"/>
      <c r="V155" s="865"/>
      <c r="W155" s="866"/>
      <c r="X155" s="865"/>
      <c r="Y155" s="865"/>
      <c r="Z155" s="866"/>
      <c r="AA155" s="865"/>
      <c r="AB155" s="865"/>
      <c r="AC155" s="865"/>
      <c r="AD155" s="865"/>
      <c r="AE155" s="865"/>
    </row>
    <row r="156" spans="1:31" s="820" customFormat="1" x14ac:dyDescent="0.3">
      <c r="A156" s="859"/>
      <c r="B156" s="859"/>
      <c r="C156" s="867"/>
      <c r="D156" s="867"/>
      <c r="E156" s="867"/>
      <c r="F156" s="867"/>
      <c r="G156" s="866"/>
      <c r="H156" s="865"/>
      <c r="I156" s="865"/>
      <c r="J156" s="865"/>
      <c r="K156" s="865"/>
      <c r="L156" s="865"/>
      <c r="M156" s="865"/>
      <c r="N156" s="865"/>
      <c r="O156" s="865"/>
      <c r="P156" s="865"/>
      <c r="Q156" s="865"/>
      <c r="R156" s="865"/>
      <c r="S156" s="865"/>
      <c r="T156" s="865"/>
      <c r="U156" s="865"/>
      <c r="V156" s="865"/>
      <c r="W156" s="866"/>
      <c r="X156" s="865"/>
      <c r="Y156" s="865"/>
      <c r="Z156" s="866"/>
      <c r="AA156" s="865"/>
      <c r="AB156" s="865"/>
      <c r="AC156" s="865"/>
      <c r="AD156" s="865"/>
      <c r="AE156" s="865"/>
    </row>
    <row r="157" spans="1:31" s="820" customFormat="1" x14ac:dyDescent="0.3">
      <c r="A157" s="859"/>
      <c r="B157" s="859"/>
      <c r="C157" s="867"/>
      <c r="D157" s="867"/>
      <c r="E157" s="867"/>
      <c r="F157" s="867"/>
      <c r="G157" s="866"/>
      <c r="H157" s="865"/>
      <c r="I157" s="865"/>
      <c r="J157" s="865"/>
      <c r="K157" s="865"/>
      <c r="L157" s="865"/>
      <c r="M157" s="865"/>
      <c r="N157" s="865"/>
      <c r="O157" s="865"/>
      <c r="P157" s="865"/>
      <c r="Q157" s="865"/>
      <c r="R157" s="865"/>
      <c r="S157" s="865"/>
      <c r="T157" s="865"/>
      <c r="U157" s="865"/>
      <c r="V157" s="865"/>
      <c r="W157" s="866"/>
      <c r="X157" s="865"/>
      <c r="Y157" s="865"/>
      <c r="Z157" s="866"/>
      <c r="AA157" s="865"/>
      <c r="AB157" s="865"/>
      <c r="AC157" s="865"/>
      <c r="AD157" s="865"/>
      <c r="AE157" s="865"/>
    </row>
    <row r="158" spans="1:31" s="820" customFormat="1" x14ac:dyDescent="0.3">
      <c r="A158" s="859"/>
      <c r="B158" s="859"/>
      <c r="C158" s="867"/>
      <c r="D158" s="867"/>
      <c r="E158" s="867"/>
      <c r="F158" s="867"/>
      <c r="G158" s="866"/>
      <c r="H158" s="865"/>
      <c r="I158" s="865"/>
      <c r="J158" s="865"/>
      <c r="K158" s="865"/>
      <c r="L158" s="865"/>
      <c r="M158" s="865"/>
      <c r="N158" s="865"/>
      <c r="O158" s="865"/>
      <c r="P158" s="865"/>
      <c r="Q158" s="865"/>
      <c r="R158" s="865"/>
      <c r="S158" s="865"/>
      <c r="T158" s="865"/>
      <c r="U158" s="865"/>
      <c r="V158" s="865"/>
      <c r="W158" s="866"/>
      <c r="X158" s="865"/>
      <c r="Y158" s="865"/>
      <c r="Z158" s="866"/>
      <c r="AA158" s="865"/>
      <c r="AB158" s="865"/>
      <c r="AC158" s="865"/>
      <c r="AD158" s="865"/>
      <c r="AE158" s="865"/>
    </row>
    <row r="159" spans="1:31" s="820" customFormat="1" x14ac:dyDescent="0.3">
      <c r="A159" s="859"/>
      <c r="B159" s="859"/>
      <c r="C159" s="867"/>
      <c r="D159" s="867"/>
      <c r="E159" s="867"/>
      <c r="F159" s="867"/>
      <c r="G159" s="866"/>
      <c r="H159" s="865"/>
      <c r="I159" s="865"/>
      <c r="J159" s="865"/>
      <c r="K159" s="865"/>
      <c r="L159" s="865"/>
      <c r="M159" s="865"/>
      <c r="N159" s="865"/>
      <c r="O159" s="865"/>
      <c r="P159" s="865"/>
      <c r="Q159" s="865"/>
      <c r="R159" s="865"/>
      <c r="S159" s="865"/>
      <c r="T159" s="865"/>
      <c r="U159" s="865"/>
      <c r="V159" s="865"/>
      <c r="W159" s="866"/>
      <c r="X159" s="865"/>
      <c r="Y159" s="865"/>
      <c r="Z159" s="866"/>
      <c r="AA159" s="865"/>
      <c r="AB159" s="865"/>
      <c r="AC159" s="865"/>
      <c r="AD159" s="865"/>
      <c r="AE159" s="865"/>
    </row>
    <row r="160" spans="1:31" s="820" customFormat="1" x14ac:dyDescent="0.3">
      <c r="A160" s="859"/>
      <c r="B160" s="859"/>
      <c r="C160" s="867"/>
      <c r="D160" s="867"/>
      <c r="E160" s="867"/>
      <c r="F160" s="867"/>
      <c r="G160" s="866"/>
      <c r="H160" s="865"/>
      <c r="I160" s="865"/>
      <c r="J160" s="865"/>
      <c r="K160" s="865"/>
      <c r="L160" s="865"/>
      <c r="M160" s="865"/>
      <c r="N160" s="865"/>
      <c r="O160" s="865"/>
      <c r="P160" s="865"/>
      <c r="Q160" s="865"/>
      <c r="R160" s="865"/>
      <c r="S160" s="865"/>
      <c r="T160" s="865"/>
      <c r="U160" s="865"/>
      <c r="V160" s="865"/>
      <c r="W160" s="866"/>
      <c r="X160" s="865"/>
      <c r="Y160" s="865"/>
      <c r="Z160" s="866"/>
      <c r="AA160" s="865"/>
      <c r="AB160" s="865"/>
      <c r="AC160" s="865"/>
      <c r="AD160" s="865"/>
      <c r="AE160" s="865"/>
    </row>
    <row r="161" spans="1:31" s="820" customFormat="1" x14ac:dyDescent="0.3">
      <c r="A161" s="859"/>
      <c r="B161" s="859"/>
      <c r="C161" s="867"/>
      <c r="D161" s="867"/>
      <c r="E161" s="867"/>
      <c r="F161" s="867"/>
      <c r="G161" s="866"/>
      <c r="H161" s="865"/>
      <c r="I161" s="865"/>
      <c r="J161" s="865"/>
      <c r="K161" s="865"/>
      <c r="L161" s="865"/>
      <c r="M161" s="865"/>
      <c r="N161" s="865"/>
      <c r="O161" s="865"/>
      <c r="P161" s="865"/>
      <c r="Q161" s="865"/>
      <c r="R161" s="865"/>
      <c r="S161" s="865"/>
      <c r="T161" s="865"/>
      <c r="U161" s="865"/>
      <c r="V161" s="865"/>
      <c r="W161" s="866"/>
      <c r="X161" s="865"/>
      <c r="Y161" s="865"/>
      <c r="Z161" s="866"/>
      <c r="AA161" s="865"/>
      <c r="AB161" s="865"/>
      <c r="AC161" s="865"/>
      <c r="AD161" s="865"/>
      <c r="AE161" s="865"/>
    </row>
    <row r="162" spans="1:31" s="820" customFormat="1" x14ac:dyDescent="0.3">
      <c r="A162" s="859"/>
      <c r="B162" s="859"/>
      <c r="C162" s="867"/>
      <c r="D162" s="867"/>
      <c r="E162" s="867"/>
      <c r="F162" s="867"/>
      <c r="G162" s="866"/>
      <c r="H162" s="865"/>
      <c r="I162" s="865"/>
      <c r="J162" s="865"/>
      <c r="K162" s="865"/>
      <c r="L162" s="865"/>
      <c r="M162" s="865"/>
      <c r="N162" s="865"/>
      <c r="O162" s="865"/>
      <c r="P162" s="865"/>
      <c r="Q162" s="865"/>
      <c r="R162" s="865"/>
      <c r="S162" s="865"/>
      <c r="T162" s="865"/>
      <c r="U162" s="865"/>
      <c r="V162" s="865"/>
      <c r="W162" s="866"/>
      <c r="X162" s="865"/>
      <c r="Y162" s="865"/>
      <c r="Z162" s="866"/>
      <c r="AA162" s="865"/>
      <c r="AB162" s="865"/>
      <c r="AC162" s="865"/>
      <c r="AD162" s="865"/>
      <c r="AE162" s="865"/>
    </row>
    <row r="163" spans="1:31" s="820" customFormat="1" x14ac:dyDescent="0.3">
      <c r="A163" s="859"/>
      <c r="B163" s="859"/>
      <c r="C163" s="867"/>
      <c r="D163" s="867"/>
      <c r="E163" s="867"/>
      <c r="F163" s="867"/>
      <c r="G163" s="866"/>
      <c r="H163" s="865"/>
      <c r="I163" s="865"/>
      <c r="J163" s="865"/>
      <c r="K163" s="865"/>
      <c r="L163" s="865"/>
      <c r="M163" s="865"/>
      <c r="N163" s="865"/>
      <c r="O163" s="865"/>
      <c r="P163" s="865"/>
      <c r="Q163" s="865"/>
      <c r="R163" s="865"/>
      <c r="S163" s="865"/>
      <c r="T163" s="865"/>
      <c r="U163" s="865"/>
      <c r="V163" s="865"/>
      <c r="W163" s="866"/>
      <c r="X163" s="865"/>
      <c r="Y163" s="865"/>
      <c r="Z163" s="866"/>
      <c r="AA163" s="865"/>
      <c r="AB163" s="865"/>
      <c r="AC163" s="865"/>
      <c r="AD163" s="865"/>
      <c r="AE163" s="865"/>
    </row>
    <row r="164" spans="1:31" s="820" customFormat="1" x14ac:dyDescent="0.3">
      <c r="A164" s="859"/>
      <c r="B164" s="859"/>
      <c r="C164" s="867"/>
      <c r="D164" s="867"/>
      <c r="E164" s="867"/>
      <c r="F164" s="867"/>
      <c r="G164" s="866"/>
      <c r="H164" s="865"/>
      <c r="I164" s="865"/>
      <c r="J164" s="865"/>
      <c r="K164" s="865"/>
      <c r="L164" s="865"/>
      <c r="M164" s="865"/>
      <c r="N164" s="865"/>
      <c r="O164" s="865"/>
      <c r="P164" s="865"/>
      <c r="Q164" s="865"/>
      <c r="R164" s="865"/>
      <c r="S164" s="865"/>
      <c r="T164" s="865"/>
      <c r="U164" s="865"/>
      <c r="V164" s="865"/>
      <c r="W164" s="866"/>
      <c r="X164" s="865"/>
      <c r="Y164" s="865"/>
      <c r="Z164" s="866"/>
      <c r="AA164" s="865"/>
      <c r="AB164" s="865"/>
      <c r="AC164" s="865"/>
      <c r="AD164" s="865"/>
      <c r="AE164" s="865"/>
    </row>
    <row r="165" spans="1:31" s="820" customFormat="1" x14ac:dyDescent="0.3">
      <c r="A165" s="859"/>
      <c r="B165" s="859"/>
      <c r="C165" s="867"/>
      <c r="D165" s="867"/>
      <c r="E165" s="867"/>
      <c r="F165" s="867"/>
      <c r="G165" s="866"/>
      <c r="H165" s="865"/>
      <c r="I165" s="865"/>
      <c r="J165" s="865"/>
      <c r="K165" s="865"/>
      <c r="L165" s="865"/>
      <c r="M165" s="865"/>
      <c r="N165" s="865"/>
      <c r="O165" s="865"/>
      <c r="P165" s="865"/>
      <c r="Q165" s="865"/>
      <c r="R165" s="865"/>
      <c r="S165" s="865"/>
      <c r="T165" s="865"/>
      <c r="U165" s="865"/>
      <c r="V165" s="865"/>
      <c r="W165" s="866"/>
      <c r="X165" s="865"/>
      <c r="Y165" s="865"/>
      <c r="Z165" s="866"/>
      <c r="AA165" s="865"/>
      <c r="AB165" s="865"/>
      <c r="AC165" s="865"/>
      <c r="AD165" s="865"/>
      <c r="AE165" s="865"/>
    </row>
    <row r="166" spans="1:31" s="820" customFormat="1" x14ac:dyDescent="0.3">
      <c r="A166" s="859"/>
      <c r="B166" s="859"/>
      <c r="C166" s="867"/>
      <c r="D166" s="867"/>
      <c r="E166" s="867"/>
      <c r="F166" s="867"/>
      <c r="G166" s="866"/>
      <c r="H166" s="865"/>
      <c r="I166" s="865"/>
      <c r="J166" s="865"/>
      <c r="K166" s="865"/>
      <c r="L166" s="865"/>
      <c r="M166" s="865"/>
      <c r="N166" s="865"/>
      <c r="O166" s="865"/>
      <c r="P166" s="865"/>
      <c r="Q166" s="865"/>
      <c r="R166" s="865"/>
      <c r="S166" s="865"/>
      <c r="T166" s="865"/>
      <c r="U166" s="865"/>
      <c r="V166" s="865"/>
      <c r="W166" s="866"/>
      <c r="X166" s="865"/>
      <c r="Y166" s="865"/>
      <c r="Z166" s="866"/>
      <c r="AA166" s="865"/>
      <c r="AB166" s="865"/>
      <c r="AC166" s="865"/>
      <c r="AD166" s="865"/>
      <c r="AE166" s="865"/>
    </row>
    <row r="167" spans="1:31" s="820" customFormat="1" x14ac:dyDescent="0.3">
      <c r="A167" s="859"/>
      <c r="B167" s="859"/>
      <c r="C167" s="867"/>
      <c r="D167" s="867"/>
      <c r="E167" s="867"/>
      <c r="F167" s="867"/>
      <c r="G167" s="866"/>
      <c r="H167" s="865"/>
      <c r="I167" s="865"/>
      <c r="J167" s="865"/>
      <c r="K167" s="865"/>
      <c r="L167" s="865"/>
      <c r="M167" s="865"/>
      <c r="N167" s="865"/>
      <c r="O167" s="865"/>
      <c r="P167" s="865"/>
      <c r="Q167" s="865"/>
      <c r="R167" s="865"/>
      <c r="S167" s="865"/>
      <c r="T167" s="865"/>
      <c r="U167" s="865"/>
      <c r="V167" s="865"/>
      <c r="W167" s="866"/>
      <c r="X167" s="865"/>
      <c r="Y167" s="865"/>
      <c r="Z167" s="866"/>
      <c r="AA167" s="865"/>
      <c r="AB167" s="865"/>
      <c r="AC167" s="865"/>
      <c r="AD167" s="865"/>
      <c r="AE167" s="865"/>
    </row>
    <row r="168" spans="1:31" s="820" customFormat="1" x14ac:dyDescent="0.3">
      <c r="A168" s="859"/>
      <c r="B168" s="859"/>
      <c r="C168" s="867"/>
      <c r="D168" s="867"/>
      <c r="E168" s="867"/>
      <c r="F168" s="867"/>
      <c r="G168" s="866"/>
      <c r="H168" s="865"/>
      <c r="I168" s="865"/>
      <c r="J168" s="865"/>
      <c r="K168" s="865"/>
      <c r="L168" s="865"/>
      <c r="M168" s="865"/>
      <c r="N168" s="865"/>
      <c r="O168" s="865"/>
      <c r="P168" s="865"/>
      <c r="Q168" s="865"/>
      <c r="R168" s="865"/>
      <c r="S168" s="865"/>
      <c r="T168" s="865"/>
      <c r="U168" s="865"/>
      <c r="V168" s="865"/>
      <c r="W168" s="866"/>
      <c r="X168" s="865"/>
      <c r="Y168" s="865"/>
      <c r="Z168" s="866"/>
      <c r="AA168" s="865"/>
      <c r="AB168" s="865"/>
      <c r="AC168" s="865"/>
      <c r="AD168" s="865"/>
      <c r="AE168" s="865"/>
    </row>
    <row r="169" spans="1:31" s="820" customFormat="1" x14ac:dyDescent="0.3">
      <c r="A169" s="859"/>
      <c r="B169" s="859"/>
      <c r="C169" s="867"/>
      <c r="D169" s="867"/>
      <c r="E169" s="867"/>
      <c r="F169" s="867"/>
      <c r="G169" s="866"/>
      <c r="H169" s="865"/>
      <c r="I169" s="865"/>
      <c r="J169" s="865"/>
      <c r="K169" s="865"/>
      <c r="L169" s="865"/>
      <c r="M169" s="865"/>
      <c r="N169" s="865"/>
      <c r="O169" s="865"/>
      <c r="P169" s="865"/>
      <c r="Q169" s="865"/>
      <c r="R169" s="865"/>
      <c r="S169" s="865"/>
      <c r="T169" s="865"/>
      <c r="U169" s="865"/>
      <c r="V169" s="865"/>
      <c r="W169" s="866"/>
      <c r="X169" s="865"/>
      <c r="Y169" s="865"/>
      <c r="Z169" s="866"/>
      <c r="AA169" s="865"/>
      <c r="AB169" s="865"/>
      <c r="AC169" s="865"/>
      <c r="AD169" s="865"/>
      <c r="AE169" s="865"/>
    </row>
    <row r="170" spans="1:31" s="820" customFormat="1" x14ac:dyDescent="0.3">
      <c r="A170" s="859"/>
      <c r="B170" s="859"/>
      <c r="C170" s="867"/>
      <c r="D170" s="867"/>
      <c r="E170" s="867"/>
      <c r="F170" s="867"/>
      <c r="G170" s="866"/>
      <c r="H170" s="865"/>
      <c r="I170" s="865"/>
      <c r="J170" s="865"/>
      <c r="K170" s="865"/>
      <c r="L170" s="865"/>
      <c r="M170" s="865"/>
      <c r="N170" s="865"/>
      <c r="O170" s="865"/>
      <c r="P170" s="865"/>
      <c r="Q170" s="865"/>
      <c r="R170" s="865"/>
      <c r="S170" s="865"/>
      <c r="T170" s="865"/>
      <c r="U170" s="865"/>
      <c r="V170" s="865"/>
      <c r="W170" s="866"/>
      <c r="X170" s="865"/>
      <c r="Y170" s="865"/>
      <c r="Z170" s="866"/>
      <c r="AA170" s="865"/>
      <c r="AB170" s="865"/>
      <c r="AC170" s="865"/>
      <c r="AD170" s="865"/>
      <c r="AE170" s="865"/>
    </row>
    <row r="171" spans="1:31" s="820" customFormat="1" x14ac:dyDescent="0.3">
      <c r="A171" s="859"/>
      <c r="B171" s="859"/>
      <c r="C171" s="867"/>
      <c r="D171" s="867"/>
      <c r="E171" s="867"/>
      <c r="F171" s="867"/>
      <c r="G171" s="866"/>
      <c r="H171" s="865"/>
      <c r="I171" s="865"/>
      <c r="J171" s="865"/>
      <c r="K171" s="865"/>
      <c r="L171" s="865"/>
      <c r="M171" s="865"/>
      <c r="N171" s="865"/>
      <c r="O171" s="865"/>
      <c r="P171" s="865"/>
      <c r="Q171" s="865"/>
      <c r="R171" s="865"/>
      <c r="S171" s="865"/>
      <c r="T171" s="865"/>
      <c r="U171" s="865"/>
      <c r="V171" s="865"/>
      <c r="W171" s="866"/>
      <c r="X171" s="865"/>
      <c r="Y171" s="865"/>
      <c r="Z171" s="866"/>
      <c r="AA171" s="865"/>
      <c r="AB171" s="865"/>
      <c r="AC171" s="865"/>
      <c r="AD171" s="865"/>
      <c r="AE171" s="865"/>
    </row>
    <row r="172" spans="1:31" s="820" customFormat="1" x14ac:dyDescent="0.3">
      <c r="A172" s="859"/>
      <c r="B172" s="859"/>
      <c r="C172" s="867"/>
      <c r="D172" s="867"/>
      <c r="E172" s="867"/>
      <c r="F172" s="867"/>
      <c r="G172" s="866"/>
      <c r="H172" s="865"/>
      <c r="I172" s="865"/>
      <c r="J172" s="865"/>
      <c r="K172" s="865"/>
      <c r="L172" s="865"/>
      <c r="M172" s="865"/>
      <c r="N172" s="865"/>
      <c r="O172" s="865"/>
      <c r="P172" s="865"/>
      <c r="Q172" s="865"/>
      <c r="R172" s="865"/>
      <c r="S172" s="865"/>
      <c r="T172" s="865"/>
      <c r="U172" s="865"/>
      <c r="V172" s="865"/>
      <c r="W172" s="866"/>
      <c r="X172" s="865"/>
      <c r="Y172" s="865"/>
      <c r="Z172" s="866"/>
      <c r="AA172" s="865"/>
      <c r="AB172" s="865"/>
      <c r="AC172" s="865"/>
      <c r="AD172" s="865"/>
      <c r="AE172" s="865"/>
    </row>
    <row r="173" spans="1:31" s="820" customFormat="1" x14ac:dyDescent="0.3">
      <c r="A173" s="859"/>
      <c r="B173" s="859"/>
      <c r="C173" s="867"/>
      <c r="D173" s="867"/>
      <c r="E173" s="867"/>
      <c r="F173" s="867"/>
      <c r="G173" s="866"/>
      <c r="H173" s="865"/>
      <c r="I173" s="865"/>
      <c r="J173" s="865"/>
      <c r="K173" s="865"/>
      <c r="L173" s="865"/>
      <c r="M173" s="865"/>
      <c r="N173" s="865"/>
      <c r="O173" s="865"/>
      <c r="P173" s="865"/>
      <c r="Q173" s="865"/>
      <c r="R173" s="865"/>
      <c r="S173" s="865"/>
      <c r="T173" s="865"/>
      <c r="U173" s="865"/>
      <c r="V173" s="865"/>
      <c r="W173" s="866"/>
      <c r="X173" s="865"/>
      <c r="Y173" s="865"/>
      <c r="Z173" s="866"/>
      <c r="AA173" s="865"/>
      <c r="AB173" s="865"/>
      <c r="AC173" s="865"/>
      <c r="AD173" s="865"/>
      <c r="AE173" s="865"/>
    </row>
    <row r="174" spans="1:31" s="820" customFormat="1" x14ac:dyDescent="0.3">
      <c r="A174" s="859"/>
      <c r="B174" s="859"/>
      <c r="C174" s="867"/>
      <c r="D174" s="867"/>
      <c r="E174" s="867"/>
      <c r="F174" s="867"/>
      <c r="G174" s="866"/>
      <c r="H174" s="865"/>
      <c r="I174" s="865"/>
      <c r="J174" s="865"/>
      <c r="K174" s="865"/>
      <c r="L174" s="865"/>
      <c r="M174" s="865"/>
      <c r="N174" s="865"/>
      <c r="O174" s="865"/>
      <c r="P174" s="865"/>
      <c r="Q174" s="865"/>
      <c r="R174" s="865"/>
      <c r="S174" s="865"/>
      <c r="T174" s="865"/>
      <c r="U174" s="865"/>
      <c r="V174" s="865"/>
      <c r="W174" s="866"/>
      <c r="X174" s="865"/>
      <c r="Y174" s="865"/>
      <c r="Z174" s="866"/>
      <c r="AA174" s="865"/>
      <c r="AB174" s="865"/>
      <c r="AC174" s="865"/>
      <c r="AD174" s="865"/>
      <c r="AE174" s="865"/>
    </row>
    <row r="175" spans="1:31" s="820" customFormat="1" x14ac:dyDescent="0.3">
      <c r="A175" s="859"/>
      <c r="B175" s="859"/>
      <c r="C175" s="867"/>
      <c r="D175" s="867"/>
      <c r="E175" s="867"/>
      <c r="F175" s="867"/>
      <c r="G175" s="866"/>
      <c r="H175" s="865"/>
      <c r="I175" s="865"/>
      <c r="J175" s="865"/>
      <c r="K175" s="865"/>
      <c r="L175" s="865"/>
      <c r="M175" s="865"/>
      <c r="N175" s="865"/>
      <c r="O175" s="865"/>
      <c r="P175" s="865"/>
      <c r="Q175" s="865"/>
      <c r="R175" s="865"/>
      <c r="S175" s="865"/>
      <c r="T175" s="865"/>
      <c r="U175" s="865"/>
      <c r="V175" s="865"/>
      <c r="W175" s="866"/>
      <c r="X175" s="865"/>
      <c r="Y175" s="865"/>
      <c r="Z175" s="866"/>
      <c r="AA175" s="865"/>
      <c r="AB175" s="865"/>
      <c r="AC175" s="865"/>
      <c r="AD175" s="865"/>
      <c r="AE175" s="865"/>
    </row>
    <row r="176" spans="1:31" s="820" customFormat="1" x14ac:dyDescent="0.3">
      <c r="A176" s="859"/>
      <c r="B176" s="859"/>
      <c r="C176" s="867"/>
      <c r="D176" s="867"/>
      <c r="E176" s="867"/>
      <c r="F176" s="867"/>
      <c r="G176" s="866"/>
      <c r="H176" s="865"/>
      <c r="I176" s="865"/>
      <c r="J176" s="865"/>
      <c r="K176" s="865"/>
      <c r="L176" s="865"/>
      <c r="M176" s="865"/>
      <c r="N176" s="865"/>
      <c r="O176" s="865"/>
      <c r="P176" s="865"/>
      <c r="Q176" s="865"/>
      <c r="R176" s="865"/>
      <c r="S176" s="865"/>
      <c r="T176" s="865"/>
      <c r="U176" s="865"/>
      <c r="V176" s="865"/>
      <c r="W176" s="866"/>
      <c r="X176" s="865"/>
      <c r="Y176" s="865"/>
      <c r="Z176" s="866"/>
      <c r="AA176" s="865"/>
      <c r="AB176" s="865"/>
      <c r="AC176" s="865"/>
      <c r="AD176" s="865"/>
      <c r="AE176" s="865"/>
    </row>
    <row r="177" spans="1:31" s="820" customFormat="1" x14ac:dyDescent="0.3">
      <c r="A177" s="859"/>
      <c r="B177" s="859"/>
      <c r="C177" s="867"/>
      <c r="D177" s="867"/>
      <c r="E177" s="867"/>
      <c r="F177" s="867"/>
      <c r="G177" s="866"/>
      <c r="H177" s="865"/>
      <c r="I177" s="865"/>
      <c r="J177" s="865"/>
      <c r="K177" s="865"/>
      <c r="L177" s="865"/>
      <c r="M177" s="865"/>
      <c r="N177" s="865"/>
      <c r="O177" s="865"/>
      <c r="P177" s="865"/>
      <c r="Q177" s="865"/>
      <c r="R177" s="865"/>
      <c r="S177" s="865"/>
      <c r="T177" s="865"/>
      <c r="U177" s="865"/>
      <c r="V177" s="865"/>
      <c r="W177" s="866"/>
      <c r="X177" s="865"/>
      <c r="Y177" s="865"/>
      <c r="Z177" s="866"/>
      <c r="AA177" s="865"/>
      <c r="AB177" s="865"/>
      <c r="AC177" s="865"/>
      <c r="AD177" s="865"/>
      <c r="AE177" s="865"/>
    </row>
    <row r="178" spans="1:31" s="820" customFormat="1" x14ac:dyDescent="0.3">
      <c r="A178" s="859"/>
      <c r="B178" s="859"/>
      <c r="C178" s="867"/>
      <c r="D178" s="867"/>
      <c r="E178" s="867"/>
      <c r="F178" s="867"/>
      <c r="G178" s="866"/>
      <c r="H178" s="865"/>
      <c r="I178" s="865"/>
      <c r="J178" s="865"/>
      <c r="K178" s="865"/>
      <c r="L178" s="865"/>
      <c r="M178" s="865"/>
      <c r="N178" s="865"/>
      <c r="O178" s="865"/>
      <c r="P178" s="865"/>
      <c r="Q178" s="865"/>
      <c r="R178" s="865"/>
      <c r="S178" s="865"/>
      <c r="T178" s="865"/>
      <c r="U178" s="865"/>
      <c r="V178" s="865"/>
      <c r="W178" s="866"/>
      <c r="X178" s="865"/>
      <c r="Y178" s="865"/>
      <c r="Z178" s="866"/>
      <c r="AA178" s="865"/>
      <c r="AB178" s="865"/>
      <c r="AC178" s="865"/>
      <c r="AD178" s="865"/>
      <c r="AE178" s="865"/>
    </row>
    <row r="179" spans="1:31" s="820" customFormat="1" x14ac:dyDescent="0.3">
      <c r="A179" s="859"/>
      <c r="B179" s="859"/>
      <c r="C179" s="867"/>
      <c r="D179" s="867"/>
      <c r="E179" s="867"/>
      <c r="F179" s="867"/>
      <c r="G179" s="866"/>
      <c r="H179" s="865"/>
      <c r="I179" s="865"/>
      <c r="J179" s="865"/>
      <c r="K179" s="865"/>
      <c r="L179" s="865"/>
      <c r="M179" s="865"/>
      <c r="N179" s="865"/>
      <c r="O179" s="865"/>
      <c r="P179" s="865"/>
      <c r="Q179" s="865"/>
      <c r="R179" s="865"/>
      <c r="S179" s="865"/>
      <c r="T179" s="865"/>
      <c r="U179" s="865"/>
      <c r="V179" s="865"/>
      <c r="W179" s="866"/>
      <c r="X179" s="865"/>
      <c r="Y179" s="865"/>
      <c r="Z179" s="866"/>
      <c r="AA179" s="865"/>
      <c r="AB179" s="865"/>
      <c r="AC179" s="865"/>
      <c r="AD179" s="865"/>
      <c r="AE179" s="865"/>
    </row>
    <row r="180" spans="1:31" s="820" customFormat="1" x14ac:dyDescent="0.3">
      <c r="A180" s="859"/>
      <c r="B180" s="859"/>
      <c r="C180" s="867"/>
      <c r="D180" s="867"/>
      <c r="E180" s="867"/>
      <c r="F180" s="867"/>
      <c r="G180" s="866"/>
      <c r="H180" s="865"/>
      <c r="I180" s="865"/>
      <c r="J180" s="865"/>
      <c r="K180" s="865"/>
      <c r="L180" s="865"/>
      <c r="M180" s="865"/>
      <c r="N180" s="865"/>
      <c r="O180" s="865"/>
      <c r="P180" s="865"/>
      <c r="Q180" s="865"/>
      <c r="R180" s="865"/>
      <c r="S180" s="865"/>
      <c r="T180" s="865"/>
      <c r="U180" s="865"/>
      <c r="V180" s="865"/>
      <c r="W180" s="866"/>
      <c r="X180" s="865"/>
      <c r="Y180" s="865"/>
      <c r="Z180" s="866"/>
      <c r="AA180" s="865"/>
      <c r="AB180" s="865"/>
      <c r="AC180" s="865"/>
      <c r="AD180" s="865"/>
      <c r="AE180" s="865"/>
    </row>
    <row r="181" spans="1:31" s="820" customFormat="1" x14ac:dyDescent="0.3">
      <c r="A181" s="859"/>
      <c r="B181" s="859"/>
      <c r="C181" s="867"/>
      <c r="D181" s="867"/>
      <c r="E181" s="867"/>
      <c r="F181" s="867"/>
      <c r="G181" s="866"/>
      <c r="H181" s="865"/>
      <c r="I181" s="865"/>
      <c r="J181" s="865"/>
      <c r="K181" s="865"/>
      <c r="L181" s="865"/>
      <c r="M181" s="865"/>
      <c r="N181" s="865"/>
      <c r="O181" s="865"/>
      <c r="P181" s="865"/>
      <c r="Q181" s="865"/>
      <c r="R181" s="865"/>
      <c r="S181" s="865"/>
      <c r="T181" s="865"/>
      <c r="U181" s="865"/>
      <c r="V181" s="865"/>
      <c r="W181" s="866"/>
      <c r="X181" s="865"/>
      <c r="Y181" s="865"/>
      <c r="Z181" s="866"/>
      <c r="AA181" s="865"/>
      <c r="AB181" s="865"/>
      <c r="AC181" s="865"/>
      <c r="AD181" s="865"/>
      <c r="AE181" s="865"/>
    </row>
    <row r="182" spans="1:31" s="820" customFormat="1" x14ac:dyDescent="0.3">
      <c r="A182" s="859"/>
      <c r="B182" s="859"/>
      <c r="C182" s="867"/>
      <c r="D182" s="867"/>
      <c r="E182" s="867"/>
      <c r="F182" s="867"/>
      <c r="G182" s="866"/>
      <c r="H182" s="865"/>
      <c r="I182" s="865"/>
      <c r="J182" s="865"/>
      <c r="K182" s="865"/>
      <c r="L182" s="865"/>
      <c r="M182" s="865"/>
      <c r="N182" s="865"/>
      <c r="O182" s="865"/>
      <c r="P182" s="865"/>
      <c r="Q182" s="865"/>
      <c r="R182" s="865"/>
      <c r="S182" s="865"/>
      <c r="T182" s="865"/>
      <c r="U182" s="865"/>
      <c r="V182" s="865"/>
      <c r="W182" s="866"/>
      <c r="X182" s="865"/>
      <c r="Y182" s="865"/>
      <c r="Z182" s="866"/>
      <c r="AA182" s="865"/>
      <c r="AB182" s="865"/>
      <c r="AC182" s="865"/>
      <c r="AD182" s="865"/>
      <c r="AE182" s="865"/>
    </row>
    <row r="183" spans="1:31" s="820" customFormat="1" x14ac:dyDescent="0.3">
      <c r="A183" s="859"/>
      <c r="B183" s="859"/>
      <c r="C183" s="867"/>
      <c r="D183" s="867"/>
      <c r="E183" s="867"/>
      <c r="F183" s="867"/>
      <c r="G183" s="866"/>
      <c r="H183" s="865"/>
      <c r="I183" s="865"/>
      <c r="J183" s="865"/>
      <c r="K183" s="865"/>
      <c r="L183" s="865"/>
      <c r="M183" s="865"/>
      <c r="N183" s="865"/>
      <c r="O183" s="865"/>
      <c r="P183" s="865"/>
      <c r="Q183" s="865"/>
      <c r="R183" s="865"/>
      <c r="S183" s="865"/>
      <c r="T183" s="865"/>
      <c r="U183" s="865"/>
      <c r="V183" s="865"/>
      <c r="W183" s="866"/>
      <c r="X183" s="865"/>
      <c r="Y183" s="865"/>
      <c r="Z183" s="866"/>
      <c r="AA183" s="865"/>
      <c r="AB183" s="865"/>
      <c r="AC183" s="865"/>
      <c r="AD183" s="865"/>
      <c r="AE183" s="865"/>
    </row>
    <row r="184" spans="1:31" s="820" customFormat="1" x14ac:dyDescent="0.3">
      <c r="A184" s="859"/>
      <c r="B184" s="859"/>
      <c r="C184" s="867"/>
      <c r="D184" s="867"/>
      <c r="E184" s="867"/>
      <c r="F184" s="867"/>
      <c r="G184" s="866"/>
      <c r="H184" s="865"/>
      <c r="I184" s="865"/>
      <c r="J184" s="865"/>
      <c r="K184" s="865"/>
      <c r="L184" s="865"/>
      <c r="M184" s="865"/>
      <c r="N184" s="865"/>
      <c r="O184" s="865"/>
      <c r="P184" s="865"/>
      <c r="Q184" s="865"/>
      <c r="R184" s="865"/>
      <c r="S184" s="865"/>
      <c r="T184" s="865"/>
      <c r="U184" s="865"/>
      <c r="V184" s="865"/>
      <c r="W184" s="866"/>
      <c r="X184" s="865"/>
      <c r="Y184" s="865"/>
      <c r="Z184" s="866"/>
      <c r="AA184" s="865"/>
      <c r="AB184" s="865"/>
      <c r="AC184" s="865"/>
      <c r="AD184" s="865"/>
      <c r="AE184" s="865"/>
    </row>
    <row r="185" spans="1:31" s="820" customFormat="1" x14ac:dyDescent="0.3">
      <c r="A185" s="859"/>
      <c r="B185" s="859"/>
      <c r="C185" s="867"/>
      <c r="D185" s="867"/>
      <c r="E185" s="867"/>
      <c r="F185" s="867"/>
      <c r="G185" s="866"/>
      <c r="H185" s="865"/>
      <c r="I185" s="865"/>
      <c r="J185" s="865"/>
      <c r="K185" s="865"/>
      <c r="L185" s="865"/>
      <c r="M185" s="865"/>
      <c r="N185" s="865"/>
      <c r="O185" s="865"/>
      <c r="P185" s="865"/>
      <c r="Q185" s="865"/>
      <c r="R185" s="865"/>
      <c r="S185" s="865"/>
      <c r="T185" s="865"/>
      <c r="U185" s="865"/>
      <c r="V185" s="865"/>
      <c r="W185" s="866"/>
      <c r="X185" s="865"/>
      <c r="Y185" s="865"/>
      <c r="Z185" s="866"/>
      <c r="AA185" s="865"/>
      <c r="AB185" s="865"/>
      <c r="AC185" s="865"/>
      <c r="AD185" s="865"/>
      <c r="AE185" s="865"/>
    </row>
    <row r="186" spans="1:31" s="820" customFormat="1" x14ac:dyDescent="0.3">
      <c r="A186" s="859"/>
      <c r="B186" s="859"/>
      <c r="C186" s="867"/>
      <c r="D186" s="867"/>
      <c r="E186" s="867"/>
      <c r="F186" s="867"/>
      <c r="G186" s="866"/>
      <c r="H186" s="865"/>
      <c r="I186" s="865"/>
      <c r="J186" s="865"/>
      <c r="K186" s="865"/>
      <c r="L186" s="865"/>
      <c r="M186" s="865"/>
      <c r="N186" s="865"/>
      <c r="O186" s="865"/>
      <c r="P186" s="865"/>
      <c r="Q186" s="865"/>
      <c r="R186" s="865"/>
      <c r="S186" s="865"/>
      <c r="T186" s="865"/>
      <c r="U186" s="865"/>
      <c r="V186" s="865"/>
      <c r="W186" s="866"/>
      <c r="X186" s="865"/>
      <c r="Y186" s="865"/>
      <c r="Z186" s="866"/>
      <c r="AA186" s="865"/>
      <c r="AB186" s="865"/>
      <c r="AC186" s="865"/>
      <c r="AD186" s="865"/>
      <c r="AE186" s="865"/>
    </row>
    <row r="187" spans="1:31" s="820" customFormat="1" x14ac:dyDescent="0.3">
      <c r="A187" s="859"/>
      <c r="B187" s="859"/>
      <c r="C187" s="867"/>
      <c r="D187" s="867"/>
      <c r="E187" s="867"/>
      <c r="F187" s="867"/>
      <c r="G187" s="866"/>
      <c r="H187" s="865"/>
      <c r="I187" s="865"/>
      <c r="J187" s="865"/>
      <c r="K187" s="865"/>
      <c r="L187" s="865"/>
      <c r="M187" s="865"/>
      <c r="N187" s="865"/>
      <c r="O187" s="865"/>
      <c r="P187" s="865"/>
      <c r="Q187" s="865"/>
      <c r="R187" s="865"/>
      <c r="S187" s="865"/>
      <c r="T187" s="865"/>
      <c r="U187" s="865"/>
      <c r="V187" s="865"/>
      <c r="W187" s="866"/>
      <c r="X187" s="865"/>
      <c r="Y187" s="865"/>
      <c r="Z187" s="866"/>
      <c r="AA187" s="865"/>
      <c r="AB187" s="865"/>
      <c r="AC187" s="865"/>
      <c r="AD187" s="865"/>
      <c r="AE187" s="865"/>
    </row>
    <row r="188" spans="1:31" s="820" customFormat="1" x14ac:dyDescent="0.3">
      <c r="A188" s="859"/>
      <c r="B188" s="859"/>
      <c r="C188" s="867"/>
      <c r="D188" s="867"/>
      <c r="E188" s="867"/>
      <c r="F188" s="867"/>
      <c r="G188" s="866"/>
      <c r="H188" s="865"/>
      <c r="I188" s="865"/>
      <c r="J188" s="865"/>
      <c r="K188" s="865"/>
      <c r="L188" s="865"/>
      <c r="M188" s="865"/>
      <c r="N188" s="865"/>
      <c r="O188" s="865"/>
      <c r="P188" s="865"/>
      <c r="Q188" s="865"/>
      <c r="R188" s="865"/>
      <c r="S188" s="865"/>
      <c r="T188" s="865"/>
      <c r="U188" s="865"/>
      <c r="V188" s="865"/>
      <c r="W188" s="866"/>
      <c r="X188" s="865"/>
      <c r="Y188" s="865"/>
      <c r="Z188" s="866"/>
      <c r="AA188" s="865"/>
      <c r="AB188" s="865"/>
      <c r="AC188" s="865"/>
      <c r="AD188" s="865"/>
      <c r="AE188" s="865"/>
    </row>
    <row r="189" spans="1:31" s="820" customFormat="1" x14ac:dyDescent="0.3">
      <c r="A189" s="859"/>
      <c r="B189" s="859"/>
      <c r="C189" s="867"/>
      <c r="D189" s="867"/>
      <c r="E189" s="867"/>
      <c r="F189" s="867"/>
      <c r="G189" s="866"/>
      <c r="H189" s="865"/>
      <c r="I189" s="865"/>
      <c r="J189" s="865"/>
      <c r="K189" s="865"/>
      <c r="L189" s="865"/>
      <c r="M189" s="865"/>
      <c r="N189" s="865"/>
      <c r="O189" s="865"/>
      <c r="P189" s="865"/>
      <c r="Q189" s="865"/>
      <c r="R189" s="865"/>
      <c r="S189" s="865"/>
      <c r="T189" s="865"/>
      <c r="U189" s="865"/>
      <c r="V189" s="865"/>
      <c r="W189" s="866"/>
      <c r="X189" s="865"/>
      <c r="Y189" s="865"/>
      <c r="Z189" s="866"/>
      <c r="AA189" s="865"/>
      <c r="AB189" s="865"/>
      <c r="AC189" s="865"/>
      <c r="AD189" s="865"/>
      <c r="AE189" s="865"/>
    </row>
    <row r="190" spans="1:31" s="820" customFormat="1" x14ac:dyDescent="0.3">
      <c r="A190" s="859"/>
      <c r="B190" s="859"/>
      <c r="C190" s="867"/>
      <c r="D190" s="867"/>
      <c r="E190" s="867"/>
      <c r="F190" s="867"/>
      <c r="G190" s="866"/>
      <c r="H190" s="865"/>
      <c r="I190" s="865"/>
      <c r="J190" s="865"/>
      <c r="K190" s="865"/>
      <c r="L190" s="865"/>
      <c r="M190" s="865"/>
      <c r="N190" s="865"/>
      <c r="O190" s="865"/>
      <c r="P190" s="865"/>
      <c r="Q190" s="865"/>
      <c r="R190" s="865"/>
      <c r="S190" s="865"/>
      <c r="T190" s="865"/>
      <c r="U190" s="865"/>
      <c r="V190" s="865"/>
      <c r="W190" s="866"/>
      <c r="X190" s="865"/>
      <c r="Y190" s="865"/>
      <c r="Z190" s="866"/>
      <c r="AA190" s="865"/>
      <c r="AB190" s="865"/>
      <c r="AC190" s="865"/>
      <c r="AD190" s="865"/>
      <c r="AE190" s="865"/>
    </row>
    <row r="191" spans="1:31" s="820" customFormat="1" x14ac:dyDescent="0.3">
      <c r="A191" s="859"/>
      <c r="B191" s="859"/>
      <c r="C191" s="867"/>
      <c r="D191" s="867"/>
      <c r="E191" s="867"/>
      <c r="F191" s="867"/>
      <c r="G191" s="866"/>
      <c r="H191" s="865"/>
      <c r="I191" s="865"/>
      <c r="J191" s="865"/>
      <c r="K191" s="865"/>
      <c r="L191" s="865"/>
      <c r="M191" s="865"/>
      <c r="N191" s="865"/>
      <c r="O191" s="865"/>
      <c r="P191" s="865"/>
      <c r="Q191" s="865"/>
      <c r="R191" s="865"/>
      <c r="S191" s="865"/>
      <c r="T191" s="865"/>
      <c r="U191" s="865"/>
      <c r="V191" s="865"/>
      <c r="W191" s="866"/>
      <c r="X191" s="865"/>
      <c r="Y191" s="865"/>
      <c r="Z191" s="866"/>
      <c r="AA191" s="865"/>
      <c r="AB191" s="865"/>
      <c r="AC191" s="865"/>
      <c r="AD191" s="865"/>
      <c r="AE191" s="865"/>
    </row>
    <row r="192" spans="1:31" s="820" customFormat="1" x14ac:dyDescent="0.3">
      <c r="A192" s="859"/>
      <c r="B192" s="859"/>
      <c r="C192" s="867"/>
      <c r="D192" s="867"/>
      <c r="E192" s="867"/>
      <c r="F192" s="867"/>
      <c r="G192" s="866"/>
      <c r="H192" s="865"/>
      <c r="I192" s="865"/>
      <c r="J192" s="865"/>
      <c r="K192" s="865"/>
      <c r="L192" s="865"/>
      <c r="M192" s="865"/>
      <c r="N192" s="865"/>
      <c r="O192" s="865"/>
      <c r="P192" s="865"/>
      <c r="Q192" s="865"/>
      <c r="R192" s="865"/>
      <c r="S192" s="865"/>
      <c r="T192" s="865"/>
      <c r="U192" s="865"/>
      <c r="V192" s="865"/>
      <c r="W192" s="866"/>
      <c r="X192" s="865"/>
      <c r="Y192" s="865"/>
      <c r="Z192" s="866"/>
      <c r="AA192" s="865"/>
      <c r="AB192" s="865"/>
      <c r="AC192" s="865"/>
      <c r="AD192" s="865"/>
      <c r="AE192" s="865"/>
    </row>
    <row r="193" spans="1:31" s="820" customFormat="1" x14ac:dyDescent="0.3">
      <c r="A193" s="859"/>
      <c r="B193" s="859"/>
      <c r="C193" s="867"/>
      <c r="D193" s="867"/>
      <c r="E193" s="867"/>
      <c r="F193" s="867"/>
      <c r="G193" s="866"/>
      <c r="H193" s="865"/>
      <c r="I193" s="865"/>
      <c r="J193" s="865"/>
      <c r="K193" s="865"/>
      <c r="L193" s="865"/>
      <c r="M193" s="865"/>
      <c r="N193" s="865"/>
      <c r="O193" s="865"/>
      <c r="P193" s="865"/>
      <c r="Q193" s="865"/>
      <c r="R193" s="865"/>
      <c r="S193" s="865"/>
      <c r="T193" s="865"/>
      <c r="U193" s="865"/>
      <c r="V193" s="865"/>
      <c r="W193" s="866"/>
      <c r="X193" s="865"/>
      <c r="Y193" s="865"/>
      <c r="Z193" s="866"/>
      <c r="AA193" s="865"/>
      <c r="AB193" s="865"/>
      <c r="AC193" s="865"/>
      <c r="AD193" s="865"/>
      <c r="AE193" s="865"/>
    </row>
    <row r="194" spans="1:31" s="820" customFormat="1" x14ac:dyDescent="0.3">
      <c r="A194" s="859"/>
      <c r="B194" s="859"/>
      <c r="C194" s="867"/>
      <c r="D194" s="867"/>
      <c r="E194" s="867"/>
      <c r="F194" s="867"/>
      <c r="G194" s="866"/>
      <c r="H194" s="865"/>
      <c r="I194" s="865"/>
      <c r="J194" s="865"/>
      <c r="K194" s="865"/>
      <c r="L194" s="865"/>
      <c r="M194" s="865"/>
      <c r="N194" s="865"/>
      <c r="O194" s="865"/>
      <c r="P194" s="865"/>
      <c r="Q194" s="865"/>
      <c r="R194" s="865"/>
      <c r="S194" s="865"/>
      <c r="T194" s="865"/>
      <c r="U194" s="865"/>
      <c r="V194" s="865"/>
      <c r="W194" s="866"/>
      <c r="X194" s="865"/>
      <c r="Y194" s="865"/>
      <c r="Z194" s="866"/>
      <c r="AA194" s="865"/>
      <c r="AB194" s="865"/>
      <c r="AC194" s="865"/>
      <c r="AD194" s="865"/>
      <c r="AE194" s="865"/>
    </row>
    <row r="195" spans="1:31" s="820" customFormat="1" x14ac:dyDescent="0.3">
      <c r="A195" s="859"/>
      <c r="B195" s="859"/>
      <c r="C195" s="867"/>
      <c r="D195" s="867"/>
      <c r="E195" s="867"/>
      <c r="F195" s="867"/>
      <c r="G195" s="866"/>
      <c r="H195" s="865"/>
      <c r="I195" s="865"/>
      <c r="J195" s="865"/>
      <c r="K195" s="865"/>
      <c r="L195" s="865"/>
      <c r="M195" s="865"/>
      <c r="N195" s="865"/>
      <c r="O195" s="865"/>
      <c r="P195" s="865"/>
      <c r="Q195" s="865"/>
      <c r="R195" s="865"/>
      <c r="S195" s="865"/>
      <c r="T195" s="865"/>
      <c r="U195" s="865"/>
      <c r="V195" s="865"/>
      <c r="W195" s="866"/>
      <c r="X195" s="865"/>
      <c r="Y195" s="865"/>
      <c r="Z195" s="866"/>
      <c r="AA195" s="865"/>
      <c r="AB195" s="865"/>
      <c r="AC195" s="865"/>
      <c r="AD195" s="865"/>
      <c r="AE195" s="865"/>
    </row>
    <row r="196" spans="1:31" s="820" customFormat="1" x14ac:dyDescent="0.3">
      <c r="A196" s="859"/>
      <c r="B196" s="859"/>
      <c r="C196" s="867"/>
      <c r="D196" s="867"/>
      <c r="E196" s="867"/>
      <c r="F196" s="867"/>
      <c r="G196" s="866"/>
      <c r="H196" s="865"/>
      <c r="I196" s="865"/>
      <c r="J196" s="865"/>
      <c r="K196" s="865"/>
      <c r="L196" s="865"/>
      <c r="M196" s="865"/>
      <c r="N196" s="865"/>
      <c r="O196" s="865"/>
      <c r="P196" s="865"/>
      <c r="Q196" s="865"/>
      <c r="R196" s="865"/>
      <c r="S196" s="865"/>
      <c r="T196" s="865"/>
      <c r="U196" s="865"/>
      <c r="V196" s="865"/>
      <c r="W196" s="866"/>
      <c r="X196" s="865"/>
      <c r="Y196" s="865"/>
      <c r="Z196" s="866"/>
      <c r="AA196" s="865"/>
      <c r="AB196" s="865"/>
      <c r="AC196" s="865"/>
      <c r="AD196" s="865"/>
      <c r="AE196" s="865"/>
    </row>
    <row r="197" spans="1:31" s="820" customFormat="1" x14ac:dyDescent="0.3">
      <c r="A197" s="859"/>
      <c r="B197" s="859"/>
      <c r="C197" s="867"/>
      <c r="D197" s="867"/>
      <c r="E197" s="867"/>
      <c r="F197" s="867"/>
      <c r="G197" s="866"/>
      <c r="H197" s="865"/>
      <c r="I197" s="865"/>
      <c r="J197" s="865"/>
      <c r="K197" s="865"/>
      <c r="L197" s="865"/>
      <c r="M197" s="865"/>
      <c r="N197" s="865"/>
      <c r="O197" s="865"/>
      <c r="P197" s="865"/>
      <c r="Q197" s="865"/>
      <c r="R197" s="865"/>
      <c r="S197" s="865"/>
      <c r="T197" s="865"/>
      <c r="U197" s="865"/>
      <c r="V197" s="865"/>
      <c r="W197" s="866"/>
      <c r="X197" s="865"/>
      <c r="Y197" s="865"/>
      <c r="Z197" s="866"/>
      <c r="AA197" s="865"/>
      <c r="AB197" s="865"/>
      <c r="AC197" s="865"/>
      <c r="AD197" s="865"/>
      <c r="AE197" s="865"/>
    </row>
    <row r="198" spans="1:31" s="820" customFormat="1" x14ac:dyDescent="0.3">
      <c r="A198" s="859"/>
      <c r="B198" s="859"/>
      <c r="C198" s="867"/>
      <c r="D198" s="867"/>
      <c r="E198" s="867"/>
      <c r="F198" s="867"/>
      <c r="G198" s="866"/>
      <c r="H198" s="865"/>
      <c r="I198" s="865"/>
      <c r="J198" s="865"/>
      <c r="K198" s="865"/>
      <c r="L198" s="865"/>
      <c r="M198" s="865"/>
      <c r="N198" s="865"/>
      <c r="O198" s="865"/>
      <c r="P198" s="865"/>
      <c r="Q198" s="865"/>
      <c r="R198" s="865"/>
      <c r="S198" s="865"/>
      <c r="T198" s="865"/>
      <c r="U198" s="865"/>
      <c r="V198" s="865"/>
      <c r="W198" s="866"/>
      <c r="X198" s="865"/>
      <c r="Y198" s="865"/>
      <c r="Z198" s="866"/>
      <c r="AA198" s="865"/>
      <c r="AB198" s="865"/>
      <c r="AC198" s="865"/>
      <c r="AD198" s="865"/>
      <c r="AE198" s="865"/>
    </row>
    <row r="199" spans="1:31" s="820" customFormat="1" x14ac:dyDescent="0.3">
      <c r="A199" s="859"/>
      <c r="B199" s="859"/>
      <c r="C199" s="867"/>
      <c r="D199" s="867"/>
      <c r="E199" s="867"/>
      <c r="F199" s="867"/>
      <c r="G199" s="866"/>
      <c r="H199" s="865"/>
      <c r="I199" s="865"/>
      <c r="J199" s="865"/>
      <c r="K199" s="865"/>
      <c r="L199" s="865"/>
      <c r="M199" s="865"/>
      <c r="N199" s="865"/>
      <c r="O199" s="865"/>
      <c r="P199" s="865"/>
      <c r="Q199" s="865"/>
      <c r="R199" s="865"/>
      <c r="S199" s="865"/>
      <c r="T199" s="865"/>
      <c r="U199" s="865"/>
      <c r="V199" s="865"/>
      <c r="W199" s="866"/>
      <c r="X199" s="865"/>
      <c r="Y199" s="865"/>
      <c r="Z199" s="866"/>
      <c r="AA199" s="865"/>
      <c r="AB199" s="865"/>
      <c r="AC199" s="865"/>
      <c r="AD199" s="865"/>
      <c r="AE199" s="865"/>
    </row>
    <row r="200" spans="1:31" s="820" customFormat="1" x14ac:dyDescent="0.3">
      <c r="A200" s="859"/>
      <c r="B200" s="859"/>
      <c r="C200" s="867"/>
      <c r="D200" s="867"/>
      <c r="E200" s="867"/>
      <c r="F200" s="867"/>
      <c r="G200" s="866"/>
      <c r="H200" s="865"/>
      <c r="I200" s="865"/>
      <c r="J200" s="865"/>
      <c r="K200" s="865"/>
      <c r="L200" s="865"/>
      <c r="M200" s="865"/>
      <c r="N200" s="865"/>
      <c r="O200" s="865"/>
      <c r="P200" s="865"/>
      <c r="Q200" s="865"/>
      <c r="R200" s="865"/>
      <c r="S200" s="865"/>
      <c r="T200" s="865"/>
      <c r="U200" s="865"/>
      <c r="V200" s="865"/>
      <c r="W200" s="866"/>
      <c r="X200" s="865"/>
      <c r="Y200" s="865"/>
      <c r="Z200" s="866"/>
      <c r="AA200" s="865"/>
      <c r="AB200" s="865"/>
      <c r="AC200" s="865"/>
      <c r="AD200" s="865"/>
      <c r="AE200" s="865"/>
    </row>
    <row r="201" spans="1:31" s="820" customFormat="1" x14ac:dyDescent="0.3">
      <c r="A201" s="859"/>
      <c r="B201" s="859"/>
      <c r="C201" s="867"/>
      <c r="D201" s="867"/>
      <c r="E201" s="867"/>
      <c r="F201" s="867"/>
      <c r="G201" s="866"/>
      <c r="H201" s="865"/>
      <c r="I201" s="865"/>
      <c r="J201" s="865"/>
      <c r="K201" s="865"/>
      <c r="L201" s="865"/>
      <c r="M201" s="865"/>
      <c r="N201" s="865"/>
      <c r="O201" s="865"/>
      <c r="P201" s="865"/>
      <c r="Q201" s="865"/>
      <c r="R201" s="865"/>
      <c r="S201" s="865"/>
      <c r="T201" s="865"/>
      <c r="U201" s="865"/>
      <c r="V201" s="865"/>
      <c r="W201" s="866"/>
      <c r="X201" s="865"/>
      <c r="Y201" s="865"/>
      <c r="Z201" s="866"/>
      <c r="AA201" s="865"/>
      <c r="AB201" s="865"/>
      <c r="AC201" s="865"/>
      <c r="AD201" s="865"/>
      <c r="AE201" s="865"/>
    </row>
    <row r="202" spans="1:31" s="820" customFormat="1" x14ac:dyDescent="0.3">
      <c r="A202" s="859"/>
      <c r="B202" s="859"/>
      <c r="C202" s="867"/>
      <c r="D202" s="867"/>
      <c r="E202" s="867"/>
      <c r="F202" s="867"/>
      <c r="G202" s="866"/>
      <c r="H202" s="865"/>
      <c r="I202" s="865"/>
      <c r="J202" s="865"/>
      <c r="K202" s="865"/>
      <c r="L202" s="865"/>
      <c r="M202" s="865"/>
      <c r="N202" s="865"/>
      <c r="O202" s="865"/>
      <c r="P202" s="865"/>
      <c r="Q202" s="865"/>
      <c r="R202" s="865"/>
      <c r="S202" s="865"/>
      <c r="T202" s="865"/>
      <c r="U202" s="865"/>
      <c r="V202" s="865"/>
      <c r="W202" s="866"/>
      <c r="X202" s="865"/>
      <c r="Y202" s="865"/>
      <c r="Z202" s="866"/>
      <c r="AA202" s="865"/>
      <c r="AB202" s="865"/>
      <c r="AC202" s="865"/>
      <c r="AD202" s="865"/>
      <c r="AE202" s="865"/>
    </row>
    <row r="203" spans="1:31" s="820" customFormat="1" x14ac:dyDescent="0.3">
      <c r="A203" s="859"/>
      <c r="B203" s="859"/>
      <c r="C203" s="867"/>
      <c r="D203" s="867"/>
      <c r="E203" s="867"/>
      <c r="F203" s="867"/>
      <c r="G203" s="866"/>
      <c r="H203" s="865"/>
      <c r="I203" s="865"/>
      <c r="J203" s="865"/>
      <c r="K203" s="865"/>
      <c r="L203" s="865"/>
      <c r="M203" s="865"/>
      <c r="N203" s="865"/>
      <c r="O203" s="865"/>
      <c r="P203" s="865"/>
      <c r="Q203" s="865"/>
      <c r="R203" s="865"/>
      <c r="S203" s="865"/>
      <c r="T203" s="865"/>
      <c r="U203" s="865"/>
      <c r="V203" s="865"/>
      <c r="W203" s="866"/>
      <c r="X203" s="865"/>
      <c r="Y203" s="865"/>
      <c r="Z203" s="866"/>
      <c r="AA203" s="865"/>
      <c r="AB203" s="865"/>
      <c r="AC203" s="865"/>
      <c r="AD203" s="865"/>
      <c r="AE203" s="865"/>
    </row>
    <row r="204" spans="1:31" s="820" customFormat="1" x14ac:dyDescent="0.3">
      <c r="A204" s="859"/>
      <c r="B204" s="859"/>
      <c r="C204" s="867"/>
      <c r="D204" s="867"/>
      <c r="E204" s="867"/>
      <c r="F204" s="867"/>
      <c r="G204" s="866"/>
      <c r="H204" s="865"/>
      <c r="I204" s="865"/>
      <c r="J204" s="865"/>
      <c r="K204" s="865"/>
      <c r="L204" s="865"/>
      <c r="M204" s="865"/>
      <c r="N204" s="865"/>
      <c r="O204" s="865"/>
      <c r="P204" s="865"/>
      <c r="Q204" s="865"/>
      <c r="R204" s="865"/>
      <c r="S204" s="865"/>
      <c r="T204" s="865"/>
      <c r="U204" s="865"/>
      <c r="V204" s="865"/>
      <c r="W204" s="866"/>
      <c r="X204" s="865"/>
      <c r="Y204" s="865"/>
      <c r="Z204" s="866"/>
      <c r="AA204" s="865"/>
      <c r="AB204" s="865"/>
      <c r="AC204" s="865"/>
      <c r="AD204" s="865"/>
      <c r="AE204" s="865"/>
    </row>
    <row r="205" spans="1:31" s="820" customFormat="1" x14ac:dyDescent="0.3">
      <c r="A205" s="859"/>
      <c r="B205" s="859"/>
      <c r="C205" s="867"/>
      <c r="D205" s="867"/>
      <c r="E205" s="867"/>
      <c r="F205" s="867"/>
      <c r="G205" s="866"/>
      <c r="H205" s="865"/>
      <c r="I205" s="865"/>
      <c r="J205" s="865"/>
      <c r="K205" s="865"/>
      <c r="L205" s="865"/>
      <c r="M205" s="865"/>
      <c r="N205" s="865"/>
      <c r="O205" s="865"/>
      <c r="P205" s="865"/>
      <c r="Q205" s="865"/>
      <c r="R205" s="865"/>
      <c r="S205" s="865"/>
      <c r="T205" s="865"/>
      <c r="U205" s="865"/>
      <c r="V205" s="865"/>
      <c r="W205" s="866"/>
      <c r="X205" s="865"/>
      <c r="Y205" s="865"/>
      <c r="Z205" s="866"/>
      <c r="AA205" s="865"/>
      <c r="AB205" s="865"/>
      <c r="AC205" s="865"/>
      <c r="AD205" s="865"/>
      <c r="AE205" s="865"/>
    </row>
    <row r="206" spans="1:31" s="820" customFormat="1" x14ac:dyDescent="0.3">
      <c r="A206" s="859"/>
      <c r="B206" s="859"/>
      <c r="C206" s="867"/>
      <c r="D206" s="867"/>
      <c r="E206" s="867"/>
      <c r="F206" s="867"/>
      <c r="G206" s="866"/>
      <c r="H206" s="865"/>
      <c r="I206" s="865"/>
      <c r="J206" s="865"/>
      <c r="K206" s="865"/>
      <c r="L206" s="865"/>
      <c r="M206" s="865"/>
      <c r="N206" s="865"/>
      <c r="O206" s="865"/>
      <c r="P206" s="865"/>
      <c r="Q206" s="865"/>
      <c r="R206" s="865"/>
      <c r="S206" s="865"/>
      <c r="T206" s="865"/>
      <c r="U206" s="865"/>
      <c r="V206" s="865"/>
      <c r="W206" s="866"/>
      <c r="X206" s="865"/>
      <c r="Y206" s="865"/>
      <c r="Z206" s="866"/>
      <c r="AA206" s="865"/>
      <c r="AB206" s="865"/>
      <c r="AC206" s="865"/>
      <c r="AD206" s="865"/>
      <c r="AE206" s="865"/>
    </row>
    <row r="207" spans="1:31" s="820" customFormat="1" x14ac:dyDescent="0.3">
      <c r="A207" s="859"/>
      <c r="B207" s="859"/>
      <c r="C207" s="867"/>
      <c r="D207" s="867"/>
      <c r="E207" s="867"/>
      <c r="F207" s="867"/>
      <c r="G207" s="866"/>
      <c r="H207" s="865"/>
      <c r="I207" s="865"/>
      <c r="J207" s="865"/>
      <c r="K207" s="865"/>
      <c r="L207" s="865"/>
      <c r="M207" s="865"/>
      <c r="N207" s="865"/>
      <c r="O207" s="865"/>
      <c r="P207" s="865"/>
      <c r="Q207" s="865"/>
      <c r="R207" s="865"/>
      <c r="S207" s="865"/>
      <c r="T207" s="865"/>
      <c r="U207" s="865"/>
      <c r="V207" s="865"/>
      <c r="W207" s="866"/>
      <c r="X207" s="865"/>
      <c r="Y207" s="865"/>
      <c r="Z207" s="866"/>
      <c r="AA207" s="865"/>
      <c r="AB207" s="865"/>
      <c r="AC207" s="865"/>
      <c r="AD207" s="865"/>
      <c r="AE207" s="865"/>
    </row>
    <row r="208" spans="1:31" s="820" customFormat="1" x14ac:dyDescent="0.3">
      <c r="A208" s="859"/>
      <c r="B208" s="859"/>
      <c r="C208" s="867"/>
      <c r="D208" s="867"/>
      <c r="E208" s="867"/>
      <c r="F208" s="867"/>
      <c r="G208" s="866"/>
      <c r="H208" s="865"/>
      <c r="I208" s="865"/>
      <c r="J208" s="865"/>
      <c r="K208" s="865"/>
      <c r="L208" s="865"/>
      <c r="M208" s="865"/>
      <c r="N208" s="865"/>
      <c r="O208" s="865"/>
      <c r="P208" s="865"/>
      <c r="Q208" s="865"/>
      <c r="R208" s="865"/>
      <c r="S208" s="865"/>
      <c r="T208" s="865"/>
      <c r="U208" s="865"/>
      <c r="V208" s="865"/>
      <c r="W208" s="866"/>
      <c r="X208" s="865"/>
      <c r="Y208" s="865"/>
      <c r="Z208" s="866"/>
      <c r="AA208" s="865"/>
      <c r="AB208" s="865"/>
      <c r="AC208" s="865"/>
      <c r="AD208" s="865"/>
      <c r="AE208" s="865"/>
    </row>
    <row r="209" spans="1:31" s="820" customFormat="1" x14ac:dyDescent="0.3">
      <c r="A209" s="859"/>
      <c r="B209" s="859"/>
      <c r="C209" s="867"/>
      <c r="D209" s="867"/>
      <c r="E209" s="867"/>
      <c r="F209" s="867"/>
      <c r="G209" s="866"/>
      <c r="H209" s="865"/>
      <c r="I209" s="865"/>
      <c r="J209" s="865"/>
      <c r="K209" s="865"/>
      <c r="L209" s="865"/>
      <c r="M209" s="865"/>
      <c r="N209" s="865"/>
      <c r="O209" s="865"/>
      <c r="P209" s="865"/>
      <c r="Q209" s="865"/>
      <c r="R209" s="865"/>
      <c r="S209" s="865"/>
      <c r="T209" s="865"/>
      <c r="U209" s="865"/>
      <c r="V209" s="865"/>
      <c r="W209" s="866"/>
      <c r="X209" s="865"/>
      <c r="Y209" s="865"/>
      <c r="Z209" s="866"/>
      <c r="AA209" s="865"/>
      <c r="AB209" s="865"/>
      <c r="AC209" s="865"/>
      <c r="AD209" s="865"/>
      <c r="AE209" s="865"/>
    </row>
    <row r="210" spans="1:31" s="820" customFormat="1" x14ac:dyDescent="0.3">
      <c r="A210" s="859"/>
      <c r="B210" s="859"/>
      <c r="C210" s="867"/>
      <c r="D210" s="867"/>
      <c r="E210" s="867"/>
      <c r="F210" s="867"/>
      <c r="G210" s="866"/>
      <c r="H210" s="865"/>
      <c r="I210" s="865"/>
      <c r="J210" s="865"/>
      <c r="K210" s="865"/>
      <c r="L210" s="865"/>
      <c r="M210" s="865"/>
      <c r="N210" s="865"/>
      <c r="O210" s="865"/>
      <c r="P210" s="865"/>
      <c r="Q210" s="865"/>
      <c r="R210" s="865"/>
      <c r="S210" s="865"/>
      <c r="T210" s="865"/>
      <c r="U210" s="865"/>
      <c r="V210" s="865"/>
      <c r="W210" s="866"/>
      <c r="X210" s="865"/>
      <c r="Y210" s="865"/>
      <c r="Z210" s="866"/>
      <c r="AA210" s="865"/>
      <c r="AB210" s="865"/>
      <c r="AC210" s="865"/>
      <c r="AD210" s="865"/>
      <c r="AE210" s="865"/>
    </row>
    <row r="211" spans="1:31" s="820" customFormat="1" x14ac:dyDescent="0.3">
      <c r="A211" s="859"/>
      <c r="B211" s="859"/>
      <c r="C211" s="867"/>
      <c r="D211" s="867"/>
      <c r="E211" s="867"/>
      <c r="F211" s="867"/>
      <c r="G211" s="866"/>
      <c r="H211" s="865"/>
      <c r="I211" s="865"/>
      <c r="J211" s="865"/>
      <c r="K211" s="865"/>
      <c r="L211" s="865"/>
      <c r="M211" s="865"/>
      <c r="N211" s="865"/>
      <c r="O211" s="865"/>
      <c r="P211" s="865"/>
      <c r="Q211" s="865"/>
      <c r="R211" s="865"/>
      <c r="S211" s="865"/>
      <c r="T211" s="865"/>
      <c r="U211" s="865"/>
      <c r="V211" s="865"/>
      <c r="W211" s="866"/>
      <c r="X211" s="865"/>
      <c r="Y211" s="865"/>
      <c r="Z211" s="866"/>
      <c r="AA211" s="865"/>
      <c r="AB211" s="865"/>
      <c r="AC211" s="865"/>
      <c r="AD211" s="865"/>
      <c r="AE211" s="865"/>
    </row>
    <row r="212" spans="1:31" s="820" customFormat="1" x14ac:dyDescent="0.3">
      <c r="A212" s="859"/>
      <c r="B212" s="859"/>
      <c r="C212" s="867"/>
      <c r="D212" s="867"/>
      <c r="E212" s="867"/>
      <c r="F212" s="867"/>
      <c r="G212" s="866"/>
      <c r="H212" s="865"/>
      <c r="I212" s="865"/>
      <c r="J212" s="865"/>
      <c r="K212" s="865"/>
      <c r="L212" s="865"/>
      <c r="M212" s="865"/>
      <c r="N212" s="865"/>
      <c r="O212" s="865"/>
      <c r="P212" s="865"/>
      <c r="Q212" s="865"/>
      <c r="R212" s="865"/>
      <c r="S212" s="865"/>
      <c r="T212" s="865"/>
      <c r="U212" s="865"/>
      <c r="V212" s="865"/>
      <c r="W212" s="866"/>
      <c r="X212" s="865"/>
      <c r="Y212" s="865"/>
      <c r="Z212" s="866"/>
      <c r="AA212" s="865"/>
      <c r="AB212" s="865"/>
      <c r="AC212" s="865"/>
      <c r="AD212" s="865"/>
      <c r="AE212" s="865"/>
    </row>
    <row r="213" spans="1:31" s="820" customFormat="1" x14ac:dyDescent="0.3">
      <c r="A213" s="859"/>
      <c r="B213" s="859"/>
      <c r="C213" s="867"/>
      <c r="D213" s="867"/>
      <c r="E213" s="867"/>
      <c r="F213" s="867"/>
      <c r="G213" s="866"/>
      <c r="H213" s="865"/>
      <c r="I213" s="865"/>
      <c r="J213" s="865"/>
      <c r="K213" s="865"/>
      <c r="L213" s="865"/>
      <c r="M213" s="865"/>
      <c r="N213" s="865"/>
      <c r="O213" s="865"/>
      <c r="P213" s="865"/>
      <c r="Q213" s="865"/>
      <c r="R213" s="865"/>
      <c r="S213" s="865"/>
      <c r="T213" s="865"/>
      <c r="U213" s="865"/>
      <c r="V213" s="865"/>
      <c r="W213" s="866"/>
      <c r="X213" s="865"/>
      <c r="Y213" s="865"/>
      <c r="Z213" s="866"/>
      <c r="AA213" s="865"/>
      <c r="AB213" s="865"/>
      <c r="AC213" s="865"/>
      <c r="AD213" s="865"/>
      <c r="AE213" s="865"/>
    </row>
    <row r="214" spans="1:31" s="820" customFormat="1" x14ac:dyDescent="0.3">
      <c r="A214" s="859"/>
      <c r="B214" s="859"/>
      <c r="C214" s="867"/>
      <c r="D214" s="867"/>
      <c r="E214" s="867"/>
      <c r="F214" s="867"/>
      <c r="G214" s="866"/>
      <c r="H214" s="865"/>
      <c r="I214" s="865"/>
      <c r="J214" s="865"/>
      <c r="K214" s="865"/>
      <c r="L214" s="865"/>
      <c r="M214" s="865"/>
      <c r="N214" s="865"/>
      <c r="O214" s="865"/>
      <c r="P214" s="865"/>
      <c r="Q214" s="865"/>
      <c r="R214" s="865"/>
      <c r="S214" s="865"/>
      <c r="T214" s="865"/>
      <c r="U214" s="865"/>
      <c r="V214" s="865"/>
      <c r="W214" s="866"/>
      <c r="X214" s="865"/>
      <c r="Y214" s="865"/>
      <c r="Z214" s="866"/>
      <c r="AA214" s="865"/>
      <c r="AB214" s="865"/>
      <c r="AC214" s="865"/>
      <c r="AD214" s="865"/>
      <c r="AE214" s="865"/>
    </row>
    <row r="215" spans="1:31" s="820" customFormat="1" x14ac:dyDescent="0.3">
      <c r="A215" s="859"/>
      <c r="B215" s="859"/>
      <c r="C215" s="867"/>
      <c r="D215" s="867"/>
      <c r="E215" s="867"/>
      <c r="F215" s="867"/>
      <c r="G215" s="866"/>
      <c r="H215" s="865"/>
      <c r="I215" s="865"/>
      <c r="J215" s="865"/>
      <c r="K215" s="865"/>
      <c r="L215" s="865"/>
      <c r="M215" s="865"/>
      <c r="N215" s="865"/>
      <c r="O215" s="865"/>
      <c r="P215" s="865"/>
      <c r="Q215" s="865"/>
      <c r="R215" s="865"/>
      <c r="S215" s="865"/>
      <c r="T215" s="865"/>
      <c r="U215" s="865"/>
      <c r="V215" s="865"/>
      <c r="W215" s="866"/>
      <c r="X215" s="865"/>
      <c r="Y215" s="865"/>
      <c r="Z215" s="866"/>
      <c r="AA215" s="865"/>
      <c r="AB215" s="865"/>
      <c r="AC215" s="865"/>
      <c r="AD215" s="865"/>
      <c r="AE215" s="865"/>
    </row>
    <row r="216" spans="1:31" s="820" customFormat="1" x14ac:dyDescent="0.3">
      <c r="A216" s="859"/>
      <c r="B216" s="859"/>
      <c r="C216" s="867"/>
      <c r="D216" s="867"/>
      <c r="E216" s="867"/>
      <c r="F216" s="867"/>
      <c r="G216" s="866"/>
      <c r="H216" s="865"/>
      <c r="I216" s="865"/>
      <c r="J216" s="865"/>
      <c r="K216" s="865"/>
      <c r="L216" s="865"/>
      <c r="M216" s="865"/>
      <c r="N216" s="865"/>
      <c r="O216" s="865"/>
      <c r="P216" s="865"/>
      <c r="Q216" s="865"/>
      <c r="R216" s="865"/>
      <c r="S216" s="865"/>
      <c r="T216" s="865"/>
      <c r="U216" s="865"/>
      <c r="V216" s="865"/>
      <c r="W216" s="866"/>
      <c r="X216" s="865"/>
      <c r="Y216" s="865"/>
      <c r="Z216" s="866"/>
      <c r="AA216" s="865"/>
      <c r="AB216" s="865"/>
      <c r="AC216" s="865"/>
      <c r="AD216" s="865"/>
      <c r="AE216" s="865"/>
    </row>
    <row r="217" spans="1:31" s="820" customFormat="1" x14ac:dyDescent="0.3">
      <c r="A217" s="859"/>
      <c r="B217" s="859"/>
      <c r="C217" s="867"/>
      <c r="D217" s="867"/>
      <c r="E217" s="867"/>
      <c r="F217" s="867"/>
      <c r="G217" s="866"/>
      <c r="H217" s="865"/>
      <c r="I217" s="865"/>
      <c r="J217" s="865"/>
      <c r="K217" s="865"/>
      <c r="L217" s="865"/>
      <c r="M217" s="865"/>
      <c r="N217" s="865"/>
      <c r="O217" s="865"/>
      <c r="P217" s="865"/>
      <c r="Q217" s="865"/>
      <c r="R217" s="865"/>
      <c r="S217" s="865"/>
      <c r="T217" s="865"/>
      <c r="U217" s="865"/>
      <c r="V217" s="865"/>
      <c r="W217" s="866"/>
      <c r="X217" s="865"/>
      <c r="Y217" s="865"/>
      <c r="Z217" s="866"/>
      <c r="AA217" s="865"/>
      <c r="AB217" s="865"/>
      <c r="AC217" s="865"/>
      <c r="AD217" s="865"/>
      <c r="AE217" s="865"/>
    </row>
  </sheetData>
  <mergeCells count="17">
    <mergeCell ref="A1:AE1"/>
    <mergeCell ref="A2:A6"/>
    <mergeCell ref="B2:B6"/>
    <mergeCell ref="C2:F3"/>
    <mergeCell ref="G2:L3"/>
    <mergeCell ref="C4:F4"/>
    <mergeCell ref="G4:I4"/>
    <mergeCell ref="J4:L4"/>
    <mergeCell ref="M4:P4"/>
    <mergeCell ref="Q4:S4"/>
    <mergeCell ref="F52:G52"/>
    <mergeCell ref="T4:V4"/>
    <mergeCell ref="W4:Y4"/>
    <mergeCell ref="Z4:AE4"/>
    <mergeCell ref="A48:B48"/>
    <mergeCell ref="B50:C50"/>
    <mergeCell ref="F50:G50"/>
  </mergeCells>
  <printOptions horizontalCentered="1"/>
  <pageMargins left="0.70866141732283472" right="0.70866141732283472" top="1.5748031496062993" bottom="0.74803149606299213" header="0.31496062992125984" footer="0.31496062992125984"/>
  <pageSetup paperSize="9" scale="35" firstPageNumber="25" fitToHeight="0" orientation="landscape" r:id="rId1"/>
  <headerFooter scaleWithDoc="0">
    <oddHeader>&amp;L&amp;G</oddHeader>
  </headerFooter>
  <drawing r:id="rId2"/>
  <legacyDrawingHF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6">
    <tabColor rgb="FF00B0F0"/>
    <pageSetUpPr fitToPage="1"/>
  </sheetPr>
  <dimension ref="A1:AA179"/>
  <sheetViews>
    <sheetView showGridLines="0" view="pageBreakPreview" topLeftCell="A6" zoomScale="85" zoomScaleNormal="115" zoomScaleSheetLayoutView="85" workbookViewId="0">
      <selection activeCell="K22" sqref="K22:L22"/>
    </sheetView>
  </sheetViews>
  <sheetFormatPr defaultColWidth="9.109375" defaultRowHeight="13.8" x14ac:dyDescent="0.25"/>
  <cols>
    <col min="1" max="1" width="9.109375" style="874"/>
    <col min="2" max="2" width="14" style="874" customWidth="1"/>
    <col min="3" max="3" width="21.5546875" style="874" customWidth="1"/>
    <col min="4" max="4" width="16.33203125" style="874" bestFit="1" customWidth="1"/>
    <col min="5" max="6" width="19.109375" style="874" customWidth="1"/>
    <col min="7" max="7" width="13.6640625" style="874" customWidth="1"/>
    <col min="8" max="8" width="13.88671875" style="874" customWidth="1"/>
    <col min="9" max="9" width="14.44140625" style="874" bestFit="1" customWidth="1"/>
    <col min="10" max="10" width="16.5546875" style="874" customWidth="1"/>
    <col min="11" max="12" width="20.88671875" style="874" customWidth="1"/>
    <col min="13" max="13" width="6.6640625" style="874" customWidth="1"/>
    <col min="14" max="17" width="12.109375" style="874" customWidth="1"/>
    <col min="18" max="18" width="25.33203125" style="874" customWidth="1"/>
    <col min="19" max="19" width="12.44140625" style="874" bestFit="1" customWidth="1"/>
    <col min="20" max="20" width="9.109375" style="874"/>
    <col min="21" max="21" width="13.6640625" style="874" customWidth="1"/>
    <col min="22" max="22" width="10.109375" style="874" customWidth="1"/>
    <col min="23" max="23" width="8.33203125" style="874" customWidth="1"/>
    <col min="24" max="16384" width="9.109375" style="874"/>
  </cols>
  <sheetData>
    <row r="1" spans="1:27" ht="15" thickBot="1" x14ac:dyDescent="0.25"/>
    <row r="2" spans="1:27" ht="22.5" customHeight="1" thickBot="1" x14ac:dyDescent="0.3">
      <c r="A2" s="1398" t="s">
        <v>617</v>
      </c>
      <c r="B2" s="1399"/>
      <c r="C2" s="1399"/>
      <c r="D2" s="1399"/>
      <c r="E2" s="1399"/>
      <c r="F2" s="1399"/>
      <c r="G2" s="1399"/>
      <c r="H2" s="1399"/>
      <c r="I2" s="1399"/>
      <c r="J2" s="1399"/>
      <c r="K2" s="1399"/>
      <c r="L2" s="1400"/>
      <c r="M2" s="463"/>
      <c r="N2" s="875"/>
      <c r="O2" s="875"/>
      <c r="P2" s="875"/>
      <c r="Q2" s="875"/>
      <c r="R2" s="875"/>
      <c r="S2" s="875"/>
      <c r="T2" s="875"/>
      <c r="U2" s="875"/>
      <c r="V2" s="875"/>
      <c r="W2" s="875"/>
      <c r="X2" s="875"/>
      <c r="Y2" s="875"/>
      <c r="Z2" s="875"/>
      <c r="AA2" s="875"/>
    </row>
    <row r="3" spans="1:27" ht="22.5" customHeight="1" thickBot="1" x14ac:dyDescent="0.3">
      <c r="A3" s="1401" t="s">
        <v>618</v>
      </c>
      <c r="B3" s="1401"/>
      <c r="C3" s="1401"/>
      <c r="D3" s="1401"/>
      <c r="E3" s="1401"/>
      <c r="F3" s="1401"/>
      <c r="G3" s="1401"/>
      <c r="H3" s="1401"/>
      <c r="I3" s="1401"/>
      <c r="J3" s="1401"/>
      <c r="K3" s="1401"/>
      <c r="L3" s="1401"/>
      <c r="M3" s="463"/>
      <c r="N3" s="1402" t="s">
        <v>619</v>
      </c>
      <c r="O3" s="1402"/>
      <c r="P3" s="1402"/>
      <c r="Q3" s="1402"/>
      <c r="R3" s="1402"/>
      <c r="S3" s="1402"/>
      <c r="T3" s="875"/>
      <c r="U3" s="875"/>
      <c r="V3" s="875"/>
      <c r="W3" s="875"/>
      <c r="X3" s="875"/>
      <c r="Y3" s="875"/>
      <c r="Z3" s="875"/>
      <c r="AA3" s="875"/>
    </row>
    <row r="4" spans="1:27" ht="63.75" customHeight="1" x14ac:dyDescent="0.25">
      <c r="A4" s="876" t="s">
        <v>620</v>
      </c>
      <c r="B4" s="877" t="s">
        <v>621</v>
      </c>
      <c r="C4" s="878" t="s">
        <v>622</v>
      </c>
      <c r="D4" s="878" t="s">
        <v>623</v>
      </c>
      <c r="E4" s="879" t="s">
        <v>624</v>
      </c>
      <c r="F4" s="880" t="s">
        <v>625</v>
      </c>
      <c r="G4" s="880" t="s">
        <v>626</v>
      </c>
      <c r="H4" s="881" t="s">
        <v>627</v>
      </c>
      <c r="I4" s="881" t="s">
        <v>628</v>
      </c>
      <c r="J4" s="881" t="s">
        <v>629</v>
      </c>
      <c r="K4" s="880" t="s">
        <v>630</v>
      </c>
      <c r="L4" s="882" t="s">
        <v>631</v>
      </c>
      <c r="M4" s="883"/>
      <c r="N4" s="884" t="s">
        <v>632</v>
      </c>
      <c r="O4" s="884" t="s">
        <v>633</v>
      </c>
      <c r="P4" s="884" t="s">
        <v>634</v>
      </c>
      <c r="Q4" s="884" t="s">
        <v>635</v>
      </c>
      <c r="R4" s="884" t="s">
        <v>636</v>
      </c>
      <c r="S4" s="884" t="s">
        <v>637</v>
      </c>
    </row>
    <row r="5" spans="1:27" ht="14.25" x14ac:dyDescent="0.2">
      <c r="A5" s="885" t="str">
        <f ca="1">OFFSET('DREN. REDE'!$B$3,ROWS($A$4:A5)-ROWS($A$4),0)</f>
        <v>A19.3</v>
      </c>
      <c r="B5" s="886" t="s">
        <v>638</v>
      </c>
      <c r="C5" s="887">
        <f ca="1">OFFSET('DREN. REDE'!$E$3,ROWS($C$4:C5)-ROWS($C$4),0)</f>
        <v>0.6</v>
      </c>
      <c r="D5" s="887">
        <f ca="1">OFFSET('DREN. REDE'!$O$3,ROWS($D$4:D5)-ROWS($D$4),0)</f>
        <v>1.5</v>
      </c>
      <c r="E5" s="887">
        <f ca="1">OFFSET('DREN. REDE'!$P$3,ROWS($E$4:E5)-ROWS($E$4),0)</f>
        <v>1.5</v>
      </c>
      <c r="F5" s="888">
        <f ca="1">OFFSET('DREN. REDE'!$C$3,ROWS($F$4:F5)-ROWS($F$4),0)</f>
        <v>49.54</v>
      </c>
      <c r="G5" s="889">
        <f ca="1">IF(B5="simples",F5,IF(B5="duplo",F5*2,IF(B5="triplo",F5*3,"")))</f>
        <v>49.54</v>
      </c>
      <c r="H5" s="890">
        <f ca="1">OFFSET('DREN. REDE'!$R$3,ROWS($H$4:H5)-ROWS($H$4),0)</f>
        <v>1.2</v>
      </c>
      <c r="I5" s="890">
        <f t="shared" ref="I5:I61" ca="1" si="0">TRUNC(F5*H5*0.1,2)</f>
        <v>5.94</v>
      </c>
      <c r="J5" s="890">
        <f t="shared" ref="J5:J61" ca="1" si="1">TRUNC(((D5+E5)*F5)/2*H5,2)</f>
        <v>89.17</v>
      </c>
      <c r="K5" s="890">
        <f t="shared" ref="K5:K61" ca="1" si="2">TRUNC(((D5+E5)*F5),2)</f>
        <v>148.62</v>
      </c>
      <c r="L5" s="891">
        <f ca="1">TRUNC(J5-(F5*S5)-(0.1*H5*F5),2)</f>
        <v>63.05</v>
      </c>
      <c r="M5" s="892"/>
      <c r="N5" s="884" t="str">
        <f ca="1">IF((D5+E5)/2&gt;3, "SIM", "-")</f>
        <v>-</v>
      </c>
      <c r="O5" s="884">
        <f t="shared" ref="O5:O61" ca="1" si="3">IF(N5="SIM",K5,0)</f>
        <v>0</v>
      </c>
      <c r="P5" s="884">
        <f t="shared" ref="P5:P61" ca="1" si="4">IF(N5="SIM",J5,0)</f>
        <v>0</v>
      </c>
      <c r="Q5" s="884">
        <f t="shared" ref="Q5:Q61" ca="1" si="5">IF(N5="SIM",L5,0)</f>
        <v>0</v>
      </c>
      <c r="R5" s="884">
        <f t="shared" ref="R5:R61" ca="1" si="6">IF(C5=0.4,0.245,IF(AND(C5=0.6),0.36,IF(AND(C5=0.8),0.48,IF(AND(C5=1),0.6,IF(AND(C5=1.2),0.72,IF(AND(C5=1.5),0.9))))))</f>
        <v>0.36</v>
      </c>
      <c r="S5" s="893">
        <f ca="1">IF(B5="SIMPLES",R5^2*PI(),IF(B5="DUPLO",2*R5^2*PI(),IF(B5="TRIPLO",3*R5^2*PI())))</f>
        <v>0.40715040790523715</v>
      </c>
    </row>
    <row r="6" spans="1:27" ht="14.25" x14ac:dyDescent="0.2">
      <c r="A6" s="885" t="str">
        <f ca="1">OFFSET('DREN. REDE'!$B$3,ROWS($A$4:A6)-ROWS($A$4),0)</f>
        <v>A19.2</v>
      </c>
      <c r="B6" s="886" t="s">
        <v>638</v>
      </c>
      <c r="C6" s="887">
        <f ca="1">OFFSET('DREN. REDE'!$E$3,ROWS($C$4:C6)-ROWS($C$4),0)</f>
        <v>0.6</v>
      </c>
      <c r="D6" s="887">
        <f ca="1">OFFSET('DREN. REDE'!$O$3,ROWS($D$4:D6)-ROWS($D$4),0)</f>
        <v>1.5</v>
      </c>
      <c r="E6" s="887">
        <f ca="1">OFFSET('DREN. REDE'!$P$3,ROWS($E$4:E6)-ROWS($E$4),0)</f>
        <v>1.6</v>
      </c>
      <c r="F6" s="888">
        <f ca="1">OFFSET('DREN. REDE'!$C$3,ROWS($F$4:F6)-ROWS($F$4),0)</f>
        <v>22.34</v>
      </c>
      <c r="G6" s="889">
        <f t="shared" ref="G6:G61" ca="1" si="7">IF(B6="simples",F6,IF(B6="duplo",F6*2,IF(B6="triplo",F6*3,"")))</f>
        <v>22.34</v>
      </c>
      <c r="H6" s="890">
        <f ca="1">OFFSET('DREN. REDE'!$R$3,ROWS($H$4:H6)-ROWS($H$4),0)</f>
        <v>1.2</v>
      </c>
      <c r="I6" s="890">
        <f t="shared" ca="1" si="0"/>
        <v>2.68</v>
      </c>
      <c r="J6" s="890">
        <f t="shared" ca="1" si="1"/>
        <v>41.55</v>
      </c>
      <c r="K6" s="890">
        <f t="shared" ca="1" si="2"/>
        <v>69.25</v>
      </c>
      <c r="L6" s="891">
        <f t="shared" ref="L6:L61" ca="1" si="8">TRUNC(J6-(F6*S6)-(0.1*H6*F6),2)</f>
        <v>29.77</v>
      </c>
      <c r="M6" s="892"/>
      <c r="N6" s="884" t="str">
        <f t="shared" ref="N6:N19" ca="1" si="9">IF((D6+E6)/2&gt;3, "SIM", "-")</f>
        <v>-</v>
      </c>
      <c r="O6" s="884">
        <f t="shared" ca="1" si="3"/>
        <v>0</v>
      </c>
      <c r="P6" s="884">
        <f t="shared" ca="1" si="4"/>
        <v>0</v>
      </c>
      <c r="Q6" s="884">
        <f t="shared" ca="1" si="5"/>
        <v>0</v>
      </c>
      <c r="R6" s="884">
        <f t="shared" ca="1" si="6"/>
        <v>0.36</v>
      </c>
      <c r="S6" s="893">
        <f t="shared" ref="S6:S61" ca="1" si="10">IF(B6="SIMPLES",R6^2*PI(),IF(B6="DUPLO",2*R6^2*PI(),IF(B6="TRIPLO",3*R6^2*PI())))</f>
        <v>0.40715040790523715</v>
      </c>
    </row>
    <row r="7" spans="1:27" ht="14.25" x14ac:dyDescent="0.2">
      <c r="A7" s="885" t="str">
        <f ca="1">OFFSET('DREN. REDE'!$B$3,ROWS($A$4:A7)-ROWS($A$4),0)</f>
        <v>A19.1</v>
      </c>
      <c r="B7" s="886" t="s">
        <v>638</v>
      </c>
      <c r="C7" s="887">
        <f ca="1">OFFSET('DREN. REDE'!$E$3,ROWS($C$4:C7)-ROWS($C$4),0)</f>
        <v>0.6</v>
      </c>
      <c r="D7" s="887">
        <f ca="1">OFFSET('DREN. REDE'!$O$3,ROWS($D$4:D7)-ROWS($D$4),0)</f>
        <v>1.6</v>
      </c>
      <c r="E7" s="887">
        <f ca="1">OFFSET('DREN. REDE'!$P$3,ROWS($E$4:E7)-ROWS($E$4),0)</f>
        <v>1.8</v>
      </c>
      <c r="F7" s="888">
        <f ca="1">OFFSET('DREN. REDE'!$C$3,ROWS($F$4:F7)-ROWS($F$4),0)</f>
        <v>66.16</v>
      </c>
      <c r="G7" s="889">
        <f t="shared" ca="1" si="7"/>
        <v>66.16</v>
      </c>
      <c r="H7" s="890">
        <f ca="1">OFFSET('DREN. REDE'!$R$3,ROWS($H$4:H7)-ROWS($H$4),0)</f>
        <v>1.2</v>
      </c>
      <c r="I7" s="890">
        <f t="shared" ca="1" si="0"/>
        <v>7.93</v>
      </c>
      <c r="J7" s="890">
        <f t="shared" ca="1" si="1"/>
        <v>134.96</v>
      </c>
      <c r="K7" s="890">
        <f t="shared" ca="1" si="2"/>
        <v>224.94</v>
      </c>
      <c r="L7" s="891">
        <f t="shared" ca="1" si="8"/>
        <v>100.08</v>
      </c>
      <c r="M7" s="892"/>
      <c r="N7" s="884" t="str">
        <f t="shared" ca="1" si="9"/>
        <v>-</v>
      </c>
      <c r="O7" s="884">
        <f t="shared" ca="1" si="3"/>
        <v>0</v>
      </c>
      <c r="P7" s="884">
        <f t="shared" ca="1" si="4"/>
        <v>0</v>
      </c>
      <c r="Q7" s="884">
        <f t="shared" ca="1" si="5"/>
        <v>0</v>
      </c>
      <c r="R7" s="884">
        <f t="shared" ca="1" si="6"/>
        <v>0.36</v>
      </c>
      <c r="S7" s="893">
        <f t="shared" ca="1" si="10"/>
        <v>0.40715040790523715</v>
      </c>
    </row>
    <row r="8" spans="1:27" ht="14.25" x14ac:dyDescent="0.2">
      <c r="A8" s="885" t="str">
        <f ca="1">OFFSET('DREN. REDE'!$B$3,ROWS($A$4:A8)-ROWS($A$4),0)</f>
        <v>A18</v>
      </c>
      <c r="B8" s="886" t="s">
        <v>638</v>
      </c>
      <c r="C8" s="887">
        <f ca="1">OFFSET('DREN. REDE'!$E$3,ROWS($C$4:C8)-ROWS($C$4),0)</f>
        <v>1.5</v>
      </c>
      <c r="D8" s="887">
        <f ca="1">OFFSET('DREN. REDE'!$O$3,ROWS($D$4:D8)-ROWS($D$4),0)</f>
        <v>2.9</v>
      </c>
      <c r="E8" s="887">
        <f ca="1">OFFSET('DREN. REDE'!$P$3,ROWS($E$4:E8)-ROWS($E$4),0)</f>
        <v>2.4</v>
      </c>
      <c r="F8" s="888">
        <f ca="1">OFFSET('DREN. REDE'!$C$3,ROWS($F$4:F8)-ROWS($F$4),0)</f>
        <v>27.4</v>
      </c>
      <c r="G8" s="889">
        <f t="shared" ca="1" si="7"/>
        <v>27.4</v>
      </c>
      <c r="H8" s="890">
        <f ca="1">OFFSET('DREN. REDE'!$R$3,ROWS($H$4:H8)-ROWS($H$4),0)</f>
        <v>2.1</v>
      </c>
      <c r="I8" s="890">
        <f t="shared" ca="1" si="0"/>
        <v>5.75</v>
      </c>
      <c r="J8" s="890">
        <f t="shared" ca="1" si="1"/>
        <v>152.47999999999999</v>
      </c>
      <c r="K8" s="890">
        <f t="shared" ca="1" si="2"/>
        <v>145.22</v>
      </c>
      <c r="L8" s="891">
        <f t="shared" ca="1" si="8"/>
        <v>77</v>
      </c>
      <c r="M8" s="892"/>
      <c r="N8" s="884" t="str">
        <f t="shared" ca="1" si="9"/>
        <v>-</v>
      </c>
      <c r="O8" s="884">
        <f t="shared" ca="1" si="3"/>
        <v>0</v>
      </c>
      <c r="P8" s="884">
        <f t="shared" ca="1" si="4"/>
        <v>0</v>
      </c>
      <c r="Q8" s="884">
        <f t="shared" ca="1" si="5"/>
        <v>0</v>
      </c>
      <c r="R8" s="884">
        <f t="shared" ca="1" si="6"/>
        <v>0.9</v>
      </c>
      <c r="S8" s="893">
        <f t="shared" ca="1" si="10"/>
        <v>2.5446900494077327</v>
      </c>
    </row>
    <row r="9" spans="1:27" ht="14.25" x14ac:dyDescent="0.2">
      <c r="A9" s="885" t="str">
        <f ca="1">OFFSET('DREN. REDE'!$B$3,ROWS($A$4:A9)-ROWS($A$4),0)</f>
        <v>A17</v>
      </c>
      <c r="B9" s="886" t="s">
        <v>638</v>
      </c>
      <c r="C9" s="887">
        <f ca="1">OFFSET('DREN. REDE'!$E$3,ROWS($C$4:C9)-ROWS($C$4),0)</f>
        <v>1.5</v>
      </c>
      <c r="D9" s="887">
        <f ca="1">OFFSET('DREN. REDE'!$O$3,ROWS($D$4:D9)-ROWS($D$4),0)</f>
        <v>2.4</v>
      </c>
      <c r="E9" s="887">
        <f ca="1">OFFSET('DREN. REDE'!$P$3,ROWS($E$4:E9)-ROWS($E$4),0)</f>
        <v>1.6</v>
      </c>
      <c r="F9" s="888">
        <f ca="1">OFFSET('DREN. REDE'!$C$3,ROWS($F$4:F9)-ROWS($F$4),0)</f>
        <v>100.62</v>
      </c>
      <c r="G9" s="889">
        <f t="shared" ca="1" si="7"/>
        <v>100.62</v>
      </c>
      <c r="H9" s="890">
        <f ca="1">OFFSET('DREN. REDE'!$R$3,ROWS($H$4:H9)-ROWS($H$4),0)</f>
        <v>2.1</v>
      </c>
      <c r="I9" s="890">
        <f t="shared" ca="1" si="0"/>
        <v>21.13</v>
      </c>
      <c r="J9" s="890">
        <f t="shared" ca="1" si="1"/>
        <v>422.6</v>
      </c>
      <c r="K9" s="890">
        <f t="shared" ca="1" si="2"/>
        <v>402.48</v>
      </c>
      <c r="L9" s="891">
        <f t="shared" ca="1" si="8"/>
        <v>145.41999999999999</v>
      </c>
      <c r="M9" s="892"/>
      <c r="N9" s="884" t="str">
        <f t="shared" ca="1" si="9"/>
        <v>-</v>
      </c>
      <c r="O9" s="884">
        <f t="shared" ca="1" si="3"/>
        <v>0</v>
      </c>
      <c r="P9" s="884">
        <f t="shared" ca="1" si="4"/>
        <v>0</v>
      </c>
      <c r="Q9" s="884">
        <f t="shared" ca="1" si="5"/>
        <v>0</v>
      </c>
      <c r="R9" s="884">
        <f t="shared" ca="1" si="6"/>
        <v>0.9</v>
      </c>
      <c r="S9" s="893">
        <f t="shared" ca="1" si="10"/>
        <v>2.5446900494077327</v>
      </c>
    </row>
    <row r="10" spans="1:27" ht="14.25" x14ac:dyDescent="0.2">
      <c r="A10" s="885" t="str">
        <f ca="1">OFFSET('DREN. REDE'!$B$3,ROWS($A$4:A10)-ROWS($A$4),0)</f>
        <v>A16</v>
      </c>
      <c r="B10" s="886" t="s">
        <v>638</v>
      </c>
      <c r="C10" s="887">
        <f ca="1">OFFSET('DREN. REDE'!$E$3,ROWS($C$4:C10)-ROWS($C$4),0)</f>
        <v>1.5</v>
      </c>
      <c r="D10" s="887">
        <f ca="1">OFFSET('DREN. REDE'!$O$3,ROWS($D$4:D10)-ROWS($D$4),0)</f>
        <v>2.2000000000000002</v>
      </c>
      <c r="E10" s="887">
        <f ca="1">OFFSET('DREN. REDE'!$P$3,ROWS($E$4:E10)-ROWS($E$4),0)</f>
        <v>1.5</v>
      </c>
      <c r="F10" s="888">
        <f ca="1">OFFSET('DREN. REDE'!$C$3,ROWS($F$4:F10)-ROWS($F$4),0)</f>
        <v>99.67</v>
      </c>
      <c r="G10" s="889">
        <f t="shared" ca="1" si="7"/>
        <v>99.67</v>
      </c>
      <c r="H10" s="890">
        <f ca="1">OFFSET('DREN. REDE'!$R$3,ROWS($H$4:H10)-ROWS($H$4),0)</f>
        <v>2.1</v>
      </c>
      <c r="I10" s="890">
        <f t="shared" ca="1" si="0"/>
        <v>20.93</v>
      </c>
      <c r="J10" s="890">
        <f t="shared" ca="1" si="1"/>
        <v>387.21</v>
      </c>
      <c r="K10" s="890">
        <f t="shared" ca="1" si="2"/>
        <v>368.77</v>
      </c>
      <c r="L10" s="891">
        <f t="shared" ca="1" si="8"/>
        <v>112.65</v>
      </c>
      <c r="M10" s="892"/>
      <c r="N10" s="884" t="str">
        <f t="shared" ca="1" si="9"/>
        <v>-</v>
      </c>
      <c r="O10" s="884">
        <f t="shared" ca="1" si="3"/>
        <v>0</v>
      </c>
      <c r="P10" s="884">
        <f t="shared" ca="1" si="4"/>
        <v>0</v>
      </c>
      <c r="Q10" s="884">
        <f t="shared" ca="1" si="5"/>
        <v>0</v>
      </c>
      <c r="R10" s="884">
        <f t="shared" ca="1" si="6"/>
        <v>0.9</v>
      </c>
      <c r="S10" s="893">
        <f t="shared" ca="1" si="10"/>
        <v>2.5446900494077327</v>
      </c>
    </row>
    <row r="11" spans="1:27" ht="14.25" x14ac:dyDescent="0.2">
      <c r="A11" s="885" t="str">
        <f ca="1">OFFSET('DREN. REDE'!$B$3,ROWS($A$4:A11)-ROWS($A$4),0)</f>
        <v>A15</v>
      </c>
      <c r="B11" s="886" t="s">
        <v>638</v>
      </c>
      <c r="C11" s="887">
        <f ca="1">OFFSET('DREN. REDE'!$E$3,ROWS($C$4:C11)-ROWS($C$4),0)</f>
        <v>1.5</v>
      </c>
      <c r="D11" s="887">
        <f ca="1">OFFSET('DREN. REDE'!$O$3,ROWS($D$4:D11)-ROWS($D$4),0)</f>
        <v>2.8</v>
      </c>
      <c r="E11" s="887">
        <f ca="1">OFFSET('DREN. REDE'!$P$3,ROWS($E$4:E11)-ROWS($E$4),0)</f>
        <v>1.5</v>
      </c>
      <c r="F11" s="888">
        <f ca="1">OFFSET('DREN. REDE'!$C$3,ROWS($F$4:F11)-ROWS($F$4),0)</f>
        <v>50.29</v>
      </c>
      <c r="G11" s="889">
        <f t="shared" ca="1" si="7"/>
        <v>50.29</v>
      </c>
      <c r="H11" s="890">
        <f ca="1">OFFSET('DREN. REDE'!$R$3,ROWS($H$4:H11)-ROWS($H$4),0)</f>
        <v>2.1</v>
      </c>
      <c r="I11" s="890">
        <f t="shared" ca="1" si="0"/>
        <v>10.56</v>
      </c>
      <c r="J11" s="890">
        <f t="shared" ca="1" si="1"/>
        <v>227.05</v>
      </c>
      <c r="K11" s="890">
        <f t="shared" ca="1" si="2"/>
        <v>216.24</v>
      </c>
      <c r="L11" s="891">
        <f t="shared" ca="1" si="8"/>
        <v>88.51</v>
      </c>
      <c r="M11" s="892"/>
      <c r="N11" s="884" t="str">
        <f t="shared" ca="1" si="9"/>
        <v>-</v>
      </c>
      <c r="O11" s="884">
        <f t="shared" ca="1" si="3"/>
        <v>0</v>
      </c>
      <c r="P11" s="884">
        <f t="shared" ca="1" si="4"/>
        <v>0</v>
      </c>
      <c r="Q11" s="884">
        <f t="shared" ca="1" si="5"/>
        <v>0</v>
      </c>
      <c r="R11" s="884">
        <f t="shared" ca="1" si="6"/>
        <v>0.9</v>
      </c>
      <c r="S11" s="893">
        <f t="shared" ca="1" si="10"/>
        <v>2.5446900494077327</v>
      </c>
    </row>
    <row r="12" spans="1:27" ht="14.25" x14ac:dyDescent="0.2">
      <c r="A12" s="885" t="str">
        <f ca="1">OFFSET('DREN. REDE'!$B$3,ROWS($A$4:A12)-ROWS($A$4),0)</f>
        <v>A14</v>
      </c>
      <c r="B12" s="886" t="s">
        <v>638</v>
      </c>
      <c r="C12" s="887">
        <f ca="1">OFFSET('DREN. REDE'!$E$3,ROWS($C$4:C12)-ROWS($C$4),0)</f>
        <v>1.5</v>
      </c>
      <c r="D12" s="887">
        <f ca="1">OFFSET('DREN. REDE'!$O$3,ROWS($D$4:D12)-ROWS($D$4),0)</f>
        <v>1.8</v>
      </c>
      <c r="E12" s="887">
        <f ca="1">OFFSET('DREN. REDE'!$P$3,ROWS($E$4:E12)-ROWS($E$4),0)</f>
        <v>1.5</v>
      </c>
      <c r="F12" s="888">
        <f ca="1">OFFSET('DREN. REDE'!$C$3,ROWS($F$4:F12)-ROWS($F$4),0)</f>
        <v>50.3</v>
      </c>
      <c r="G12" s="889">
        <f t="shared" ca="1" si="7"/>
        <v>50.3</v>
      </c>
      <c r="H12" s="890">
        <f ca="1">OFFSET('DREN. REDE'!$R$3,ROWS($H$4:H12)-ROWS($H$4),0)</f>
        <v>2.1</v>
      </c>
      <c r="I12" s="890">
        <f t="shared" ca="1" si="0"/>
        <v>10.56</v>
      </c>
      <c r="J12" s="890">
        <f t="shared" ca="1" si="1"/>
        <v>174.28</v>
      </c>
      <c r="K12" s="890">
        <f t="shared" ca="1" si="2"/>
        <v>165.99</v>
      </c>
      <c r="L12" s="891">
        <f t="shared" ca="1" si="8"/>
        <v>35.71</v>
      </c>
      <c r="M12" s="892"/>
      <c r="N12" s="884" t="str">
        <f t="shared" ca="1" si="9"/>
        <v>-</v>
      </c>
      <c r="O12" s="884">
        <f t="shared" ca="1" si="3"/>
        <v>0</v>
      </c>
      <c r="P12" s="884">
        <f t="shared" ca="1" si="4"/>
        <v>0</v>
      </c>
      <c r="Q12" s="884">
        <f t="shared" ca="1" si="5"/>
        <v>0</v>
      </c>
      <c r="R12" s="884">
        <f t="shared" ca="1" si="6"/>
        <v>0.9</v>
      </c>
      <c r="S12" s="893">
        <f t="shared" ca="1" si="10"/>
        <v>2.5446900494077327</v>
      </c>
    </row>
    <row r="13" spans="1:27" ht="14.25" x14ac:dyDescent="0.2">
      <c r="A13" s="885" t="str">
        <f ca="1">OFFSET('DREN. REDE'!$B$3,ROWS($A$4:A13)-ROWS($A$4),0)</f>
        <v>A13</v>
      </c>
      <c r="B13" s="886" t="s">
        <v>638</v>
      </c>
      <c r="C13" s="887">
        <f ca="1">OFFSET('DREN. REDE'!$E$3,ROWS($C$4:C13)-ROWS($C$4),0)</f>
        <v>1.5</v>
      </c>
      <c r="D13" s="887">
        <f ca="1">OFFSET('DREN. REDE'!$O$3,ROWS($D$4:D13)-ROWS($D$4),0)</f>
        <v>2.1</v>
      </c>
      <c r="E13" s="887">
        <f ca="1">OFFSET('DREN. REDE'!$P$3,ROWS($E$4:E13)-ROWS($E$4),0)</f>
        <v>1.5</v>
      </c>
      <c r="F13" s="888">
        <f ca="1">OFFSET('DREN. REDE'!$C$3,ROWS($F$4:F13)-ROWS($F$4),0)</f>
        <v>49.68</v>
      </c>
      <c r="G13" s="889">
        <f t="shared" ca="1" si="7"/>
        <v>49.68</v>
      </c>
      <c r="H13" s="890">
        <f ca="1">OFFSET('DREN. REDE'!$R$3,ROWS($H$4:H13)-ROWS($H$4),0)</f>
        <v>2.1</v>
      </c>
      <c r="I13" s="890">
        <f t="shared" ca="1" si="0"/>
        <v>10.43</v>
      </c>
      <c r="J13" s="890">
        <f t="shared" ca="1" si="1"/>
        <v>187.79</v>
      </c>
      <c r="K13" s="890">
        <f t="shared" ca="1" si="2"/>
        <v>178.84</v>
      </c>
      <c r="L13" s="891">
        <f t="shared" ca="1" si="8"/>
        <v>50.93</v>
      </c>
      <c r="M13" s="892"/>
      <c r="N13" s="884" t="str">
        <f t="shared" ca="1" si="9"/>
        <v>-</v>
      </c>
      <c r="O13" s="884">
        <f t="shared" ca="1" si="3"/>
        <v>0</v>
      </c>
      <c r="P13" s="884">
        <f t="shared" ca="1" si="4"/>
        <v>0</v>
      </c>
      <c r="Q13" s="884">
        <f t="shared" ca="1" si="5"/>
        <v>0</v>
      </c>
      <c r="R13" s="884">
        <f t="shared" ca="1" si="6"/>
        <v>0.9</v>
      </c>
      <c r="S13" s="893">
        <f t="shared" ca="1" si="10"/>
        <v>2.5446900494077327</v>
      </c>
    </row>
    <row r="14" spans="1:27" ht="14.25" x14ac:dyDescent="0.2">
      <c r="A14" s="885" t="str">
        <f ca="1">OFFSET('DREN. REDE'!$B$3,ROWS($A$4:A14)-ROWS($A$4),0)</f>
        <v>A12</v>
      </c>
      <c r="B14" s="886" t="s">
        <v>638</v>
      </c>
      <c r="C14" s="887">
        <f ca="1">OFFSET('DREN. REDE'!$E$3,ROWS($C$4:C14)-ROWS($C$4),0)</f>
        <v>1.5</v>
      </c>
      <c r="D14" s="887">
        <f ca="1">OFFSET('DREN. REDE'!$O$3,ROWS($D$4:D14)-ROWS($D$4),0)</f>
        <v>2.5</v>
      </c>
      <c r="E14" s="887">
        <f ca="1">OFFSET('DREN. REDE'!$P$3,ROWS($E$4:E14)-ROWS($E$4),0)</f>
        <v>1.5</v>
      </c>
      <c r="F14" s="888">
        <f ca="1">OFFSET('DREN. REDE'!$C$3,ROWS($F$4:F14)-ROWS($F$4),0)</f>
        <v>49.69</v>
      </c>
      <c r="G14" s="889">
        <f t="shared" ca="1" si="7"/>
        <v>49.69</v>
      </c>
      <c r="H14" s="890">
        <f ca="1">OFFSET('DREN. REDE'!$R$3,ROWS($H$4:H14)-ROWS($H$4),0)</f>
        <v>2.1</v>
      </c>
      <c r="I14" s="890">
        <f t="shared" ca="1" si="0"/>
        <v>10.43</v>
      </c>
      <c r="J14" s="890">
        <f t="shared" ca="1" si="1"/>
        <v>208.69</v>
      </c>
      <c r="K14" s="890">
        <f t="shared" ca="1" si="2"/>
        <v>198.76</v>
      </c>
      <c r="L14" s="891">
        <f t="shared" ca="1" si="8"/>
        <v>71.8</v>
      </c>
      <c r="M14" s="892"/>
      <c r="N14" s="884" t="str">
        <f t="shared" ca="1" si="9"/>
        <v>-</v>
      </c>
      <c r="O14" s="884">
        <f t="shared" ca="1" si="3"/>
        <v>0</v>
      </c>
      <c r="P14" s="884">
        <f t="shared" ca="1" si="4"/>
        <v>0</v>
      </c>
      <c r="Q14" s="884">
        <f t="shared" ca="1" si="5"/>
        <v>0</v>
      </c>
      <c r="R14" s="884">
        <f t="shared" ca="1" si="6"/>
        <v>0.9</v>
      </c>
      <c r="S14" s="893">
        <f t="shared" ca="1" si="10"/>
        <v>2.5446900494077327</v>
      </c>
    </row>
    <row r="15" spans="1:27" ht="14.25" x14ac:dyDescent="0.2">
      <c r="A15" s="885" t="str">
        <f ca="1">OFFSET('DREN. REDE'!$B$3,ROWS($A$4:A15)-ROWS($A$4),0)</f>
        <v>A11</v>
      </c>
      <c r="B15" s="886" t="s">
        <v>638</v>
      </c>
      <c r="C15" s="887">
        <f ca="1">OFFSET('DREN. REDE'!$E$3,ROWS($C$4:C15)-ROWS($C$4),0)</f>
        <v>1.5</v>
      </c>
      <c r="D15" s="887">
        <f ca="1">OFFSET('DREN. REDE'!$O$3,ROWS($D$4:D15)-ROWS($D$4),0)</f>
        <v>2.2999999999999998</v>
      </c>
      <c r="E15" s="887">
        <f ca="1">OFFSET('DREN. REDE'!$P$3,ROWS($E$4:E15)-ROWS($E$4),0)</f>
        <v>1.5</v>
      </c>
      <c r="F15" s="888">
        <f ca="1">OFFSET('DREN. REDE'!$C$3,ROWS($F$4:F15)-ROWS($F$4),0)</f>
        <v>49.98</v>
      </c>
      <c r="G15" s="889">
        <f t="shared" ca="1" si="7"/>
        <v>49.98</v>
      </c>
      <c r="H15" s="890">
        <f ca="1">OFFSET('DREN. REDE'!$R$3,ROWS($H$4:H15)-ROWS($H$4),0)</f>
        <v>2.1</v>
      </c>
      <c r="I15" s="890">
        <f t="shared" ca="1" si="0"/>
        <v>10.49</v>
      </c>
      <c r="J15" s="890">
        <f t="shared" ca="1" si="1"/>
        <v>199.42</v>
      </c>
      <c r="K15" s="890">
        <f t="shared" ca="1" si="2"/>
        <v>189.92</v>
      </c>
      <c r="L15" s="891">
        <f t="shared" ca="1" si="8"/>
        <v>61.74</v>
      </c>
      <c r="M15" s="892"/>
      <c r="N15" s="884" t="str">
        <f t="shared" ca="1" si="9"/>
        <v>-</v>
      </c>
      <c r="O15" s="884">
        <f t="shared" ca="1" si="3"/>
        <v>0</v>
      </c>
      <c r="P15" s="884">
        <f t="shared" ca="1" si="4"/>
        <v>0</v>
      </c>
      <c r="Q15" s="884">
        <f t="shared" ca="1" si="5"/>
        <v>0</v>
      </c>
      <c r="R15" s="884">
        <f t="shared" ca="1" si="6"/>
        <v>0.9</v>
      </c>
      <c r="S15" s="893">
        <f t="shared" ca="1" si="10"/>
        <v>2.5446900494077327</v>
      </c>
    </row>
    <row r="16" spans="1:27" ht="14.25" x14ac:dyDescent="0.2">
      <c r="A16" s="885" t="str">
        <f ca="1">OFFSET('DREN. REDE'!$B$3,ROWS($A$4:A16)-ROWS($A$4),0)</f>
        <v>A10</v>
      </c>
      <c r="B16" s="886" t="s">
        <v>638</v>
      </c>
      <c r="C16" s="887">
        <f ca="1">OFFSET('DREN. REDE'!$E$3,ROWS($C$4:C16)-ROWS($C$4),0)</f>
        <v>1.5</v>
      </c>
      <c r="D16" s="887">
        <f ca="1">OFFSET('DREN. REDE'!$O$3,ROWS($D$4:D16)-ROWS($D$4),0)</f>
        <v>2.2999999999999998</v>
      </c>
      <c r="E16" s="887">
        <f ca="1">OFFSET('DREN. REDE'!$P$3,ROWS($E$4:E16)-ROWS($E$4),0)</f>
        <v>1.5</v>
      </c>
      <c r="F16" s="888">
        <f ca="1">OFFSET('DREN. REDE'!$C$3,ROWS($F$4:F16)-ROWS($F$4),0)</f>
        <v>49.97</v>
      </c>
      <c r="G16" s="889">
        <f t="shared" ca="1" si="7"/>
        <v>49.97</v>
      </c>
      <c r="H16" s="890">
        <f ca="1">OFFSET('DREN. REDE'!$R$3,ROWS($H$4:H16)-ROWS($H$4),0)</f>
        <v>2.1</v>
      </c>
      <c r="I16" s="890">
        <f t="shared" ca="1" si="0"/>
        <v>10.49</v>
      </c>
      <c r="J16" s="890">
        <f t="shared" ca="1" si="1"/>
        <v>199.38</v>
      </c>
      <c r="K16" s="890">
        <f t="shared" ca="1" si="2"/>
        <v>189.88</v>
      </c>
      <c r="L16" s="891">
        <f t="shared" ca="1" si="8"/>
        <v>61.72</v>
      </c>
      <c r="M16" s="892"/>
      <c r="N16" s="884" t="str">
        <f t="shared" ca="1" si="9"/>
        <v>-</v>
      </c>
      <c r="O16" s="884">
        <f t="shared" ca="1" si="3"/>
        <v>0</v>
      </c>
      <c r="P16" s="884">
        <f t="shared" ca="1" si="4"/>
        <v>0</v>
      </c>
      <c r="Q16" s="884">
        <f t="shared" ca="1" si="5"/>
        <v>0</v>
      </c>
      <c r="R16" s="884">
        <f t="shared" ca="1" si="6"/>
        <v>0.9</v>
      </c>
      <c r="S16" s="893">
        <f t="shared" ca="1" si="10"/>
        <v>2.5446900494077327</v>
      </c>
    </row>
    <row r="17" spans="1:19" ht="14.25" x14ac:dyDescent="0.2">
      <c r="A17" s="885" t="str">
        <f ca="1">OFFSET('DREN. REDE'!$B$3,ROWS($A$4:A17)-ROWS($A$4),0)</f>
        <v>A9</v>
      </c>
      <c r="B17" s="886" t="s">
        <v>638</v>
      </c>
      <c r="C17" s="887">
        <f ca="1">OFFSET('DREN. REDE'!$E$3,ROWS($C$4:C17)-ROWS($C$4),0)</f>
        <v>1.5</v>
      </c>
      <c r="D17" s="887">
        <f ca="1">OFFSET('DREN. REDE'!$O$3,ROWS($D$4:D17)-ROWS($D$4),0)</f>
        <v>2.5</v>
      </c>
      <c r="E17" s="887">
        <f ca="1">OFFSET('DREN. REDE'!$P$3,ROWS($E$4:E17)-ROWS($E$4),0)</f>
        <v>1.5</v>
      </c>
      <c r="F17" s="888">
        <f ca="1">OFFSET('DREN. REDE'!$C$3,ROWS($F$4:F17)-ROWS($F$4),0)</f>
        <v>49.99</v>
      </c>
      <c r="G17" s="889">
        <f t="shared" ca="1" si="7"/>
        <v>49.99</v>
      </c>
      <c r="H17" s="890">
        <f ca="1">OFFSET('DREN. REDE'!$R$3,ROWS($H$4:H17)-ROWS($H$4),0)</f>
        <v>2.1</v>
      </c>
      <c r="I17" s="890">
        <f t="shared" ca="1" si="0"/>
        <v>10.49</v>
      </c>
      <c r="J17" s="890">
        <f t="shared" ca="1" si="1"/>
        <v>209.95</v>
      </c>
      <c r="K17" s="890">
        <f t="shared" ca="1" si="2"/>
        <v>199.96</v>
      </c>
      <c r="L17" s="891">
        <f t="shared" ca="1" si="8"/>
        <v>72.239999999999995</v>
      </c>
      <c r="M17" s="892"/>
      <c r="N17" s="884" t="str">
        <f t="shared" ca="1" si="9"/>
        <v>-</v>
      </c>
      <c r="O17" s="884">
        <f t="shared" ca="1" si="3"/>
        <v>0</v>
      </c>
      <c r="P17" s="884">
        <f t="shared" ca="1" si="4"/>
        <v>0</v>
      </c>
      <c r="Q17" s="884">
        <f t="shared" ca="1" si="5"/>
        <v>0</v>
      </c>
      <c r="R17" s="884">
        <f t="shared" ca="1" si="6"/>
        <v>0.9</v>
      </c>
      <c r="S17" s="893">
        <f t="shared" ca="1" si="10"/>
        <v>2.5446900494077327</v>
      </c>
    </row>
    <row r="18" spans="1:19" ht="14.25" x14ac:dyDescent="0.2">
      <c r="A18" s="885" t="str">
        <f ca="1">OFFSET('DREN. REDE'!$B$3,ROWS($A$4:A18)-ROWS($A$4),0)</f>
        <v>A8</v>
      </c>
      <c r="B18" s="886" t="s">
        <v>638</v>
      </c>
      <c r="C18" s="887">
        <f ca="1">OFFSET('DREN. REDE'!$E$3,ROWS($C$4:C18)-ROWS($C$4),0)</f>
        <v>1.5</v>
      </c>
      <c r="D18" s="887">
        <f ca="1">OFFSET('DREN. REDE'!$O$3,ROWS($D$4:D18)-ROWS($D$4),0)</f>
        <v>2.9</v>
      </c>
      <c r="E18" s="887">
        <f ca="1">OFFSET('DREN. REDE'!$P$3,ROWS($E$4:E18)-ROWS($E$4),0)</f>
        <v>1.5</v>
      </c>
      <c r="F18" s="888">
        <f ca="1">OFFSET('DREN. REDE'!$C$3,ROWS($F$4:F18)-ROWS($F$4),0)</f>
        <v>49.99</v>
      </c>
      <c r="G18" s="889">
        <f t="shared" ca="1" si="7"/>
        <v>49.99</v>
      </c>
      <c r="H18" s="890">
        <f ca="1">OFFSET('DREN. REDE'!$R$3,ROWS($H$4:H18)-ROWS($H$4),0)</f>
        <v>2.1</v>
      </c>
      <c r="I18" s="890">
        <f t="shared" ca="1" si="0"/>
        <v>10.49</v>
      </c>
      <c r="J18" s="890">
        <f t="shared" ca="1" si="1"/>
        <v>230.95</v>
      </c>
      <c r="K18" s="890">
        <f t="shared" ca="1" si="2"/>
        <v>219.95</v>
      </c>
      <c r="L18" s="891">
        <f t="shared" ca="1" si="8"/>
        <v>93.24</v>
      </c>
      <c r="M18" s="892"/>
      <c r="N18" s="884" t="str">
        <f t="shared" ca="1" si="9"/>
        <v>-</v>
      </c>
      <c r="O18" s="884">
        <f t="shared" ca="1" si="3"/>
        <v>0</v>
      </c>
      <c r="P18" s="884">
        <f t="shared" ca="1" si="4"/>
        <v>0</v>
      </c>
      <c r="Q18" s="884">
        <f t="shared" ca="1" si="5"/>
        <v>0</v>
      </c>
      <c r="R18" s="884">
        <f t="shared" ca="1" si="6"/>
        <v>0.9</v>
      </c>
      <c r="S18" s="893">
        <f t="shared" ca="1" si="10"/>
        <v>2.5446900494077327</v>
      </c>
    </row>
    <row r="19" spans="1:19" ht="14.25" x14ac:dyDescent="0.2">
      <c r="A19" s="885" t="str">
        <f ca="1">OFFSET('DREN. REDE'!$B$3,ROWS($A$4:A19)-ROWS($A$4),0)</f>
        <v>A7</v>
      </c>
      <c r="B19" s="886" t="s">
        <v>638</v>
      </c>
      <c r="C19" s="887">
        <f ca="1">OFFSET('DREN. REDE'!$E$3,ROWS($C$4:C19)-ROWS($C$4),0)</f>
        <v>1.5</v>
      </c>
      <c r="D19" s="887">
        <f ca="1">OFFSET('DREN. REDE'!$O$3,ROWS($D$4:D19)-ROWS($D$4),0)</f>
        <v>2.8</v>
      </c>
      <c r="E19" s="887">
        <f ca="1">OFFSET('DREN. REDE'!$P$3,ROWS($E$4:E19)-ROWS($E$4),0)</f>
        <v>1.5</v>
      </c>
      <c r="F19" s="888">
        <f ca="1">OFFSET('DREN. REDE'!$C$3,ROWS($F$4:F19)-ROWS($F$4),0)</f>
        <v>50.29</v>
      </c>
      <c r="G19" s="889">
        <f t="shared" ca="1" si="7"/>
        <v>50.29</v>
      </c>
      <c r="H19" s="890">
        <f ca="1">OFFSET('DREN. REDE'!$R$3,ROWS($H$4:H19)-ROWS($H$4),0)</f>
        <v>2.1</v>
      </c>
      <c r="I19" s="890">
        <f t="shared" ca="1" si="0"/>
        <v>10.56</v>
      </c>
      <c r="J19" s="890">
        <f t="shared" ca="1" si="1"/>
        <v>227.05</v>
      </c>
      <c r="K19" s="890">
        <f t="shared" ca="1" si="2"/>
        <v>216.24</v>
      </c>
      <c r="L19" s="891">
        <f t="shared" ca="1" si="8"/>
        <v>88.51</v>
      </c>
      <c r="M19" s="892"/>
      <c r="N19" s="884" t="str">
        <f t="shared" ca="1" si="9"/>
        <v>-</v>
      </c>
      <c r="O19" s="884">
        <f t="shared" ca="1" si="3"/>
        <v>0</v>
      </c>
      <c r="P19" s="884">
        <f t="shared" ca="1" si="4"/>
        <v>0</v>
      </c>
      <c r="Q19" s="884">
        <f t="shared" ca="1" si="5"/>
        <v>0</v>
      </c>
      <c r="R19" s="884">
        <f t="shared" ca="1" si="6"/>
        <v>0.9</v>
      </c>
      <c r="S19" s="893">
        <f t="shared" ca="1" si="10"/>
        <v>2.5446900494077327</v>
      </c>
    </row>
    <row r="20" spans="1:19" ht="14.25" x14ac:dyDescent="0.2">
      <c r="A20" s="885" t="str">
        <f ca="1">OFFSET('DREN. REDE'!$B$3,ROWS($A$4:A20)-ROWS($A$4),0)</f>
        <v>A6</v>
      </c>
      <c r="B20" s="886" t="s">
        <v>638</v>
      </c>
      <c r="C20" s="887">
        <f ca="1">OFFSET('DREN. REDE'!$E$3,ROWS($C$4:C20)-ROWS($C$4),0)</f>
        <v>1.5</v>
      </c>
      <c r="D20" s="887">
        <f ca="1">OFFSET('DREN. REDE'!$O$3,ROWS($D$4:D20)-ROWS($D$4),0)</f>
        <v>1.8</v>
      </c>
      <c r="E20" s="887">
        <f ca="1">OFFSET('DREN. REDE'!$P$3,ROWS($E$4:E20)-ROWS($E$4),0)</f>
        <v>1.5</v>
      </c>
      <c r="F20" s="888">
        <f ca="1">OFFSET('DREN. REDE'!$C$3,ROWS($F$4:F20)-ROWS($F$4),0)</f>
        <v>50.17</v>
      </c>
      <c r="G20" s="889">
        <f t="shared" ca="1" si="7"/>
        <v>50.17</v>
      </c>
      <c r="H20" s="890">
        <f ca="1">OFFSET('DREN. REDE'!$R$3,ROWS($H$4:H20)-ROWS($H$4),0)</f>
        <v>2.1</v>
      </c>
      <c r="I20" s="890">
        <f t="shared" ca="1" si="0"/>
        <v>10.53</v>
      </c>
      <c r="J20" s="890">
        <f t="shared" ca="1" si="1"/>
        <v>173.83</v>
      </c>
      <c r="K20" s="890">
        <f t="shared" ca="1" si="2"/>
        <v>165.56</v>
      </c>
      <c r="L20" s="891">
        <f t="shared" ca="1" si="8"/>
        <v>35.619999999999997</v>
      </c>
      <c r="M20" s="892"/>
      <c r="N20" s="884" t="str">
        <f ca="1">IF((D20+E20)/2&gt;3, "SIM", "-")</f>
        <v>-</v>
      </c>
      <c r="O20" s="884">
        <f t="shared" ca="1" si="3"/>
        <v>0</v>
      </c>
      <c r="P20" s="884">
        <f t="shared" ca="1" si="4"/>
        <v>0</v>
      </c>
      <c r="Q20" s="884">
        <f t="shared" ca="1" si="5"/>
        <v>0</v>
      </c>
      <c r="R20" s="884">
        <f t="shared" ca="1" si="6"/>
        <v>0.9</v>
      </c>
      <c r="S20" s="893">
        <f t="shared" ca="1" si="10"/>
        <v>2.5446900494077327</v>
      </c>
    </row>
    <row r="21" spans="1:19" ht="14.25" x14ac:dyDescent="0.2">
      <c r="A21" s="885" t="str">
        <f ca="1">OFFSET('DREN. REDE'!$B$3,ROWS($A$4:A21)-ROWS($A$4),0)</f>
        <v>A5</v>
      </c>
      <c r="B21" s="886" t="s">
        <v>638</v>
      </c>
      <c r="C21" s="887">
        <f ca="1">OFFSET('DREN. REDE'!$E$3,ROWS($C$4:C21)-ROWS($C$4),0)</f>
        <v>1.5</v>
      </c>
      <c r="D21" s="887">
        <f ca="1">OFFSET('DREN. REDE'!$O$3,ROWS($D$4:D21)-ROWS($D$4),0)</f>
        <v>1.5</v>
      </c>
      <c r="E21" s="887">
        <f ca="1">OFFSET('DREN. REDE'!$P$3,ROWS($E$4:E21)-ROWS($E$4),0)</f>
        <v>1.5</v>
      </c>
      <c r="F21" s="888">
        <f ca="1">OFFSET('DREN. REDE'!$C$3,ROWS($F$4:F21)-ROWS($F$4),0)</f>
        <v>46.36</v>
      </c>
      <c r="G21" s="889">
        <f t="shared" ca="1" si="7"/>
        <v>46.36</v>
      </c>
      <c r="H21" s="890">
        <f ca="1">OFFSET('DREN. REDE'!$R$3,ROWS($H$4:H21)-ROWS($H$4),0)</f>
        <v>2.1</v>
      </c>
      <c r="I21" s="890">
        <f t="shared" ca="1" si="0"/>
        <v>9.73</v>
      </c>
      <c r="J21" s="890">
        <f t="shared" ca="1" si="1"/>
        <v>146.03</v>
      </c>
      <c r="K21" s="890">
        <f t="shared" ca="1" si="2"/>
        <v>139.08000000000001</v>
      </c>
      <c r="L21" s="891">
        <f t="shared" ca="1" si="8"/>
        <v>18.32</v>
      </c>
      <c r="M21" s="892"/>
      <c r="N21" s="884" t="str">
        <f t="shared" ref="N21:N34" ca="1" si="11">IF((D21+E21)/2&gt;3, "SIM", "-")</f>
        <v>-</v>
      </c>
      <c r="O21" s="884">
        <f t="shared" ca="1" si="3"/>
        <v>0</v>
      </c>
      <c r="P21" s="884">
        <f t="shared" ca="1" si="4"/>
        <v>0</v>
      </c>
      <c r="Q21" s="884">
        <f t="shared" ca="1" si="5"/>
        <v>0</v>
      </c>
      <c r="R21" s="884">
        <f t="shared" ca="1" si="6"/>
        <v>0.9</v>
      </c>
      <c r="S21" s="893">
        <f t="shared" ca="1" si="10"/>
        <v>2.5446900494077327</v>
      </c>
    </row>
    <row r="22" spans="1:19" ht="14.25" x14ac:dyDescent="0.2">
      <c r="A22" s="885" t="str">
        <f ca="1">OFFSET('DREN. REDE'!$B$3,ROWS($A$4:A22)-ROWS($A$4),0)</f>
        <v>A4</v>
      </c>
      <c r="B22" s="886" t="s">
        <v>638</v>
      </c>
      <c r="C22" s="887">
        <f ca="1">OFFSET('DREN. REDE'!$E$3,ROWS($C$4:C22)-ROWS($C$4),0)</f>
        <v>1.5</v>
      </c>
      <c r="D22" s="887">
        <f ca="1">OFFSET('DREN. REDE'!$O$3,ROWS($D$4:D22)-ROWS($D$4),0)</f>
        <v>2.2000000000000002</v>
      </c>
      <c r="E22" s="887">
        <f ca="1">OFFSET('DREN. REDE'!$P$3,ROWS($E$4:E22)-ROWS($E$4),0)</f>
        <v>1.5</v>
      </c>
      <c r="F22" s="888">
        <f ca="1">OFFSET('DREN. REDE'!$C$3,ROWS($F$4:F22)-ROWS($F$4),0)</f>
        <v>24.4</v>
      </c>
      <c r="G22" s="889">
        <f t="shared" ca="1" si="7"/>
        <v>24.4</v>
      </c>
      <c r="H22" s="890">
        <f ca="1">OFFSET('DREN. REDE'!$R$3,ROWS($H$4:H22)-ROWS($H$4),0)</f>
        <v>2.1</v>
      </c>
      <c r="I22" s="890">
        <f t="shared" ca="1" si="0"/>
        <v>5.12</v>
      </c>
      <c r="J22" s="890">
        <f t="shared" ca="1" si="1"/>
        <v>94.79</v>
      </c>
      <c r="K22" s="890">
        <f t="shared" ca="1" si="2"/>
        <v>90.28</v>
      </c>
      <c r="L22" s="891">
        <f t="shared" ca="1" si="8"/>
        <v>27.57</v>
      </c>
      <c r="M22" s="892"/>
      <c r="N22" s="884" t="str">
        <f t="shared" ca="1" si="11"/>
        <v>-</v>
      </c>
      <c r="O22" s="884">
        <f t="shared" ca="1" si="3"/>
        <v>0</v>
      </c>
      <c r="P22" s="884">
        <f t="shared" ca="1" si="4"/>
        <v>0</v>
      </c>
      <c r="Q22" s="884">
        <f t="shared" ca="1" si="5"/>
        <v>0</v>
      </c>
      <c r="R22" s="884">
        <f t="shared" ca="1" si="6"/>
        <v>0.9</v>
      </c>
      <c r="S22" s="893">
        <f t="shared" ca="1" si="10"/>
        <v>2.5446900494077327</v>
      </c>
    </row>
    <row r="23" spans="1:19" ht="14.25" x14ac:dyDescent="0.2">
      <c r="A23" s="885" t="str">
        <f ca="1">OFFSET('DREN. REDE'!$B$3,ROWS($A$4:A23)-ROWS($A$4),0)</f>
        <v>A3</v>
      </c>
      <c r="B23" s="886" t="s">
        <v>638</v>
      </c>
      <c r="C23" s="887">
        <f ca="1">OFFSET('DREN. REDE'!$E$3,ROWS($C$4:C23)-ROWS($C$4),0)</f>
        <v>1.5</v>
      </c>
      <c r="D23" s="887">
        <f ca="1">OFFSET('DREN. REDE'!$O$3,ROWS($D$4:D23)-ROWS($D$4),0)</f>
        <v>2.8</v>
      </c>
      <c r="E23" s="887">
        <f ca="1">OFFSET('DREN. REDE'!$P$3,ROWS($E$4:E23)-ROWS($E$4),0)</f>
        <v>1.5</v>
      </c>
      <c r="F23" s="888">
        <f ca="1">OFFSET('DREN. REDE'!$C$3,ROWS($F$4:F23)-ROWS($F$4),0)</f>
        <v>24.4</v>
      </c>
      <c r="G23" s="889">
        <f t="shared" ca="1" si="7"/>
        <v>24.4</v>
      </c>
      <c r="H23" s="890">
        <f ca="1">OFFSET('DREN. REDE'!$R$3,ROWS($H$4:H23)-ROWS($H$4),0)</f>
        <v>2.1</v>
      </c>
      <c r="I23" s="890">
        <f t="shared" ca="1" si="0"/>
        <v>5.12</v>
      </c>
      <c r="J23" s="890">
        <f t="shared" ca="1" si="1"/>
        <v>110.16</v>
      </c>
      <c r="K23" s="890">
        <f t="shared" ca="1" si="2"/>
        <v>104.92</v>
      </c>
      <c r="L23" s="891">
        <f t="shared" ca="1" si="8"/>
        <v>42.94</v>
      </c>
      <c r="M23" s="892"/>
      <c r="N23" s="884" t="str">
        <f t="shared" ca="1" si="11"/>
        <v>-</v>
      </c>
      <c r="O23" s="884">
        <f t="shared" ca="1" si="3"/>
        <v>0</v>
      </c>
      <c r="P23" s="884">
        <f t="shared" ca="1" si="4"/>
        <v>0</v>
      </c>
      <c r="Q23" s="884">
        <f t="shared" ca="1" si="5"/>
        <v>0</v>
      </c>
      <c r="R23" s="884">
        <f t="shared" ca="1" si="6"/>
        <v>0.9</v>
      </c>
      <c r="S23" s="893">
        <f t="shared" ca="1" si="10"/>
        <v>2.5446900494077327</v>
      </c>
    </row>
    <row r="24" spans="1:19" ht="14.25" x14ac:dyDescent="0.2">
      <c r="A24" s="885" t="str">
        <f ca="1">OFFSET('DREN. REDE'!$B$3,ROWS($A$4:A24)-ROWS($A$4),0)</f>
        <v>A2</v>
      </c>
      <c r="B24" s="886" t="s">
        <v>638</v>
      </c>
      <c r="C24" s="887">
        <f ca="1">OFFSET('DREN. REDE'!$E$3,ROWS($C$4:C24)-ROWS($C$4),0)</f>
        <v>1.5</v>
      </c>
      <c r="D24" s="887">
        <f ca="1">OFFSET('DREN. REDE'!$O$3,ROWS($D$4:D24)-ROWS($D$4),0)</f>
        <v>2.2999999999999998</v>
      </c>
      <c r="E24" s="887">
        <f ca="1">OFFSET('DREN. REDE'!$P$3,ROWS($E$4:E24)-ROWS($E$4),0)</f>
        <v>1.5</v>
      </c>
      <c r="F24" s="888">
        <f ca="1">OFFSET('DREN. REDE'!$C$3,ROWS($F$4:F24)-ROWS($F$4),0)</f>
        <v>24.4</v>
      </c>
      <c r="G24" s="889">
        <f t="shared" ca="1" si="7"/>
        <v>24.4</v>
      </c>
      <c r="H24" s="890">
        <f ca="1">OFFSET('DREN. REDE'!$R$3,ROWS($H$4:H24)-ROWS($H$4),0)</f>
        <v>2.1</v>
      </c>
      <c r="I24" s="890">
        <f t="shared" ca="1" si="0"/>
        <v>5.12</v>
      </c>
      <c r="J24" s="890">
        <f t="shared" ca="1" si="1"/>
        <v>97.35</v>
      </c>
      <c r="K24" s="890">
        <f t="shared" ca="1" si="2"/>
        <v>92.72</v>
      </c>
      <c r="L24" s="891">
        <f t="shared" ca="1" si="8"/>
        <v>30.13</v>
      </c>
      <c r="M24" s="892"/>
      <c r="N24" s="884" t="str">
        <f t="shared" ca="1" si="11"/>
        <v>-</v>
      </c>
      <c r="O24" s="884">
        <f t="shared" ca="1" si="3"/>
        <v>0</v>
      </c>
      <c r="P24" s="884">
        <f t="shared" ca="1" si="4"/>
        <v>0</v>
      </c>
      <c r="Q24" s="884">
        <f t="shared" ca="1" si="5"/>
        <v>0</v>
      </c>
      <c r="R24" s="884">
        <f t="shared" ca="1" si="6"/>
        <v>0.9</v>
      </c>
      <c r="S24" s="893">
        <f t="shared" ca="1" si="10"/>
        <v>2.5446900494077327</v>
      </c>
    </row>
    <row r="25" spans="1:19" ht="14.25" x14ac:dyDescent="0.2">
      <c r="A25" s="885" t="str">
        <f ca="1">OFFSET('DREN. REDE'!$B$3,ROWS($A$4:A25)-ROWS($A$4),0)</f>
        <v>A1</v>
      </c>
      <c r="B25" s="886" t="s">
        <v>638</v>
      </c>
      <c r="C25" s="887">
        <f ca="1">OFFSET('DREN. REDE'!$E$3,ROWS($C$4:C25)-ROWS($C$4),0)</f>
        <v>1.5</v>
      </c>
      <c r="D25" s="887">
        <f ca="1">OFFSET('DREN. REDE'!$O$3,ROWS($D$4:D25)-ROWS($D$4),0)</f>
        <v>1.5</v>
      </c>
      <c r="E25" s="887">
        <f ca="1">OFFSET('DREN. REDE'!$P$3,ROWS($E$4:E25)-ROWS($E$4),0)</f>
        <v>0</v>
      </c>
      <c r="F25" s="888">
        <f ca="1">OFFSET('DREN. REDE'!$C$3,ROWS($F$4:F25)-ROWS($F$4),0)</f>
        <v>74.17</v>
      </c>
      <c r="G25" s="889">
        <f t="shared" ca="1" si="7"/>
        <v>74.17</v>
      </c>
      <c r="H25" s="890">
        <f ca="1">OFFSET('DREN. REDE'!$R$3,ROWS($H$4:H25)-ROWS($H$4),0)</f>
        <v>2.1</v>
      </c>
      <c r="I25" s="890">
        <f t="shared" ca="1" si="0"/>
        <v>15.57</v>
      </c>
      <c r="J25" s="890">
        <f t="shared" ca="1" si="1"/>
        <v>116.81</v>
      </c>
      <c r="K25" s="890">
        <f t="shared" ca="1" si="2"/>
        <v>111.25</v>
      </c>
      <c r="L25" s="891">
        <f t="shared" ca="1" si="8"/>
        <v>-87.5</v>
      </c>
      <c r="M25" s="892"/>
      <c r="N25" s="884" t="str">
        <f t="shared" ca="1" si="11"/>
        <v>-</v>
      </c>
      <c r="O25" s="884">
        <f t="shared" ca="1" si="3"/>
        <v>0</v>
      </c>
      <c r="P25" s="884">
        <f t="shared" ca="1" si="4"/>
        <v>0</v>
      </c>
      <c r="Q25" s="884">
        <f t="shared" ca="1" si="5"/>
        <v>0</v>
      </c>
      <c r="R25" s="884">
        <f t="shared" ca="1" si="6"/>
        <v>0.9</v>
      </c>
      <c r="S25" s="893">
        <f t="shared" ca="1" si="10"/>
        <v>2.5446900494077327</v>
      </c>
    </row>
    <row r="26" spans="1:19" ht="14.25" x14ac:dyDescent="0.2">
      <c r="A26" s="885" t="str">
        <f ca="1">OFFSET('DREN. REDE'!$B$3,ROWS($A$4:A26)-ROWS($A$4),0)</f>
        <v>A22.2</v>
      </c>
      <c r="B26" s="886" t="s">
        <v>638</v>
      </c>
      <c r="C26" s="887">
        <f ca="1">OFFSET('DREN. REDE'!$E$3,ROWS($C$4:C26)-ROWS($C$4),0)</f>
        <v>0.6</v>
      </c>
      <c r="D26" s="887">
        <f ca="1">OFFSET('DREN. REDE'!$O$3,ROWS($D$4:D26)-ROWS($D$4),0)</f>
        <v>1.5</v>
      </c>
      <c r="E26" s="887">
        <f ca="1">OFFSET('DREN. REDE'!$P$3,ROWS($E$4:E26)-ROWS($E$4),0)</f>
        <v>1.5</v>
      </c>
      <c r="F26" s="888">
        <f ca="1">OFFSET('DREN. REDE'!$C$3,ROWS($F$4:F26)-ROWS($F$4),0)</f>
        <v>63.75</v>
      </c>
      <c r="G26" s="889">
        <f t="shared" ca="1" si="7"/>
        <v>63.75</v>
      </c>
      <c r="H26" s="890">
        <f ca="1">OFFSET('DREN. REDE'!$R$3,ROWS($H$4:H26)-ROWS($H$4),0)</f>
        <v>1.2</v>
      </c>
      <c r="I26" s="890">
        <f t="shared" ca="1" si="0"/>
        <v>7.65</v>
      </c>
      <c r="J26" s="890">
        <f t="shared" ca="1" si="1"/>
        <v>114.75</v>
      </c>
      <c r="K26" s="890">
        <f t="shared" ca="1" si="2"/>
        <v>191.25</v>
      </c>
      <c r="L26" s="891">
        <f t="shared" ca="1" si="8"/>
        <v>81.14</v>
      </c>
      <c r="M26" s="892"/>
      <c r="N26" s="884" t="str">
        <f t="shared" ca="1" si="11"/>
        <v>-</v>
      </c>
      <c r="O26" s="884">
        <f t="shared" ca="1" si="3"/>
        <v>0</v>
      </c>
      <c r="P26" s="884">
        <f t="shared" ca="1" si="4"/>
        <v>0</v>
      </c>
      <c r="Q26" s="884">
        <f t="shared" ca="1" si="5"/>
        <v>0</v>
      </c>
      <c r="R26" s="884">
        <f t="shared" ca="1" si="6"/>
        <v>0.36</v>
      </c>
      <c r="S26" s="893">
        <f t="shared" ca="1" si="10"/>
        <v>0.40715040790523715</v>
      </c>
    </row>
    <row r="27" spans="1:19" ht="14.25" x14ac:dyDescent="0.2">
      <c r="A27" s="885" t="str">
        <f ca="1">OFFSET('DREN. REDE'!$B$3,ROWS($A$4:A27)-ROWS($A$4),0)</f>
        <v>A22.1</v>
      </c>
      <c r="B27" s="886" t="s">
        <v>638</v>
      </c>
      <c r="C27" s="887">
        <f ca="1">OFFSET('DREN. REDE'!$E$3,ROWS($C$4:C27)-ROWS($C$4),0)</f>
        <v>0.6</v>
      </c>
      <c r="D27" s="887">
        <f ca="1">OFFSET('DREN. REDE'!$O$3,ROWS($D$4:D27)-ROWS($D$4),0)</f>
        <v>1.5</v>
      </c>
      <c r="E27" s="887">
        <f ca="1">OFFSET('DREN. REDE'!$P$3,ROWS($E$4:E27)-ROWS($E$4),0)</f>
        <v>1.5</v>
      </c>
      <c r="F27" s="888">
        <f ca="1">OFFSET('DREN. REDE'!$C$3,ROWS($F$4:F27)-ROWS($F$4),0)</f>
        <v>50.28</v>
      </c>
      <c r="G27" s="889">
        <f t="shared" ca="1" si="7"/>
        <v>50.28</v>
      </c>
      <c r="H27" s="890">
        <f ca="1">OFFSET('DREN. REDE'!$R$3,ROWS($H$4:H27)-ROWS($H$4),0)</f>
        <v>1.2</v>
      </c>
      <c r="I27" s="890">
        <f t="shared" ca="1" si="0"/>
        <v>6.03</v>
      </c>
      <c r="J27" s="890">
        <f t="shared" ca="1" si="1"/>
        <v>90.5</v>
      </c>
      <c r="K27" s="890">
        <f t="shared" ca="1" si="2"/>
        <v>150.84</v>
      </c>
      <c r="L27" s="891">
        <v>0</v>
      </c>
      <c r="M27" s="892"/>
      <c r="N27" s="884" t="str">
        <f t="shared" ca="1" si="11"/>
        <v>-</v>
      </c>
      <c r="O27" s="884">
        <f t="shared" ca="1" si="3"/>
        <v>0</v>
      </c>
      <c r="P27" s="884">
        <f t="shared" ca="1" si="4"/>
        <v>0</v>
      </c>
      <c r="Q27" s="884">
        <f t="shared" ca="1" si="5"/>
        <v>0</v>
      </c>
      <c r="R27" s="884">
        <f t="shared" ca="1" si="6"/>
        <v>0.36</v>
      </c>
      <c r="S27" s="893">
        <f t="shared" ca="1" si="10"/>
        <v>0.40715040790523715</v>
      </c>
    </row>
    <row r="28" spans="1:19" ht="14.25" x14ac:dyDescent="0.2">
      <c r="A28" s="885" t="str">
        <f ca="1">OFFSET('DREN. REDE'!$B$3,ROWS($A$4:A28)-ROWS($A$4),0)</f>
        <v>A22</v>
      </c>
      <c r="B28" s="886" t="s">
        <v>638</v>
      </c>
      <c r="C28" s="887">
        <f ca="1">OFFSET('DREN. REDE'!$E$3,ROWS($C$4:C28)-ROWS($C$4),0)</f>
        <v>1</v>
      </c>
      <c r="D28" s="887">
        <f ca="1">OFFSET('DREN. REDE'!$O$3,ROWS($D$4:D28)-ROWS($D$4),0)</f>
        <v>1.9</v>
      </c>
      <c r="E28" s="887">
        <f ca="1">OFFSET('DREN. REDE'!$P$3,ROWS($E$4:E28)-ROWS($E$4),0)</f>
        <v>1.9</v>
      </c>
      <c r="F28" s="888">
        <f ca="1">OFFSET('DREN. REDE'!$C$3,ROWS($F$4:F28)-ROWS($F$4),0)</f>
        <v>64.010000000000005</v>
      </c>
      <c r="G28" s="889">
        <f t="shared" ca="1" si="7"/>
        <v>64.010000000000005</v>
      </c>
      <c r="H28" s="890">
        <f ca="1">OFFSET('DREN. REDE'!$R$3,ROWS($H$4:H28)-ROWS($H$4),0)</f>
        <v>1.6</v>
      </c>
      <c r="I28" s="890">
        <f t="shared" ca="1" si="0"/>
        <v>10.24</v>
      </c>
      <c r="J28" s="890">
        <f t="shared" ca="1" si="1"/>
        <v>194.59</v>
      </c>
      <c r="K28" s="890">
        <f t="shared" ca="1" si="2"/>
        <v>243.23</v>
      </c>
      <c r="L28" s="891">
        <f t="shared" ca="1" si="8"/>
        <v>111.95</v>
      </c>
      <c r="M28" s="892"/>
      <c r="N28" s="884" t="str">
        <f t="shared" ca="1" si="11"/>
        <v>-</v>
      </c>
      <c r="O28" s="884">
        <f t="shared" ca="1" si="3"/>
        <v>0</v>
      </c>
      <c r="P28" s="884">
        <f t="shared" ca="1" si="4"/>
        <v>0</v>
      </c>
      <c r="Q28" s="884">
        <f t="shared" ca="1" si="5"/>
        <v>0</v>
      </c>
      <c r="R28" s="884">
        <f t="shared" ca="1" si="6"/>
        <v>0.6</v>
      </c>
      <c r="S28" s="893">
        <f t="shared" ca="1" si="10"/>
        <v>1.1309733552923256</v>
      </c>
    </row>
    <row r="29" spans="1:19" ht="14.25" x14ac:dyDescent="0.2">
      <c r="A29" s="885" t="str">
        <f ca="1">OFFSET('DREN. REDE'!$B$3,ROWS($A$4:A29)-ROWS($A$4),0)</f>
        <v>A21</v>
      </c>
      <c r="B29" s="886" t="s">
        <v>638</v>
      </c>
      <c r="C29" s="887">
        <f ca="1">OFFSET('DREN. REDE'!$E$3,ROWS($C$4:C29)-ROWS($C$4),0)</f>
        <v>1</v>
      </c>
      <c r="D29" s="887">
        <f ca="1">OFFSET('DREN. REDE'!$O$3,ROWS($D$4:D29)-ROWS($D$4),0)</f>
        <v>1.9</v>
      </c>
      <c r="E29" s="887">
        <f ca="1">OFFSET('DREN. REDE'!$P$3,ROWS($E$4:E29)-ROWS($E$4),0)</f>
        <v>1.9</v>
      </c>
      <c r="F29" s="888">
        <f ca="1">OFFSET('DREN. REDE'!$C$3,ROWS($F$4:F29)-ROWS($F$4),0)</f>
        <v>87.96</v>
      </c>
      <c r="G29" s="889">
        <f t="shared" ca="1" si="7"/>
        <v>87.96</v>
      </c>
      <c r="H29" s="890">
        <f ca="1">OFFSET('DREN. REDE'!$R$3,ROWS($H$4:H29)-ROWS($H$4),0)</f>
        <v>1.6</v>
      </c>
      <c r="I29" s="890">
        <f t="shared" ca="1" si="0"/>
        <v>14.07</v>
      </c>
      <c r="J29" s="890">
        <f t="shared" ca="1" si="1"/>
        <v>267.39</v>
      </c>
      <c r="K29" s="890">
        <f t="shared" ca="1" si="2"/>
        <v>334.24</v>
      </c>
      <c r="L29" s="891">
        <f t="shared" ca="1" si="8"/>
        <v>153.83000000000001</v>
      </c>
      <c r="M29" s="892"/>
      <c r="N29" s="884" t="str">
        <f t="shared" ca="1" si="11"/>
        <v>-</v>
      </c>
      <c r="O29" s="884">
        <f t="shared" ca="1" si="3"/>
        <v>0</v>
      </c>
      <c r="P29" s="884">
        <f t="shared" ca="1" si="4"/>
        <v>0</v>
      </c>
      <c r="Q29" s="884">
        <f t="shared" ca="1" si="5"/>
        <v>0</v>
      </c>
      <c r="R29" s="884">
        <f t="shared" ca="1" si="6"/>
        <v>0.6</v>
      </c>
      <c r="S29" s="893">
        <f t="shared" ca="1" si="10"/>
        <v>1.1309733552923256</v>
      </c>
    </row>
    <row r="30" spans="1:19" ht="14.25" x14ac:dyDescent="0.2">
      <c r="A30" s="885" t="str">
        <f ca="1">OFFSET('DREN. REDE'!$B$3,ROWS($A$4:A30)-ROWS($A$4),0)</f>
        <v>A20</v>
      </c>
      <c r="B30" s="886" t="s">
        <v>638</v>
      </c>
      <c r="C30" s="887">
        <f ca="1">OFFSET('DREN. REDE'!$E$3,ROWS($C$4:C30)-ROWS($C$4),0)</f>
        <v>1</v>
      </c>
      <c r="D30" s="887">
        <f ca="1">OFFSET('DREN. REDE'!$O$3,ROWS($D$4:D30)-ROWS($D$4),0)</f>
        <v>1.9</v>
      </c>
      <c r="E30" s="887">
        <f ca="1">OFFSET('DREN. REDE'!$P$3,ROWS($E$4:E30)-ROWS($E$4),0)</f>
        <v>1.9</v>
      </c>
      <c r="F30" s="888">
        <f ca="1">OFFSET('DREN. REDE'!$C$3,ROWS($F$4:F30)-ROWS($F$4),0)</f>
        <v>52.67</v>
      </c>
      <c r="G30" s="889">
        <f t="shared" ca="1" si="7"/>
        <v>52.67</v>
      </c>
      <c r="H30" s="890">
        <f ca="1">OFFSET('DREN. REDE'!$R$3,ROWS($H$4:H30)-ROWS($H$4),0)</f>
        <v>1.6</v>
      </c>
      <c r="I30" s="890">
        <f t="shared" ca="1" si="0"/>
        <v>8.42</v>
      </c>
      <c r="J30" s="890">
        <f t="shared" ca="1" si="1"/>
        <v>160.11000000000001</v>
      </c>
      <c r="K30" s="890">
        <f t="shared" ca="1" si="2"/>
        <v>200.14</v>
      </c>
      <c r="L30" s="891">
        <f t="shared" ca="1" si="8"/>
        <v>92.11</v>
      </c>
      <c r="M30" s="892"/>
      <c r="N30" s="884" t="str">
        <f t="shared" ca="1" si="11"/>
        <v>-</v>
      </c>
      <c r="O30" s="884">
        <f t="shared" ca="1" si="3"/>
        <v>0</v>
      </c>
      <c r="P30" s="884">
        <f t="shared" ca="1" si="4"/>
        <v>0</v>
      </c>
      <c r="Q30" s="884">
        <f t="shared" ca="1" si="5"/>
        <v>0</v>
      </c>
      <c r="R30" s="884">
        <f t="shared" ca="1" si="6"/>
        <v>0.6</v>
      </c>
      <c r="S30" s="893">
        <f t="shared" ca="1" si="10"/>
        <v>1.1309733552923256</v>
      </c>
    </row>
    <row r="31" spans="1:19" ht="14.25" x14ac:dyDescent="0.2">
      <c r="A31" s="885" t="str">
        <f ca="1">OFFSET('DREN. REDE'!$B$3,ROWS($A$4:A31)-ROWS($A$4),0)</f>
        <v>A19</v>
      </c>
      <c r="B31" s="886" t="s">
        <v>638</v>
      </c>
      <c r="C31" s="887">
        <f ca="1">OFFSET('DREN. REDE'!$E$3,ROWS($C$4:C31)-ROWS($C$4),0)</f>
        <v>1</v>
      </c>
      <c r="D31" s="887">
        <f ca="1">OFFSET('DREN. REDE'!$O$3,ROWS($D$4:D31)-ROWS($D$4),0)</f>
        <v>1.92</v>
      </c>
      <c r="E31" s="887">
        <f ca="1">OFFSET('DREN. REDE'!$P$3,ROWS($E$4:E31)-ROWS($E$4),0)</f>
        <v>1.9</v>
      </c>
      <c r="F31" s="888">
        <f ca="1">OFFSET('DREN. REDE'!$C$3,ROWS($F$4:F31)-ROWS($F$4),0)</f>
        <v>61.58</v>
      </c>
      <c r="G31" s="889">
        <f t="shared" ca="1" si="7"/>
        <v>61.58</v>
      </c>
      <c r="H31" s="890">
        <f ca="1">OFFSET('DREN. REDE'!$R$3,ROWS($H$4:H31)-ROWS($H$4),0)</f>
        <v>1.6</v>
      </c>
      <c r="I31" s="890">
        <f t="shared" ca="1" si="0"/>
        <v>9.85</v>
      </c>
      <c r="J31" s="890">
        <f t="shared" ca="1" si="1"/>
        <v>188.18</v>
      </c>
      <c r="K31" s="890">
        <f t="shared" ca="1" si="2"/>
        <v>235.23</v>
      </c>
      <c r="L31" s="891">
        <f t="shared" ca="1" si="8"/>
        <v>108.68</v>
      </c>
      <c r="M31" s="892"/>
      <c r="N31" s="884" t="str">
        <f t="shared" ca="1" si="11"/>
        <v>-</v>
      </c>
      <c r="O31" s="884">
        <f t="shared" ca="1" si="3"/>
        <v>0</v>
      </c>
      <c r="P31" s="884">
        <f t="shared" ca="1" si="4"/>
        <v>0</v>
      </c>
      <c r="Q31" s="884">
        <f t="shared" ca="1" si="5"/>
        <v>0</v>
      </c>
      <c r="R31" s="884">
        <f t="shared" ca="1" si="6"/>
        <v>0.6</v>
      </c>
      <c r="S31" s="893">
        <f t="shared" ca="1" si="10"/>
        <v>1.1309733552923256</v>
      </c>
    </row>
    <row r="32" spans="1:19" ht="14.25" x14ac:dyDescent="0.2">
      <c r="A32" s="885" t="str">
        <f ca="1">OFFSET('DREN. REDE'!$B$3,ROWS($A$4:A32)-ROWS($A$4),0)</f>
        <v>A26.2</v>
      </c>
      <c r="B32" s="886" t="s">
        <v>638</v>
      </c>
      <c r="C32" s="887">
        <f ca="1">OFFSET('DREN. REDE'!$E$3,ROWS($C$4:C32)-ROWS($C$4),0)</f>
        <v>0.6</v>
      </c>
      <c r="D32" s="887">
        <f ca="1">OFFSET('DREN. REDE'!$O$3,ROWS($D$4:D32)-ROWS($D$4),0)</f>
        <v>1.5</v>
      </c>
      <c r="E32" s="887">
        <f ca="1">OFFSET('DREN. REDE'!$P$3,ROWS($E$4:E32)-ROWS($E$4),0)</f>
        <v>1.5</v>
      </c>
      <c r="F32" s="888">
        <f ca="1">OFFSET('DREN. REDE'!$C$3,ROWS($F$4:F32)-ROWS($F$4),0)</f>
        <v>55.09</v>
      </c>
      <c r="G32" s="889">
        <f t="shared" ca="1" si="7"/>
        <v>55.09</v>
      </c>
      <c r="H32" s="890">
        <f ca="1">OFFSET('DREN. REDE'!$R$3,ROWS($H$4:H32)-ROWS($H$4),0)</f>
        <v>1.2</v>
      </c>
      <c r="I32" s="890">
        <f t="shared" ca="1" si="0"/>
        <v>6.61</v>
      </c>
      <c r="J32" s="890">
        <f t="shared" ca="1" si="1"/>
        <v>99.16</v>
      </c>
      <c r="K32" s="890">
        <f t="shared" ca="1" si="2"/>
        <v>165.27</v>
      </c>
      <c r="L32" s="891">
        <f t="shared" ca="1" si="8"/>
        <v>70.11</v>
      </c>
      <c r="M32" s="892"/>
      <c r="N32" s="884" t="str">
        <f t="shared" ca="1" si="11"/>
        <v>-</v>
      </c>
      <c r="O32" s="884">
        <f t="shared" ca="1" si="3"/>
        <v>0</v>
      </c>
      <c r="P32" s="884">
        <f t="shared" ca="1" si="4"/>
        <v>0</v>
      </c>
      <c r="Q32" s="884">
        <f t="shared" ca="1" si="5"/>
        <v>0</v>
      </c>
      <c r="R32" s="884">
        <f t="shared" ca="1" si="6"/>
        <v>0.36</v>
      </c>
      <c r="S32" s="893">
        <f t="shared" ca="1" si="10"/>
        <v>0.40715040790523715</v>
      </c>
    </row>
    <row r="33" spans="1:19" ht="14.25" x14ac:dyDescent="0.2">
      <c r="A33" s="885" t="str">
        <f ca="1">OFFSET('DREN. REDE'!$B$3,ROWS($A$4:A33)-ROWS($A$4),0)</f>
        <v>A26.1</v>
      </c>
      <c r="B33" s="886" t="s">
        <v>638</v>
      </c>
      <c r="C33" s="887">
        <f ca="1">OFFSET('DREN. REDE'!$E$3,ROWS($C$4:C33)-ROWS($C$4),0)</f>
        <v>0.6</v>
      </c>
      <c r="D33" s="887">
        <f ca="1">OFFSET('DREN. REDE'!$O$3,ROWS($D$4:D33)-ROWS($D$4),0)</f>
        <v>1.5</v>
      </c>
      <c r="E33" s="887">
        <f ca="1">OFFSET('DREN. REDE'!$P$3,ROWS($E$4:E33)-ROWS($E$4),0)</f>
        <v>1.5</v>
      </c>
      <c r="F33" s="888">
        <f ca="1">OFFSET('DREN. REDE'!$C$3,ROWS($F$4:F33)-ROWS($F$4),0)</f>
        <v>58.21</v>
      </c>
      <c r="G33" s="889">
        <f t="shared" ca="1" si="7"/>
        <v>58.21</v>
      </c>
      <c r="H33" s="890">
        <f ca="1">OFFSET('DREN. REDE'!$R$3,ROWS($H$4:H33)-ROWS($H$4),0)</f>
        <v>1.2</v>
      </c>
      <c r="I33" s="890">
        <f t="shared" ca="1" si="0"/>
        <v>6.98</v>
      </c>
      <c r="J33" s="890">
        <f t="shared" ca="1" si="1"/>
        <v>104.77</v>
      </c>
      <c r="K33" s="890">
        <f t="shared" ca="1" si="2"/>
        <v>174.63</v>
      </c>
      <c r="L33" s="891">
        <f t="shared" ca="1" si="8"/>
        <v>74.08</v>
      </c>
      <c r="M33" s="892"/>
      <c r="N33" s="884" t="str">
        <f t="shared" ca="1" si="11"/>
        <v>-</v>
      </c>
      <c r="O33" s="884">
        <f t="shared" ca="1" si="3"/>
        <v>0</v>
      </c>
      <c r="P33" s="884">
        <f t="shared" ca="1" si="4"/>
        <v>0</v>
      </c>
      <c r="Q33" s="884">
        <f t="shared" ca="1" si="5"/>
        <v>0</v>
      </c>
      <c r="R33" s="884">
        <f t="shared" ca="1" si="6"/>
        <v>0.36</v>
      </c>
      <c r="S33" s="893">
        <f t="shared" ca="1" si="10"/>
        <v>0.40715040790523715</v>
      </c>
    </row>
    <row r="34" spans="1:19" ht="14.25" x14ac:dyDescent="0.2">
      <c r="A34" s="885" t="str">
        <f ca="1">OFFSET('DREN. REDE'!$B$3,ROWS($A$4:A34)-ROWS($A$4),0)</f>
        <v>A26</v>
      </c>
      <c r="B34" s="886" t="s">
        <v>638</v>
      </c>
      <c r="C34" s="887">
        <f ca="1">OFFSET('DREN. REDE'!$E$3,ROWS($C$4:C34)-ROWS($C$4),0)</f>
        <v>0.8</v>
      </c>
      <c r="D34" s="887">
        <f ca="1">OFFSET('DREN. REDE'!$O$3,ROWS($D$4:D34)-ROWS($D$4),0)</f>
        <v>1.7</v>
      </c>
      <c r="E34" s="887">
        <f ca="1">OFFSET('DREN. REDE'!$P$3,ROWS($E$4:E34)-ROWS($E$4),0)</f>
        <v>1.7</v>
      </c>
      <c r="F34" s="888">
        <f ca="1">OFFSET('DREN. REDE'!$C$3,ROWS($F$4:F34)-ROWS($F$4),0)</f>
        <v>62.09</v>
      </c>
      <c r="G34" s="889">
        <f t="shared" ca="1" si="7"/>
        <v>62.09</v>
      </c>
      <c r="H34" s="890">
        <f ca="1">OFFSET('DREN. REDE'!$R$3,ROWS($H$4:H34)-ROWS($H$4),0)</f>
        <v>1.4</v>
      </c>
      <c r="I34" s="890">
        <f t="shared" ca="1" si="0"/>
        <v>8.69</v>
      </c>
      <c r="J34" s="890">
        <f t="shared" ca="1" si="1"/>
        <v>147.77000000000001</v>
      </c>
      <c r="K34" s="890">
        <f t="shared" ca="1" si="2"/>
        <v>211.1</v>
      </c>
      <c r="L34" s="891">
        <f t="shared" ca="1" si="8"/>
        <v>94.13</v>
      </c>
      <c r="M34" s="892"/>
      <c r="N34" s="884" t="str">
        <f t="shared" ca="1" si="11"/>
        <v>-</v>
      </c>
      <c r="O34" s="884">
        <f t="shared" ca="1" si="3"/>
        <v>0</v>
      </c>
      <c r="P34" s="884">
        <f t="shared" ca="1" si="4"/>
        <v>0</v>
      </c>
      <c r="Q34" s="884">
        <f t="shared" ca="1" si="5"/>
        <v>0</v>
      </c>
      <c r="R34" s="884">
        <f t="shared" ca="1" si="6"/>
        <v>0.48</v>
      </c>
      <c r="S34" s="893">
        <f t="shared" ca="1" si="10"/>
        <v>0.7238229473870883</v>
      </c>
    </row>
    <row r="35" spans="1:19" ht="14.25" x14ac:dyDescent="0.2">
      <c r="A35" s="885" t="str">
        <f ca="1">OFFSET('DREN. REDE'!$B$3,ROWS($A$4:A35)-ROWS($A$4),0)</f>
        <v>A25</v>
      </c>
      <c r="B35" s="886" t="s">
        <v>638</v>
      </c>
      <c r="C35" s="887">
        <f ca="1">OFFSET('DREN. REDE'!$E$3,ROWS($C$4:C35)-ROWS($C$4),0)</f>
        <v>0.8</v>
      </c>
      <c r="D35" s="887">
        <f ca="1">OFFSET('DREN. REDE'!$O$3,ROWS($D$4:D35)-ROWS($D$4),0)</f>
        <v>1.7</v>
      </c>
      <c r="E35" s="887">
        <f ca="1">OFFSET('DREN. REDE'!$P$3,ROWS($E$4:E35)-ROWS($E$4),0)</f>
        <v>1.7</v>
      </c>
      <c r="F35" s="888">
        <f ca="1">OFFSET('DREN. REDE'!$C$3,ROWS($F$4:F35)-ROWS($F$4),0)</f>
        <v>60.73</v>
      </c>
      <c r="G35" s="889">
        <f t="shared" ca="1" si="7"/>
        <v>60.73</v>
      </c>
      <c r="H35" s="890">
        <f ca="1">OFFSET('DREN. REDE'!$R$3,ROWS($H$4:H35)-ROWS($H$4),0)</f>
        <v>1.4</v>
      </c>
      <c r="I35" s="890">
        <f t="shared" ca="1" si="0"/>
        <v>8.5</v>
      </c>
      <c r="J35" s="890">
        <f t="shared" ca="1" si="1"/>
        <v>144.53</v>
      </c>
      <c r="K35" s="890">
        <f t="shared" ca="1" si="2"/>
        <v>206.48</v>
      </c>
      <c r="L35" s="891">
        <f t="shared" ca="1" si="8"/>
        <v>92.07</v>
      </c>
      <c r="M35" s="892"/>
      <c r="N35" s="884" t="str">
        <f ca="1">IF((D35+E35)/2&gt;3, "SIM", "-")</f>
        <v>-</v>
      </c>
      <c r="O35" s="884">
        <f t="shared" ca="1" si="3"/>
        <v>0</v>
      </c>
      <c r="P35" s="884">
        <f t="shared" ca="1" si="4"/>
        <v>0</v>
      </c>
      <c r="Q35" s="884">
        <f t="shared" ca="1" si="5"/>
        <v>0</v>
      </c>
      <c r="R35" s="884">
        <f t="shared" ca="1" si="6"/>
        <v>0.48</v>
      </c>
      <c r="S35" s="893">
        <f t="shared" ca="1" si="10"/>
        <v>0.7238229473870883</v>
      </c>
    </row>
    <row r="36" spans="1:19" ht="14.25" x14ac:dyDescent="0.2">
      <c r="A36" s="885" t="str">
        <f ca="1">OFFSET('DREN. REDE'!$B$3,ROWS($A$4:A36)-ROWS($A$4),0)</f>
        <v>A24</v>
      </c>
      <c r="B36" s="886" t="s">
        <v>638</v>
      </c>
      <c r="C36" s="887">
        <f ca="1">OFFSET('DREN. REDE'!$E$3,ROWS($C$4:C36)-ROWS($C$4),0)</f>
        <v>0.8</v>
      </c>
      <c r="D36" s="887">
        <f ca="1">OFFSET('DREN. REDE'!$O$3,ROWS($D$4:D36)-ROWS($D$4),0)</f>
        <v>1.7</v>
      </c>
      <c r="E36" s="887">
        <f ca="1">OFFSET('DREN. REDE'!$P$3,ROWS($E$4:E36)-ROWS($E$4),0)</f>
        <v>1.7</v>
      </c>
      <c r="F36" s="888">
        <f ca="1">OFFSET('DREN. REDE'!$C$3,ROWS($F$4:F36)-ROWS($F$4),0)</f>
        <v>62.92</v>
      </c>
      <c r="G36" s="889">
        <f t="shared" ca="1" si="7"/>
        <v>62.92</v>
      </c>
      <c r="H36" s="890">
        <f ca="1">OFFSET('DREN. REDE'!$R$3,ROWS($H$4:H36)-ROWS($H$4),0)</f>
        <v>1.4</v>
      </c>
      <c r="I36" s="890">
        <f t="shared" ca="1" si="0"/>
        <v>8.8000000000000007</v>
      </c>
      <c r="J36" s="890">
        <f t="shared" ca="1" si="1"/>
        <v>149.74</v>
      </c>
      <c r="K36" s="890">
        <f t="shared" ca="1" si="2"/>
        <v>213.92</v>
      </c>
      <c r="L36" s="891">
        <f t="shared" ca="1" si="8"/>
        <v>95.38</v>
      </c>
      <c r="M36" s="892"/>
      <c r="N36" s="884" t="str">
        <f t="shared" ref="N36:N49" ca="1" si="12">IF((D36+E36)/2&gt;3, "SIM", "-")</f>
        <v>-</v>
      </c>
      <c r="O36" s="884">
        <f t="shared" ca="1" si="3"/>
        <v>0</v>
      </c>
      <c r="P36" s="884">
        <f t="shared" ca="1" si="4"/>
        <v>0</v>
      </c>
      <c r="Q36" s="884">
        <f t="shared" ca="1" si="5"/>
        <v>0</v>
      </c>
      <c r="R36" s="884">
        <f t="shared" ca="1" si="6"/>
        <v>0.48</v>
      </c>
      <c r="S36" s="893">
        <f t="shared" ca="1" si="10"/>
        <v>0.7238229473870883</v>
      </c>
    </row>
    <row r="37" spans="1:19" ht="14.25" x14ac:dyDescent="0.2">
      <c r="A37" s="885" t="str">
        <f ca="1">OFFSET('DREN. REDE'!$B$3,ROWS($A$4:A37)-ROWS($A$4),0)</f>
        <v>A23</v>
      </c>
      <c r="B37" s="886" t="s">
        <v>638</v>
      </c>
      <c r="C37" s="887">
        <f ca="1">OFFSET('DREN. REDE'!$E$3,ROWS($C$4:C37)-ROWS($C$4),0)</f>
        <v>1</v>
      </c>
      <c r="D37" s="887">
        <f ca="1">OFFSET('DREN. REDE'!$O$3,ROWS($D$4:D37)-ROWS($D$4),0)</f>
        <v>1.9</v>
      </c>
      <c r="E37" s="887">
        <f ca="1">OFFSET('DREN. REDE'!$P$3,ROWS($E$4:E37)-ROWS($E$4),0)</f>
        <v>1.9</v>
      </c>
      <c r="F37" s="888">
        <f ca="1">OFFSET('DREN. REDE'!$C$3,ROWS($F$4:F37)-ROWS($F$4),0)</f>
        <v>61.27</v>
      </c>
      <c r="G37" s="889">
        <f t="shared" ca="1" si="7"/>
        <v>61.27</v>
      </c>
      <c r="H37" s="890">
        <f ca="1">OFFSET('DREN. REDE'!$R$3,ROWS($H$4:H37)-ROWS($H$4),0)</f>
        <v>1.6</v>
      </c>
      <c r="I37" s="890">
        <f t="shared" ca="1" si="0"/>
        <v>9.8000000000000007</v>
      </c>
      <c r="J37" s="890">
        <f t="shared" ca="1" si="1"/>
        <v>186.26</v>
      </c>
      <c r="K37" s="890">
        <f t="shared" ca="1" si="2"/>
        <v>232.82</v>
      </c>
      <c r="L37" s="891">
        <f t="shared" ca="1" si="8"/>
        <v>107.16</v>
      </c>
      <c r="M37" s="892"/>
      <c r="N37" s="884" t="str">
        <f t="shared" ca="1" si="12"/>
        <v>-</v>
      </c>
      <c r="O37" s="884">
        <f t="shared" ca="1" si="3"/>
        <v>0</v>
      </c>
      <c r="P37" s="884">
        <f t="shared" ca="1" si="4"/>
        <v>0</v>
      </c>
      <c r="Q37" s="884">
        <f t="shared" ca="1" si="5"/>
        <v>0</v>
      </c>
      <c r="R37" s="884">
        <f t="shared" ca="1" si="6"/>
        <v>0.6</v>
      </c>
      <c r="S37" s="893">
        <f t="shared" ca="1" si="10"/>
        <v>1.1309733552923256</v>
      </c>
    </row>
    <row r="38" spans="1:19" ht="14.25" x14ac:dyDescent="0.2">
      <c r="A38" s="885" t="str">
        <f ca="1">OFFSET('DREN. REDE'!$B$3,ROWS($A$4:A38)-ROWS($A$4),0)</f>
        <v>A25.2</v>
      </c>
      <c r="B38" s="886" t="s">
        <v>638</v>
      </c>
      <c r="C38" s="887">
        <f ca="1">OFFSET('DREN. REDE'!$E$3,ROWS($C$4:C38)-ROWS($C$4),0)</f>
        <v>0.6</v>
      </c>
      <c r="D38" s="887">
        <f ca="1">OFFSET('DREN. REDE'!$O$3,ROWS($D$4:D38)-ROWS($D$4),0)</f>
        <v>1.5</v>
      </c>
      <c r="E38" s="887">
        <f ca="1">OFFSET('DREN. REDE'!$P$3,ROWS($E$4:E38)-ROWS($E$4),0)</f>
        <v>1.5</v>
      </c>
      <c r="F38" s="888">
        <f ca="1">OFFSET('DREN. REDE'!$C$3,ROWS($F$4:F38)-ROWS($F$4),0)</f>
        <v>62.82</v>
      </c>
      <c r="G38" s="889">
        <f t="shared" ca="1" si="7"/>
        <v>62.82</v>
      </c>
      <c r="H38" s="890">
        <f ca="1">OFFSET('DREN. REDE'!$R$3,ROWS($H$4:H38)-ROWS($H$4),0)</f>
        <v>1.2</v>
      </c>
      <c r="I38" s="890">
        <f t="shared" ca="1" si="0"/>
        <v>7.53</v>
      </c>
      <c r="J38" s="890">
        <f t="shared" ca="1" si="1"/>
        <v>113.07</v>
      </c>
      <c r="K38" s="890">
        <f t="shared" ca="1" si="2"/>
        <v>188.46</v>
      </c>
      <c r="L38" s="891">
        <f t="shared" ca="1" si="8"/>
        <v>79.95</v>
      </c>
      <c r="M38" s="892"/>
      <c r="N38" s="884" t="str">
        <f t="shared" ca="1" si="12"/>
        <v>-</v>
      </c>
      <c r="O38" s="884">
        <f t="shared" ca="1" si="3"/>
        <v>0</v>
      </c>
      <c r="P38" s="884">
        <f t="shared" ca="1" si="4"/>
        <v>0</v>
      </c>
      <c r="Q38" s="884">
        <f t="shared" ca="1" si="5"/>
        <v>0</v>
      </c>
      <c r="R38" s="884">
        <f t="shared" ca="1" si="6"/>
        <v>0.36</v>
      </c>
      <c r="S38" s="893">
        <f t="shared" ca="1" si="10"/>
        <v>0.40715040790523715</v>
      </c>
    </row>
    <row r="39" spans="1:19" ht="14.25" x14ac:dyDescent="0.2">
      <c r="A39" s="885" t="str">
        <f ca="1">OFFSET('DREN. REDE'!$B$3,ROWS($A$4:A39)-ROWS($A$4),0)</f>
        <v>A25.1</v>
      </c>
      <c r="B39" s="886" t="s">
        <v>638</v>
      </c>
      <c r="C39" s="887">
        <f ca="1">OFFSET('DREN. REDE'!$E$3,ROWS($C$4:C39)-ROWS($C$4),0)</f>
        <v>0.6</v>
      </c>
      <c r="D39" s="887">
        <f ca="1">OFFSET('DREN. REDE'!$O$3,ROWS($D$4:D39)-ROWS($D$4),0)</f>
        <v>1.5</v>
      </c>
      <c r="E39" s="887">
        <f ca="1">OFFSET('DREN. REDE'!$P$3,ROWS($E$4:E39)-ROWS($E$4),0)</f>
        <v>1.5</v>
      </c>
      <c r="F39" s="888">
        <f ca="1">OFFSET('DREN. REDE'!$C$3,ROWS($F$4:F39)-ROWS($F$4),0)</f>
        <v>50.69</v>
      </c>
      <c r="G39" s="889">
        <f t="shared" ca="1" si="7"/>
        <v>50.69</v>
      </c>
      <c r="H39" s="890">
        <f ca="1">OFFSET('DREN. REDE'!$R$3,ROWS($H$4:H39)-ROWS($H$4),0)</f>
        <v>1.2</v>
      </c>
      <c r="I39" s="890">
        <f t="shared" ca="1" si="0"/>
        <v>6.08</v>
      </c>
      <c r="J39" s="890">
        <f t="shared" ca="1" si="1"/>
        <v>91.24</v>
      </c>
      <c r="K39" s="890">
        <f t="shared" ca="1" si="2"/>
        <v>152.07</v>
      </c>
      <c r="L39" s="891">
        <f t="shared" ca="1" si="8"/>
        <v>64.510000000000005</v>
      </c>
      <c r="M39" s="892"/>
      <c r="N39" s="884" t="str">
        <f t="shared" ca="1" si="12"/>
        <v>-</v>
      </c>
      <c r="O39" s="884">
        <f t="shared" ca="1" si="3"/>
        <v>0</v>
      </c>
      <c r="P39" s="884">
        <f t="shared" ca="1" si="4"/>
        <v>0</v>
      </c>
      <c r="Q39" s="884">
        <f t="shared" ca="1" si="5"/>
        <v>0</v>
      </c>
      <c r="R39" s="884">
        <f t="shared" ca="1" si="6"/>
        <v>0.36</v>
      </c>
      <c r="S39" s="893">
        <f t="shared" ca="1" si="10"/>
        <v>0.40715040790523715</v>
      </c>
    </row>
    <row r="40" spans="1:19" ht="14.25" x14ac:dyDescent="0.2">
      <c r="A40" s="885" t="str">
        <f ca="1">OFFSET('DREN. REDE'!$B$3,ROWS($A$4:A40)-ROWS($A$4),0)</f>
        <v>A18.8</v>
      </c>
      <c r="B40" s="886" t="s">
        <v>638</v>
      </c>
      <c r="C40" s="887">
        <f ca="1">OFFSET('DREN. REDE'!$E$3,ROWS($C$4:C40)-ROWS($C$4),0)</f>
        <v>0.6</v>
      </c>
      <c r="D40" s="887">
        <f ca="1">OFFSET('DREN. REDE'!$O$3,ROWS($D$4:D40)-ROWS($D$4),0)</f>
        <v>1.5</v>
      </c>
      <c r="E40" s="887">
        <f ca="1">OFFSET('DREN. REDE'!$P$3,ROWS($E$4:E40)-ROWS($E$4),0)</f>
        <v>1.5</v>
      </c>
      <c r="F40" s="888">
        <f ca="1">OFFSET('DREN. REDE'!$C$3,ROWS($F$4:F40)-ROWS($F$4),0)</f>
        <v>78.17</v>
      </c>
      <c r="G40" s="889">
        <f t="shared" ca="1" si="7"/>
        <v>78.17</v>
      </c>
      <c r="H40" s="890">
        <f ca="1">OFFSET('DREN. REDE'!$R$3,ROWS($H$4:H40)-ROWS($H$4),0)</f>
        <v>1.2</v>
      </c>
      <c r="I40" s="890">
        <f t="shared" ca="1" si="0"/>
        <v>9.3800000000000008</v>
      </c>
      <c r="J40" s="890">
        <f t="shared" ca="1" si="1"/>
        <v>140.69999999999999</v>
      </c>
      <c r="K40" s="890">
        <f t="shared" ca="1" si="2"/>
        <v>234.51</v>
      </c>
      <c r="L40" s="891">
        <f t="shared" ca="1" si="8"/>
        <v>99.49</v>
      </c>
      <c r="M40" s="892"/>
      <c r="N40" s="884" t="str">
        <f t="shared" ca="1" si="12"/>
        <v>-</v>
      </c>
      <c r="O40" s="884">
        <f t="shared" ca="1" si="3"/>
        <v>0</v>
      </c>
      <c r="P40" s="884">
        <f t="shared" ca="1" si="4"/>
        <v>0</v>
      </c>
      <c r="Q40" s="884">
        <f t="shared" ca="1" si="5"/>
        <v>0</v>
      </c>
      <c r="R40" s="884">
        <f t="shared" ca="1" si="6"/>
        <v>0.36</v>
      </c>
      <c r="S40" s="893">
        <f t="shared" ca="1" si="10"/>
        <v>0.40715040790523715</v>
      </c>
    </row>
    <row r="41" spans="1:19" ht="14.25" x14ac:dyDescent="0.2">
      <c r="A41" s="885" t="str">
        <f ca="1">OFFSET('DREN. REDE'!$B$3,ROWS($A$4:A41)-ROWS($A$4),0)</f>
        <v>A18.7</v>
      </c>
      <c r="B41" s="886" t="s">
        <v>638</v>
      </c>
      <c r="C41" s="887">
        <f ca="1">OFFSET('DREN. REDE'!$E$3,ROWS($C$4:C41)-ROWS($C$4),0)</f>
        <v>0.8</v>
      </c>
      <c r="D41" s="887">
        <f ca="1">OFFSET('DREN. REDE'!$O$3,ROWS($D$4:D41)-ROWS($D$4),0)</f>
        <v>1.7</v>
      </c>
      <c r="E41" s="887">
        <f ca="1">OFFSET('DREN. REDE'!$P$3,ROWS($E$4:E41)-ROWS($E$4),0)</f>
        <v>1.7</v>
      </c>
      <c r="F41" s="888">
        <f ca="1">OFFSET('DREN. REDE'!$C$3,ROWS($F$4:F41)-ROWS($F$4),0)</f>
        <v>61.36</v>
      </c>
      <c r="G41" s="889">
        <f t="shared" ca="1" si="7"/>
        <v>61.36</v>
      </c>
      <c r="H41" s="890">
        <f ca="1">OFFSET('DREN. REDE'!$R$3,ROWS($H$4:H41)-ROWS($H$4),0)</f>
        <v>1.4</v>
      </c>
      <c r="I41" s="890">
        <f t="shared" ca="1" si="0"/>
        <v>8.59</v>
      </c>
      <c r="J41" s="890">
        <f t="shared" ca="1" si="1"/>
        <v>146.03</v>
      </c>
      <c r="K41" s="890">
        <f t="shared" ca="1" si="2"/>
        <v>208.62</v>
      </c>
      <c r="L41" s="891">
        <f t="shared" ca="1" si="8"/>
        <v>93.02</v>
      </c>
      <c r="M41" s="892"/>
      <c r="N41" s="884" t="str">
        <f t="shared" ca="1" si="12"/>
        <v>-</v>
      </c>
      <c r="O41" s="884">
        <f t="shared" ca="1" si="3"/>
        <v>0</v>
      </c>
      <c r="P41" s="884">
        <f t="shared" ca="1" si="4"/>
        <v>0</v>
      </c>
      <c r="Q41" s="884">
        <f t="shared" ca="1" si="5"/>
        <v>0</v>
      </c>
      <c r="R41" s="884">
        <f t="shared" ca="1" si="6"/>
        <v>0.48</v>
      </c>
      <c r="S41" s="893">
        <f t="shared" ca="1" si="10"/>
        <v>0.7238229473870883</v>
      </c>
    </row>
    <row r="42" spans="1:19" ht="14.25" x14ac:dyDescent="0.2">
      <c r="A42" s="885" t="str">
        <f ca="1">OFFSET('DREN. REDE'!$B$3,ROWS($A$4:A42)-ROWS($A$4),0)</f>
        <v>A18.6</v>
      </c>
      <c r="B42" s="886" t="s">
        <v>638</v>
      </c>
      <c r="C42" s="887">
        <f ca="1">OFFSET('DREN. REDE'!$E$3,ROWS($C$4:C42)-ROWS($C$4),0)</f>
        <v>0.8</v>
      </c>
      <c r="D42" s="887">
        <f ca="1">OFFSET('DREN. REDE'!$O$3,ROWS($D$4:D42)-ROWS($D$4),0)</f>
        <v>1.7</v>
      </c>
      <c r="E42" s="887">
        <f ca="1">OFFSET('DREN. REDE'!$P$3,ROWS($E$4:E42)-ROWS($E$4),0)</f>
        <v>1.7</v>
      </c>
      <c r="F42" s="888">
        <f ca="1">OFFSET('DREN. REDE'!$C$3,ROWS($F$4:F42)-ROWS($F$4),0)</f>
        <v>61.09</v>
      </c>
      <c r="G42" s="889">
        <f t="shared" ca="1" si="7"/>
        <v>61.09</v>
      </c>
      <c r="H42" s="890">
        <f ca="1">OFFSET('DREN. REDE'!$R$3,ROWS($H$4:H42)-ROWS($H$4),0)</f>
        <v>1.4</v>
      </c>
      <c r="I42" s="890">
        <f t="shared" ca="1" si="0"/>
        <v>8.5500000000000007</v>
      </c>
      <c r="J42" s="890">
        <f t="shared" ca="1" si="1"/>
        <v>145.38999999999999</v>
      </c>
      <c r="K42" s="890">
        <f t="shared" ca="1" si="2"/>
        <v>207.7</v>
      </c>
      <c r="L42" s="891">
        <f t="shared" ca="1" si="8"/>
        <v>92.61</v>
      </c>
      <c r="M42" s="892"/>
      <c r="N42" s="884" t="str">
        <f t="shared" ca="1" si="12"/>
        <v>-</v>
      </c>
      <c r="O42" s="884">
        <f t="shared" ca="1" si="3"/>
        <v>0</v>
      </c>
      <c r="P42" s="884">
        <f t="shared" ca="1" si="4"/>
        <v>0</v>
      </c>
      <c r="Q42" s="884">
        <f t="shared" ca="1" si="5"/>
        <v>0</v>
      </c>
      <c r="R42" s="884">
        <f t="shared" ca="1" si="6"/>
        <v>0.48</v>
      </c>
      <c r="S42" s="893">
        <f t="shared" ca="1" si="10"/>
        <v>0.7238229473870883</v>
      </c>
    </row>
    <row r="43" spans="1:19" ht="14.25" x14ac:dyDescent="0.2">
      <c r="A43" s="885" t="str">
        <f ca="1">OFFSET('DREN. REDE'!$B$3,ROWS($A$4:A43)-ROWS($A$4),0)</f>
        <v>A18.5</v>
      </c>
      <c r="B43" s="886" t="s">
        <v>638</v>
      </c>
      <c r="C43" s="887">
        <f ca="1">OFFSET('DREN. REDE'!$E$3,ROWS($C$4:C43)-ROWS($C$4),0)</f>
        <v>1</v>
      </c>
      <c r="D43" s="887">
        <f ca="1">OFFSET('DREN. REDE'!$O$3,ROWS($D$4:D43)-ROWS($D$4),0)</f>
        <v>1.9</v>
      </c>
      <c r="E43" s="887">
        <f ca="1">OFFSET('DREN. REDE'!$P$3,ROWS($E$4:E43)-ROWS($E$4),0)</f>
        <v>1.9</v>
      </c>
      <c r="F43" s="888">
        <f ca="1">OFFSET('DREN. REDE'!$C$3,ROWS($F$4:F43)-ROWS($F$4),0)</f>
        <v>62.08</v>
      </c>
      <c r="G43" s="889">
        <f t="shared" ca="1" si="7"/>
        <v>62.08</v>
      </c>
      <c r="H43" s="890">
        <f ca="1">OFFSET('DREN. REDE'!$R$3,ROWS($H$4:H43)-ROWS($H$4),0)</f>
        <v>1.6</v>
      </c>
      <c r="I43" s="890">
        <f t="shared" ca="1" si="0"/>
        <v>9.93</v>
      </c>
      <c r="J43" s="890">
        <f t="shared" ca="1" si="1"/>
        <v>188.72</v>
      </c>
      <c r="K43" s="890">
        <f t="shared" ca="1" si="2"/>
        <v>235.9</v>
      </c>
      <c r="L43" s="891">
        <f t="shared" ca="1" si="8"/>
        <v>108.57</v>
      </c>
      <c r="M43" s="892"/>
      <c r="N43" s="884" t="str">
        <f t="shared" ca="1" si="12"/>
        <v>-</v>
      </c>
      <c r="O43" s="884">
        <f t="shared" ca="1" si="3"/>
        <v>0</v>
      </c>
      <c r="P43" s="884">
        <f t="shared" ca="1" si="4"/>
        <v>0</v>
      </c>
      <c r="Q43" s="884">
        <f t="shared" ca="1" si="5"/>
        <v>0</v>
      </c>
      <c r="R43" s="884">
        <f t="shared" ca="1" si="6"/>
        <v>0.6</v>
      </c>
      <c r="S43" s="893">
        <f t="shared" ca="1" si="10"/>
        <v>1.1309733552923256</v>
      </c>
    </row>
    <row r="44" spans="1:19" x14ac:dyDescent="0.25">
      <c r="A44" s="885" t="str">
        <f ca="1">OFFSET('DREN. REDE'!$B$3,ROWS($A$4:A44)-ROWS($A$4),0)</f>
        <v>A18.4</v>
      </c>
      <c r="B44" s="886" t="s">
        <v>638</v>
      </c>
      <c r="C44" s="887">
        <f ca="1">OFFSET('DREN. REDE'!$E$3,ROWS($C$4:C44)-ROWS($C$4),0)</f>
        <v>1</v>
      </c>
      <c r="D44" s="887">
        <f ca="1">OFFSET('DREN. REDE'!$O$3,ROWS($D$4:D44)-ROWS($D$4),0)</f>
        <v>1.9</v>
      </c>
      <c r="E44" s="887">
        <f ca="1">OFFSET('DREN. REDE'!$P$3,ROWS($E$4:E44)-ROWS($E$4),0)</f>
        <v>1.9</v>
      </c>
      <c r="F44" s="888">
        <f ca="1">OFFSET('DREN. REDE'!$C$3,ROWS($F$4:F44)-ROWS($F$4),0)</f>
        <v>62.01</v>
      </c>
      <c r="G44" s="889">
        <f t="shared" ca="1" si="7"/>
        <v>62.01</v>
      </c>
      <c r="H44" s="890">
        <f ca="1">OFFSET('DREN. REDE'!$R$3,ROWS($H$4:H44)-ROWS($H$4),0)</f>
        <v>1.6</v>
      </c>
      <c r="I44" s="890">
        <f t="shared" ca="1" si="0"/>
        <v>9.92</v>
      </c>
      <c r="J44" s="890">
        <f t="shared" ca="1" si="1"/>
        <v>188.51</v>
      </c>
      <c r="K44" s="890">
        <f t="shared" ca="1" si="2"/>
        <v>235.63</v>
      </c>
      <c r="L44" s="891">
        <f t="shared" ca="1" si="8"/>
        <v>108.45</v>
      </c>
      <c r="M44" s="892"/>
      <c r="N44" s="884" t="str">
        <f t="shared" ca="1" si="12"/>
        <v>-</v>
      </c>
      <c r="O44" s="884">
        <f t="shared" ca="1" si="3"/>
        <v>0</v>
      </c>
      <c r="P44" s="884">
        <f t="shared" ca="1" si="4"/>
        <v>0</v>
      </c>
      <c r="Q44" s="884">
        <f t="shared" ca="1" si="5"/>
        <v>0</v>
      </c>
      <c r="R44" s="884">
        <f t="shared" ca="1" si="6"/>
        <v>0.6</v>
      </c>
      <c r="S44" s="893">
        <f t="shared" ca="1" si="10"/>
        <v>1.1309733552923256</v>
      </c>
    </row>
    <row r="45" spans="1:19" x14ac:dyDescent="0.25">
      <c r="A45" s="885" t="str">
        <f ca="1">OFFSET('DREN. REDE'!$B$3,ROWS($A$4:A45)-ROWS($A$4),0)</f>
        <v>A18.3</v>
      </c>
      <c r="B45" s="886" t="s">
        <v>638</v>
      </c>
      <c r="C45" s="887">
        <f ca="1">OFFSET('DREN. REDE'!$E$3,ROWS($C$4:C45)-ROWS($C$4),0)</f>
        <v>1.2</v>
      </c>
      <c r="D45" s="887">
        <f ca="1">OFFSET('DREN. REDE'!$O$3,ROWS($D$4:D45)-ROWS($D$4),0)</f>
        <v>2.8</v>
      </c>
      <c r="E45" s="887">
        <f ca="1">OFFSET('DREN. REDE'!$P$3,ROWS($E$4:E45)-ROWS($E$4),0)</f>
        <v>2.5</v>
      </c>
      <c r="F45" s="888">
        <f ca="1">OFFSET('DREN. REDE'!$C$3,ROWS($F$4:F45)-ROWS($F$4),0)</f>
        <v>60.9</v>
      </c>
      <c r="G45" s="889">
        <f t="shared" ca="1" si="7"/>
        <v>60.9</v>
      </c>
      <c r="H45" s="890">
        <f ca="1">OFFSET('DREN. REDE'!$R$3,ROWS($H$4:H45)-ROWS($H$4),0)</f>
        <v>1.7999999999999998</v>
      </c>
      <c r="I45" s="890">
        <f t="shared" ca="1" si="0"/>
        <v>10.96</v>
      </c>
      <c r="J45" s="890">
        <f t="shared" ca="1" si="1"/>
        <v>290.49</v>
      </c>
      <c r="K45" s="890">
        <f t="shared" ca="1" si="2"/>
        <v>322.77</v>
      </c>
      <c r="L45" s="891">
        <f t="shared" ca="1" si="8"/>
        <v>180.34</v>
      </c>
      <c r="M45" s="892"/>
      <c r="N45" s="884" t="str">
        <f t="shared" ca="1" si="12"/>
        <v>-</v>
      </c>
      <c r="O45" s="884">
        <f t="shared" ca="1" si="3"/>
        <v>0</v>
      </c>
      <c r="P45" s="884">
        <f t="shared" ca="1" si="4"/>
        <v>0</v>
      </c>
      <c r="Q45" s="884">
        <f t="shared" ca="1" si="5"/>
        <v>0</v>
      </c>
      <c r="R45" s="884">
        <f t="shared" ca="1" si="6"/>
        <v>0.72</v>
      </c>
      <c r="S45" s="893">
        <f t="shared" ca="1" si="10"/>
        <v>1.6286016316209486</v>
      </c>
    </row>
    <row r="46" spans="1:19" x14ac:dyDescent="0.25">
      <c r="A46" s="885" t="str">
        <f ca="1">OFFSET('DREN. REDE'!$B$3,ROWS($A$4:A46)-ROWS($A$4),0)</f>
        <v>A18.2</v>
      </c>
      <c r="B46" s="886" t="s">
        <v>638</v>
      </c>
      <c r="C46" s="887">
        <f ca="1">OFFSET('DREN. REDE'!$E$3,ROWS($C$4:C46)-ROWS($C$4),0)</f>
        <v>1.2</v>
      </c>
      <c r="D46" s="887">
        <f ca="1">OFFSET('DREN. REDE'!$O$3,ROWS($D$4:D46)-ROWS($D$4),0)</f>
        <v>2.5</v>
      </c>
      <c r="E46" s="887">
        <f ca="1">OFFSET('DREN. REDE'!$P$3,ROWS($E$4:E46)-ROWS($E$4),0)</f>
        <v>2.2000000000000002</v>
      </c>
      <c r="F46" s="888">
        <f ca="1">OFFSET('DREN. REDE'!$C$3,ROWS($F$4:F46)-ROWS($F$4),0)</f>
        <v>62.46</v>
      </c>
      <c r="G46" s="889">
        <f t="shared" ca="1" si="7"/>
        <v>62.46</v>
      </c>
      <c r="H46" s="890">
        <f ca="1">OFFSET('DREN. REDE'!$R$3,ROWS($H$4:H46)-ROWS($H$4),0)</f>
        <v>1.7999999999999998</v>
      </c>
      <c r="I46" s="890">
        <f t="shared" ca="1" si="0"/>
        <v>11.24</v>
      </c>
      <c r="J46" s="890">
        <f t="shared" ca="1" si="1"/>
        <v>264.2</v>
      </c>
      <c r="K46" s="890">
        <f t="shared" ca="1" si="2"/>
        <v>293.56</v>
      </c>
      <c r="L46" s="891">
        <f t="shared" ca="1" si="8"/>
        <v>151.22999999999999</v>
      </c>
      <c r="M46" s="892"/>
      <c r="N46" s="884" t="str">
        <f t="shared" ca="1" si="12"/>
        <v>-</v>
      </c>
      <c r="O46" s="884">
        <f t="shared" ca="1" si="3"/>
        <v>0</v>
      </c>
      <c r="P46" s="884">
        <f t="shared" ca="1" si="4"/>
        <v>0</v>
      </c>
      <c r="Q46" s="884">
        <f t="shared" ca="1" si="5"/>
        <v>0</v>
      </c>
      <c r="R46" s="884">
        <f t="shared" ca="1" si="6"/>
        <v>0.72</v>
      </c>
      <c r="S46" s="893">
        <f t="shared" ca="1" si="10"/>
        <v>1.6286016316209486</v>
      </c>
    </row>
    <row r="47" spans="1:19" x14ac:dyDescent="0.25">
      <c r="A47" s="885" t="str">
        <f ca="1">OFFSET('DREN. REDE'!$B$3,ROWS($A$4:A47)-ROWS($A$4),0)</f>
        <v>A18.1</v>
      </c>
      <c r="B47" s="886" t="s">
        <v>638</v>
      </c>
      <c r="C47" s="887">
        <f ca="1">OFFSET('DREN. REDE'!$E$3,ROWS($C$4:C47)-ROWS($C$4),0)</f>
        <v>1.2</v>
      </c>
      <c r="D47" s="887">
        <f ca="1">OFFSET('DREN. REDE'!$O$3,ROWS($D$4:D47)-ROWS($D$4),0)</f>
        <v>2.2000000000000002</v>
      </c>
      <c r="E47" s="887">
        <f ca="1">OFFSET('DREN. REDE'!$P$3,ROWS($E$4:E47)-ROWS($E$4),0)</f>
        <v>2.4</v>
      </c>
      <c r="F47" s="888">
        <f ca="1">OFFSET('DREN. REDE'!$C$3,ROWS($F$4:F47)-ROWS($F$4),0)</f>
        <v>63.75</v>
      </c>
      <c r="G47" s="889">
        <f t="shared" ca="1" si="7"/>
        <v>63.75</v>
      </c>
      <c r="H47" s="890">
        <f ca="1">OFFSET('DREN. REDE'!$R$3,ROWS($H$4:H47)-ROWS($H$4),0)</f>
        <v>1.7999999999999998</v>
      </c>
      <c r="I47" s="890">
        <f t="shared" ca="1" si="0"/>
        <v>11.47</v>
      </c>
      <c r="J47" s="890">
        <f t="shared" ca="1" si="1"/>
        <v>263.92</v>
      </c>
      <c r="K47" s="890">
        <f t="shared" ca="1" si="2"/>
        <v>293.25</v>
      </c>
      <c r="L47" s="891">
        <f t="shared" ca="1" si="8"/>
        <v>148.62</v>
      </c>
      <c r="M47" s="892"/>
      <c r="N47" s="884" t="str">
        <f t="shared" ca="1" si="12"/>
        <v>-</v>
      </c>
      <c r="O47" s="884">
        <f t="shared" ca="1" si="3"/>
        <v>0</v>
      </c>
      <c r="P47" s="884">
        <f t="shared" ca="1" si="4"/>
        <v>0</v>
      </c>
      <c r="Q47" s="884">
        <f t="shared" ca="1" si="5"/>
        <v>0</v>
      </c>
      <c r="R47" s="884">
        <f t="shared" ca="1" si="6"/>
        <v>0.72</v>
      </c>
      <c r="S47" s="893">
        <f t="shared" ca="1" si="10"/>
        <v>1.6286016316209486</v>
      </c>
    </row>
    <row r="48" spans="1:19" x14ac:dyDescent="0.25">
      <c r="A48" s="885" t="str">
        <f ca="1">OFFSET('DREN. REDE'!$B$3,ROWS($A$4:A48)-ROWS($A$4),0)</f>
        <v>B3.3</v>
      </c>
      <c r="B48" s="886" t="s">
        <v>638</v>
      </c>
      <c r="C48" s="887">
        <f ca="1">OFFSET('DREN. REDE'!$E$3,ROWS($C$4:C48)-ROWS($C$4),0)</f>
        <v>0.6</v>
      </c>
      <c r="D48" s="887">
        <f ca="1">OFFSET('DREN. REDE'!$O$3,ROWS($D$4:D48)-ROWS($D$4),0)</f>
        <v>1.5</v>
      </c>
      <c r="E48" s="887">
        <f ca="1">OFFSET('DREN. REDE'!$P$3,ROWS($E$4:E48)-ROWS($E$4),0)</f>
        <v>1.5</v>
      </c>
      <c r="F48" s="888">
        <f ca="1">OFFSET('DREN. REDE'!$C$3,ROWS($F$4:F48)-ROWS($F$4),0)</f>
        <v>61.89</v>
      </c>
      <c r="G48" s="889">
        <f t="shared" ca="1" si="7"/>
        <v>61.89</v>
      </c>
      <c r="H48" s="890">
        <f ca="1">OFFSET('DREN. REDE'!$R$3,ROWS($H$4:H48)-ROWS($H$4),0)</f>
        <v>1.2</v>
      </c>
      <c r="I48" s="890">
        <f t="shared" ca="1" si="0"/>
        <v>7.42</v>
      </c>
      <c r="J48" s="890">
        <f t="shared" ca="1" si="1"/>
        <v>111.4</v>
      </c>
      <c r="K48" s="890">
        <f t="shared" ca="1" si="2"/>
        <v>185.67</v>
      </c>
      <c r="L48" s="891">
        <f t="shared" ca="1" si="8"/>
        <v>78.77</v>
      </c>
      <c r="M48" s="892"/>
      <c r="N48" s="884" t="str">
        <f t="shared" ca="1" si="12"/>
        <v>-</v>
      </c>
      <c r="O48" s="884">
        <f t="shared" ca="1" si="3"/>
        <v>0</v>
      </c>
      <c r="P48" s="884">
        <f t="shared" ca="1" si="4"/>
        <v>0</v>
      </c>
      <c r="Q48" s="884">
        <f t="shared" ca="1" si="5"/>
        <v>0</v>
      </c>
      <c r="R48" s="884">
        <f t="shared" ca="1" si="6"/>
        <v>0.36</v>
      </c>
      <c r="S48" s="893">
        <f t="shared" ca="1" si="10"/>
        <v>0.40715040790523715</v>
      </c>
    </row>
    <row r="49" spans="1:19" x14ac:dyDescent="0.25">
      <c r="A49" s="885" t="str">
        <f ca="1">OFFSET('DREN. REDE'!$B$3,ROWS($A$4:A49)-ROWS($A$4),0)</f>
        <v>B3.2</v>
      </c>
      <c r="B49" s="886" t="s">
        <v>638</v>
      </c>
      <c r="C49" s="887">
        <f ca="1">OFFSET('DREN. REDE'!$E$3,ROWS($C$4:C49)-ROWS($C$4),0)</f>
        <v>0.6</v>
      </c>
      <c r="D49" s="887">
        <f ca="1">OFFSET('DREN. REDE'!$O$3,ROWS($D$4:D49)-ROWS($D$4),0)</f>
        <v>1.5</v>
      </c>
      <c r="E49" s="887">
        <f ca="1">OFFSET('DREN. REDE'!$P$3,ROWS($E$4:E49)-ROWS($E$4),0)</f>
        <v>1.5</v>
      </c>
      <c r="F49" s="888">
        <f ca="1">OFFSET('DREN. REDE'!$C$3,ROWS($F$4:F49)-ROWS($F$4),0)</f>
        <v>61.17</v>
      </c>
      <c r="G49" s="889">
        <f t="shared" ca="1" si="7"/>
        <v>61.17</v>
      </c>
      <c r="H49" s="890">
        <f ca="1">OFFSET('DREN. REDE'!$R$3,ROWS($H$4:H49)-ROWS($H$4),0)</f>
        <v>1.2</v>
      </c>
      <c r="I49" s="890">
        <f t="shared" ca="1" si="0"/>
        <v>7.34</v>
      </c>
      <c r="J49" s="890">
        <f t="shared" ca="1" si="1"/>
        <v>110.1</v>
      </c>
      <c r="K49" s="890">
        <f t="shared" ca="1" si="2"/>
        <v>183.51</v>
      </c>
      <c r="L49" s="891">
        <f t="shared" ca="1" si="8"/>
        <v>77.849999999999994</v>
      </c>
      <c r="M49" s="892"/>
      <c r="N49" s="884" t="str">
        <f t="shared" ca="1" si="12"/>
        <v>-</v>
      </c>
      <c r="O49" s="884">
        <f t="shared" ca="1" si="3"/>
        <v>0</v>
      </c>
      <c r="P49" s="884">
        <f t="shared" ca="1" si="4"/>
        <v>0</v>
      </c>
      <c r="Q49" s="884">
        <f t="shared" ca="1" si="5"/>
        <v>0</v>
      </c>
      <c r="R49" s="884">
        <f t="shared" ca="1" si="6"/>
        <v>0.36</v>
      </c>
      <c r="S49" s="893">
        <f t="shared" ca="1" si="10"/>
        <v>0.40715040790523715</v>
      </c>
    </row>
    <row r="50" spans="1:19" x14ac:dyDescent="0.25">
      <c r="A50" s="885" t="str">
        <f ca="1">OFFSET('DREN. REDE'!$B$3,ROWS($A$4:A50)-ROWS($A$4),0)</f>
        <v>B3.1</v>
      </c>
      <c r="B50" s="886" t="s">
        <v>638</v>
      </c>
      <c r="C50" s="887">
        <f ca="1">OFFSET('DREN. REDE'!$E$3,ROWS($C$4:C50)-ROWS($C$4),0)</f>
        <v>0.8</v>
      </c>
      <c r="D50" s="887">
        <f ca="1">OFFSET('DREN. REDE'!$O$3,ROWS($D$4:D50)-ROWS($D$4),0)</f>
        <v>1.7</v>
      </c>
      <c r="E50" s="887">
        <f ca="1">OFFSET('DREN. REDE'!$P$3,ROWS($E$4:E50)-ROWS($E$4),0)</f>
        <v>1.7</v>
      </c>
      <c r="F50" s="888">
        <f ca="1">OFFSET('DREN. REDE'!$C$3,ROWS($F$4:F50)-ROWS($F$4),0)</f>
        <v>12.72</v>
      </c>
      <c r="G50" s="889">
        <f t="shared" ca="1" si="7"/>
        <v>12.72</v>
      </c>
      <c r="H50" s="890">
        <f ca="1">OFFSET('DREN. REDE'!$R$3,ROWS($H$4:H50)-ROWS($H$4),0)</f>
        <v>1.4</v>
      </c>
      <c r="I50" s="890">
        <f t="shared" ca="1" si="0"/>
        <v>1.78</v>
      </c>
      <c r="J50" s="890">
        <f t="shared" ca="1" si="1"/>
        <v>30.27</v>
      </c>
      <c r="K50" s="890">
        <f t="shared" ca="1" si="2"/>
        <v>43.24</v>
      </c>
      <c r="L50" s="891">
        <f t="shared" ca="1" si="8"/>
        <v>19.28</v>
      </c>
      <c r="M50" s="892"/>
      <c r="N50" s="884" t="str">
        <f ca="1">IF((D50+E50)/2&gt;3, "SIM", "-")</f>
        <v>-</v>
      </c>
      <c r="O50" s="884">
        <f t="shared" ca="1" si="3"/>
        <v>0</v>
      </c>
      <c r="P50" s="884">
        <f t="shared" ca="1" si="4"/>
        <v>0</v>
      </c>
      <c r="Q50" s="884">
        <f t="shared" ca="1" si="5"/>
        <v>0</v>
      </c>
      <c r="R50" s="884">
        <f t="shared" ca="1" si="6"/>
        <v>0.48</v>
      </c>
      <c r="S50" s="893">
        <f t="shared" ca="1" si="10"/>
        <v>0.7238229473870883</v>
      </c>
    </row>
    <row r="51" spans="1:19" x14ac:dyDescent="0.25">
      <c r="A51" s="885" t="str">
        <f ca="1">OFFSET('DREN. REDE'!$B$3,ROWS($A$4:A51)-ROWS($A$4),0)</f>
        <v>B3</v>
      </c>
      <c r="B51" s="886" t="s">
        <v>638</v>
      </c>
      <c r="C51" s="887">
        <f ca="1">OFFSET('DREN. REDE'!$E$3,ROWS($C$4:C51)-ROWS($C$4),0)</f>
        <v>1</v>
      </c>
      <c r="D51" s="887">
        <f ca="1">OFFSET('DREN. REDE'!$O$3,ROWS($D$4:D51)-ROWS($D$4),0)</f>
        <v>1.9</v>
      </c>
      <c r="E51" s="887">
        <f ca="1">OFFSET('DREN. REDE'!$P$3,ROWS($E$4:E51)-ROWS($E$4),0)</f>
        <v>1.9</v>
      </c>
      <c r="F51" s="888">
        <f ca="1">OFFSET('DREN. REDE'!$C$3,ROWS($F$4:F51)-ROWS($F$4),0)</f>
        <v>98.63</v>
      </c>
      <c r="G51" s="889">
        <f t="shared" ca="1" si="7"/>
        <v>98.63</v>
      </c>
      <c r="H51" s="890">
        <f ca="1">OFFSET('DREN. REDE'!$R$3,ROWS($H$4:H51)-ROWS($H$4),0)</f>
        <v>1.6</v>
      </c>
      <c r="I51" s="890">
        <f t="shared" ca="1" si="0"/>
        <v>15.78</v>
      </c>
      <c r="J51" s="890">
        <f t="shared" ca="1" si="1"/>
        <v>299.83</v>
      </c>
      <c r="K51" s="890">
        <f t="shared" ca="1" si="2"/>
        <v>374.79</v>
      </c>
      <c r="L51" s="891">
        <f t="shared" ca="1" si="8"/>
        <v>172.5</v>
      </c>
      <c r="M51" s="892"/>
      <c r="N51" s="884" t="str">
        <f t="shared" ref="N51:N61" ca="1" si="13">IF((D51+E51)/2&gt;3, "SIM", "-")</f>
        <v>-</v>
      </c>
      <c r="O51" s="884">
        <f t="shared" ca="1" si="3"/>
        <v>0</v>
      </c>
      <c r="P51" s="884">
        <f t="shared" ca="1" si="4"/>
        <v>0</v>
      </c>
      <c r="Q51" s="884">
        <f t="shared" ca="1" si="5"/>
        <v>0</v>
      </c>
      <c r="R51" s="884">
        <f t="shared" ca="1" si="6"/>
        <v>0.6</v>
      </c>
      <c r="S51" s="893">
        <f t="shared" ca="1" si="10"/>
        <v>1.1309733552923256</v>
      </c>
    </row>
    <row r="52" spans="1:19" x14ac:dyDescent="0.25">
      <c r="A52" s="885" t="str">
        <f ca="1">OFFSET('DREN. REDE'!$B$3,ROWS($A$4:A52)-ROWS($A$4),0)</f>
        <v>B2</v>
      </c>
      <c r="B52" s="886" t="s">
        <v>638</v>
      </c>
      <c r="C52" s="887">
        <f ca="1">OFFSET('DREN. REDE'!$E$3,ROWS($C$4:C52)-ROWS($C$4),0)</f>
        <v>1</v>
      </c>
      <c r="D52" s="887">
        <f ca="1">OFFSET('DREN. REDE'!$O$3,ROWS($D$4:D52)-ROWS($D$4),0)</f>
        <v>1.9</v>
      </c>
      <c r="E52" s="887">
        <f ca="1">OFFSET('DREN. REDE'!$P$3,ROWS($E$4:E52)-ROWS($E$4),0)</f>
        <v>1.9</v>
      </c>
      <c r="F52" s="888">
        <f ca="1">OFFSET('DREN. REDE'!$C$3,ROWS($F$4:F52)-ROWS($F$4),0)</f>
        <v>100.34</v>
      </c>
      <c r="G52" s="889">
        <f t="shared" ca="1" si="7"/>
        <v>100.34</v>
      </c>
      <c r="H52" s="890">
        <f ca="1">OFFSET('DREN. REDE'!$R$3,ROWS($H$4:H52)-ROWS($H$4),0)</f>
        <v>1.6</v>
      </c>
      <c r="I52" s="890">
        <f t="shared" ca="1" si="0"/>
        <v>16.05</v>
      </c>
      <c r="J52" s="890">
        <f t="shared" ca="1" si="1"/>
        <v>305.02999999999997</v>
      </c>
      <c r="K52" s="890">
        <f t="shared" ca="1" si="2"/>
        <v>381.29</v>
      </c>
      <c r="L52" s="891">
        <f t="shared" ca="1" si="8"/>
        <v>175.49</v>
      </c>
      <c r="M52" s="892"/>
      <c r="N52" s="884" t="str">
        <f t="shared" ca="1" si="13"/>
        <v>-</v>
      </c>
      <c r="O52" s="884">
        <f t="shared" ca="1" si="3"/>
        <v>0</v>
      </c>
      <c r="P52" s="884">
        <f t="shared" ca="1" si="4"/>
        <v>0</v>
      </c>
      <c r="Q52" s="884">
        <f t="shared" ca="1" si="5"/>
        <v>0</v>
      </c>
      <c r="R52" s="884">
        <f t="shared" ca="1" si="6"/>
        <v>0.6</v>
      </c>
      <c r="S52" s="893">
        <f t="shared" ca="1" si="10"/>
        <v>1.1309733552923256</v>
      </c>
    </row>
    <row r="53" spans="1:19" x14ac:dyDescent="0.25">
      <c r="A53" s="885" t="str">
        <f ca="1">OFFSET('DREN. REDE'!$B$3,ROWS($A$4:A53)-ROWS($A$4),0)</f>
        <v>B1</v>
      </c>
      <c r="B53" s="886" t="s">
        <v>638</v>
      </c>
      <c r="C53" s="887">
        <f ca="1">OFFSET('DREN. REDE'!$E$3,ROWS($C$4:C53)-ROWS($C$4),0)</f>
        <v>1</v>
      </c>
      <c r="D53" s="887">
        <f ca="1">OFFSET('DREN. REDE'!$O$3,ROWS($D$4:D53)-ROWS($D$4),0)</f>
        <v>1.9</v>
      </c>
      <c r="E53" s="887">
        <f ca="1">OFFSET('DREN. REDE'!$P$3,ROWS($E$4:E53)-ROWS($E$4),0)</f>
        <v>0</v>
      </c>
      <c r="F53" s="888">
        <f ca="1">OFFSET('DREN. REDE'!$C$3,ROWS($F$4:F53)-ROWS($F$4),0)</f>
        <v>100.02</v>
      </c>
      <c r="G53" s="889">
        <f t="shared" ca="1" si="7"/>
        <v>100.02</v>
      </c>
      <c r="H53" s="890">
        <f ca="1">OFFSET('DREN. REDE'!$R$3,ROWS($H$4:H53)-ROWS($H$4),0)</f>
        <v>1.6</v>
      </c>
      <c r="I53" s="890">
        <f t="shared" ca="1" si="0"/>
        <v>16</v>
      </c>
      <c r="J53" s="890">
        <f t="shared" ca="1" si="1"/>
        <v>152.03</v>
      </c>
      <c r="K53" s="890">
        <f t="shared" ca="1" si="2"/>
        <v>190.03</v>
      </c>
      <c r="L53" s="891">
        <f t="shared" ca="1" si="8"/>
        <v>22.9</v>
      </c>
      <c r="M53" s="892"/>
      <c r="N53" s="884" t="str">
        <f t="shared" ca="1" si="13"/>
        <v>-</v>
      </c>
      <c r="O53" s="884">
        <f t="shared" ca="1" si="3"/>
        <v>0</v>
      </c>
      <c r="P53" s="884">
        <f t="shared" ca="1" si="4"/>
        <v>0</v>
      </c>
      <c r="Q53" s="884">
        <f t="shared" ca="1" si="5"/>
        <v>0</v>
      </c>
      <c r="R53" s="884">
        <f t="shared" ca="1" si="6"/>
        <v>0.6</v>
      </c>
      <c r="S53" s="893">
        <f t="shared" ca="1" si="10"/>
        <v>1.1309733552923256</v>
      </c>
    </row>
    <row r="54" spans="1:19" x14ac:dyDescent="0.25">
      <c r="A54" s="885" t="str">
        <f ca="1">OFFSET('DREN. REDE'!$B$3,ROWS($A$4:A54)-ROWS($A$4),0)</f>
        <v>A24.2</v>
      </c>
      <c r="B54" s="886" t="s">
        <v>638</v>
      </c>
      <c r="C54" s="887">
        <f ca="1">OFFSET('DREN. REDE'!$E$3,ROWS($C$4:C54)-ROWS($C$4),0)</f>
        <v>0.6</v>
      </c>
      <c r="D54" s="887">
        <f ca="1">OFFSET('DREN. REDE'!$O$3,ROWS($D$4:D54)-ROWS($D$4),0)</f>
        <v>1.5</v>
      </c>
      <c r="E54" s="887">
        <f ca="1">OFFSET('DREN. REDE'!$P$3,ROWS($E$4:E54)-ROWS($E$4),0)</f>
        <v>1.5</v>
      </c>
      <c r="F54" s="888">
        <f ca="1">OFFSET('DREN. REDE'!$C$3,ROWS($F$4:F54)-ROWS($F$4),0)</f>
        <v>62.76</v>
      </c>
      <c r="G54" s="889">
        <f t="shared" ca="1" si="7"/>
        <v>62.76</v>
      </c>
      <c r="H54" s="890">
        <f ca="1">OFFSET('DREN. REDE'!$R$3,ROWS($H$4:H54)-ROWS($H$4),0)</f>
        <v>1.2</v>
      </c>
      <c r="I54" s="890">
        <f t="shared" ca="1" si="0"/>
        <v>7.53</v>
      </c>
      <c r="J54" s="890">
        <f t="shared" ca="1" si="1"/>
        <v>112.96</v>
      </c>
      <c r="K54" s="890">
        <f t="shared" ca="1" si="2"/>
        <v>188.28</v>
      </c>
      <c r="L54" s="891">
        <f t="shared" ca="1" si="8"/>
        <v>79.87</v>
      </c>
      <c r="M54" s="892"/>
      <c r="N54" s="884" t="str">
        <f t="shared" ca="1" si="13"/>
        <v>-</v>
      </c>
      <c r="O54" s="884">
        <f t="shared" ca="1" si="3"/>
        <v>0</v>
      </c>
      <c r="P54" s="884">
        <f t="shared" ca="1" si="4"/>
        <v>0</v>
      </c>
      <c r="Q54" s="884">
        <f t="shared" ca="1" si="5"/>
        <v>0</v>
      </c>
      <c r="R54" s="884">
        <f t="shared" ca="1" si="6"/>
        <v>0.36</v>
      </c>
      <c r="S54" s="893">
        <f t="shared" ca="1" si="10"/>
        <v>0.40715040790523715</v>
      </c>
    </row>
    <row r="55" spans="1:19" x14ac:dyDescent="0.25">
      <c r="A55" s="885" t="str">
        <f ca="1">OFFSET('DREN. REDE'!$B$3,ROWS($A$4:A55)-ROWS($A$4),0)</f>
        <v>A24.1</v>
      </c>
      <c r="B55" s="886" t="s">
        <v>638</v>
      </c>
      <c r="C55" s="887">
        <f ca="1">OFFSET('DREN. REDE'!$E$3,ROWS($C$4:C55)-ROWS($C$4),0)</f>
        <v>0.6</v>
      </c>
      <c r="D55" s="887">
        <f ca="1">OFFSET('DREN. REDE'!$O$3,ROWS($D$4:D55)-ROWS($D$4),0)</f>
        <v>1.5</v>
      </c>
      <c r="E55" s="887">
        <f ca="1">OFFSET('DREN. REDE'!$P$3,ROWS($E$4:E55)-ROWS($E$4),0)</f>
        <v>1.5</v>
      </c>
      <c r="F55" s="888">
        <f ca="1">OFFSET('DREN. REDE'!$C$3,ROWS($F$4:F55)-ROWS($F$4),0)</f>
        <v>50.45</v>
      </c>
      <c r="G55" s="889">
        <f t="shared" ca="1" si="7"/>
        <v>50.45</v>
      </c>
      <c r="H55" s="890">
        <f ca="1">OFFSET('DREN. REDE'!$R$3,ROWS($H$4:H55)-ROWS($H$4),0)</f>
        <v>1.2</v>
      </c>
      <c r="I55" s="890">
        <f t="shared" ca="1" si="0"/>
        <v>6.05</v>
      </c>
      <c r="J55" s="890">
        <f t="shared" ca="1" si="1"/>
        <v>90.81</v>
      </c>
      <c r="K55" s="890">
        <f t="shared" ca="1" si="2"/>
        <v>151.35</v>
      </c>
      <c r="L55" s="891">
        <f t="shared" ca="1" si="8"/>
        <v>64.209999999999994</v>
      </c>
      <c r="M55" s="892"/>
      <c r="N55" s="884" t="str">
        <f t="shared" ca="1" si="13"/>
        <v>-</v>
      </c>
      <c r="O55" s="884">
        <f t="shared" ca="1" si="3"/>
        <v>0</v>
      </c>
      <c r="P55" s="884">
        <f t="shared" ca="1" si="4"/>
        <v>0</v>
      </c>
      <c r="Q55" s="884">
        <f t="shared" ca="1" si="5"/>
        <v>0</v>
      </c>
      <c r="R55" s="884">
        <f t="shared" ca="1" si="6"/>
        <v>0.36</v>
      </c>
      <c r="S55" s="893">
        <f t="shared" ca="1" si="10"/>
        <v>0.40715040790523715</v>
      </c>
    </row>
    <row r="56" spans="1:19" x14ac:dyDescent="0.25">
      <c r="A56" s="885" t="str">
        <f ca="1">OFFSET('DREN. REDE'!$B$3,ROWS($A$4:A56)-ROWS($A$4),0)</f>
        <v>B5.3</v>
      </c>
      <c r="B56" s="886" t="s">
        <v>638</v>
      </c>
      <c r="C56" s="887">
        <f ca="1">OFFSET('DREN. REDE'!$E$3,ROWS($C$4:C56)-ROWS($C$4),0)</f>
        <v>0.6</v>
      </c>
      <c r="D56" s="887">
        <f ca="1">OFFSET('DREN. REDE'!$O$3,ROWS($D$4:D56)-ROWS($D$4),0)</f>
        <v>1.5</v>
      </c>
      <c r="E56" s="887">
        <f ca="1">OFFSET('DREN. REDE'!$P$3,ROWS($E$4:E56)-ROWS($E$4),0)</f>
        <v>1.5</v>
      </c>
      <c r="F56" s="888">
        <f ca="1">OFFSET('DREN. REDE'!$C$3,ROWS($F$4:F56)-ROWS($F$4),0)</f>
        <v>62.31</v>
      </c>
      <c r="G56" s="889">
        <f t="shared" ca="1" si="7"/>
        <v>62.31</v>
      </c>
      <c r="H56" s="890">
        <f ca="1">OFFSET('DREN. REDE'!$R$3,ROWS($H$4:H56)-ROWS($H$4),0)</f>
        <v>1.2</v>
      </c>
      <c r="I56" s="890">
        <f t="shared" ca="1" si="0"/>
        <v>7.47</v>
      </c>
      <c r="J56" s="890">
        <f t="shared" ca="1" si="1"/>
        <v>112.15</v>
      </c>
      <c r="K56" s="890">
        <f t="shared" ca="1" si="2"/>
        <v>186.93</v>
      </c>
      <c r="L56" s="891">
        <f t="shared" ca="1" si="8"/>
        <v>79.3</v>
      </c>
      <c r="M56" s="892"/>
      <c r="N56" s="884" t="str">
        <f t="shared" ca="1" si="13"/>
        <v>-</v>
      </c>
      <c r="O56" s="884">
        <f t="shared" ca="1" si="3"/>
        <v>0</v>
      </c>
      <c r="P56" s="884">
        <f t="shared" ca="1" si="4"/>
        <v>0</v>
      </c>
      <c r="Q56" s="884">
        <f t="shared" ca="1" si="5"/>
        <v>0</v>
      </c>
      <c r="R56" s="884">
        <f t="shared" ca="1" si="6"/>
        <v>0.36</v>
      </c>
      <c r="S56" s="893">
        <f t="shared" ca="1" si="10"/>
        <v>0.40715040790523715</v>
      </c>
    </row>
    <row r="57" spans="1:19" x14ac:dyDescent="0.25">
      <c r="A57" s="885" t="str">
        <f ca="1">OFFSET('DREN. REDE'!$B$3,ROWS($A$4:A57)-ROWS($A$4),0)</f>
        <v>B5.2</v>
      </c>
      <c r="B57" s="886" t="s">
        <v>638</v>
      </c>
      <c r="C57" s="887">
        <f ca="1">OFFSET('DREN. REDE'!$E$3,ROWS($C$4:C57)-ROWS($C$4),0)</f>
        <v>0.6</v>
      </c>
      <c r="D57" s="887">
        <f ca="1">OFFSET('DREN. REDE'!$O$3,ROWS($D$4:D57)-ROWS($D$4),0)</f>
        <v>1.5</v>
      </c>
      <c r="E57" s="887">
        <f ca="1">OFFSET('DREN. REDE'!$P$3,ROWS($E$4:E57)-ROWS($E$4),0)</f>
        <v>1.5</v>
      </c>
      <c r="F57" s="888">
        <f ca="1">OFFSET('DREN. REDE'!$C$3,ROWS($F$4:F57)-ROWS($F$4),0)</f>
        <v>62.21</v>
      </c>
      <c r="G57" s="889">
        <f t="shared" ca="1" si="7"/>
        <v>62.21</v>
      </c>
      <c r="H57" s="890">
        <f ca="1">OFFSET('DREN. REDE'!$R$3,ROWS($H$4:H57)-ROWS($H$4),0)</f>
        <v>1.2</v>
      </c>
      <c r="I57" s="890">
        <f t="shared" ca="1" si="0"/>
        <v>7.46</v>
      </c>
      <c r="J57" s="890">
        <f t="shared" ca="1" si="1"/>
        <v>111.97</v>
      </c>
      <c r="K57" s="890">
        <f t="shared" ca="1" si="2"/>
        <v>186.63</v>
      </c>
      <c r="L57" s="891">
        <f t="shared" ca="1" si="8"/>
        <v>79.17</v>
      </c>
      <c r="M57" s="892"/>
      <c r="N57" s="884" t="str">
        <f t="shared" ca="1" si="13"/>
        <v>-</v>
      </c>
      <c r="O57" s="884">
        <f t="shared" ca="1" si="3"/>
        <v>0</v>
      </c>
      <c r="P57" s="884">
        <f t="shared" ca="1" si="4"/>
        <v>0</v>
      </c>
      <c r="Q57" s="884">
        <f t="shared" ca="1" si="5"/>
        <v>0</v>
      </c>
      <c r="R57" s="884">
        <f t="shared" ca="1" si="6"/>
        <v>0.36</v>
      </c>
      <c r="S57" s="893">
        <f t="shared" ca="1" si="10"/>
        <v>0.40715040790523715</v>
      </c>
    </row>
    <row r="58" spans="1:19" x14ac:dyDescent="0.25">
      <c r="A58" s="885" t="str">
        <f ca="1">OFFSET('DREN. REDE'!$B$3,ROWS($A$4:A58)-ROWS($A$4),0)</f>
        <v>B5.1</v>
      </c>
      <c r="B58" s="886" t="s">
        <v>638</v>
      </c>
      <c r="C58" s="887">
        <f ca="1">OFFSET('DREN. REDE'!$E$3,ROWS($C$4:C58)-ROWS($C$4),0)</f>
        <v>0.6</v>
      </c>
      <c r="D58" s="887">
        <f ca="1">OFFSET('DREN. REDE'!$O$3,ROWS($D$4:D58)-ROWS($D$4),0)</f>
        <v>1.5</v>
      </c>
      <c r="E58" s="887">
        <f ca="1">OFFSET('DREN. REDE'!$P$3,ROWS($E$4:E58)-ROWS($E$4),0)</f>
        <v>1.5</v>
      </c>
      <c r="F58" s="888">
        <f ca="1">OFFSET('DREN. REDE'!$C$3,ROWS($F$4:F58)-ROWS($F$4),0)</f>
        <v>23.87</v>
      </c>
      <c r="G58" s="889">
        <f t="shared" ca="1" si="7"/>
        <v>23.87</v>
      </c>
      <c r="H58" s="890">
        <f ca="1">OFFSET('DREN. REDE'!$R$3,ROWS($H$4:H58)-ROWS($H$4),0)</f>
        <v>1.2</v>
      </c>
      <c r="I58" s="890">
        <f t="shared" ca="1" si="0"/>
        <v>2.86</v>
      </c>
      <c r="J58" s="890">
        <f t="shared" ca="1" si="1"/>
        <v>42.96</v>
      </c>
      <c r="K58" s="890">
        <f t="shared" ca="1" si="2"/>
        <v>71.61</v>
      </c>
      <c r="L58" s="891">
        <f t="shared" ca="1" si="8"/>
        <v>30.37</v>
      </c>
      <c r="M58" s="892"/>
      <c r="N58" s="884" t="str">
        <f t="shared" ca="1" si="13"/>
        <v>-</v>
      </c>
      <c r="O58" s="884">
        <f t="shared" ca="1" si="3"/>
        <v>0</v>
      </c>
      <c r="P58" s="884">
        <f t="shared" ca="1" si="4"/>
        <v>0</v>
      </c>
      <c r="Q58" s="884">
        <f t="shared" ca="1" si="5"/>
        <v>0</v>
      </c>
      <c r="R58" s="884">
        <f t="shared" ca="1" si="6"/>
        <v>0.36</v>
      </c>
      <c r="S58" s="893">
        <f t="shared" ca="1" si="10"/>
        <v>0.40715040790523715</v>
      </c>
    </row>
    <row r="59" spans="1:19" x14ac:dyDescent="0.25">
      <c r="A59" s="885" t="str">
        <f ca="1">OFFSET('DREN. REDE'!$B$3,ROWS($A$4:A59)-ROWS($A$4),0)</f>
        <v>B5</v>
      </c>
      <c r="B59" s="886" t="s">
        <v>638</v>
      </c>
      <c r="C59" s="887">
        <f ca="1">OFFSET('DREN. REDE'!$E$3,ROWS($C$4:C59)-ROWS($C$4),0)</f>
        <v>1</v>
      </c>
      <c r="D59" s="887">
        <f ca="1">OFFSET('DREN. REDE'!$O$3,ROWS($D$4:D59)-ROWS($D$4),0)</f>
        <v>1.9</v>
      </c>
      <c r="E59" s="887">
        <f ca="1">OFFSET('DREN. REDE'!$P$3,ROWS($E$4:E59)-ROWS($E$4),0)</f>
        <v>1.9</v>
      </c>
      <c r="F59" s="888">
        <f ca="1">OFFSET('DREN. REDE'!$C$3,ROWS($F$4:F59)-ROWS($F$4),0)</f>
        <v>57.04</v>
      </c>
      <c r="G59" s="889">
        <f t="shared" ca="1" si="7"/>
        <v>57.04</v>
      </c>
      <c r="H59" s="890">
        <f ca="1">OFFSET('DREN. REDE'!$R$3,ROWS($H$4:H59)-ROWS($H$4),0)</f>
        <v>1.6</v>
      </c>
      <c r="I59" s="890">
        <f t="shared" ca="1" si="0"/>
        <v>9.1199999999999992</v>
      </c>
      <c r="J59" s="890">
        <f t="shared" ca="1" si="1"/>
        <v>173.4</v>
      </c>
      <c r="K59" s="890">
        <f t="shared" ca="1" si="2"/>
        <v>216.75</v>
      </c>
      <c r="L59" s="891">
        <f t="shared" ca="1" si="8"/>
        <v>99.76</v>
      </c>
      <c r="M59" s="892"/>
      <c r="N59" s="884" t="str">
        <f t="shared" ca="1" si="13"/>
        <v>-</v>
      </c>
      <c r="O59" s="884">
        <f t="shared" ca="1" si="3"/>
        <v>0</v>
      </c>
      <c r="P59" s="884">
        <f t="shared" ca="1" si="4"/>
        <v>0</v>
      </c>
      <c r="Q59" s="884">
        <f t="shared" ca="1" si="5"/>
        <v>0</v>
      </c>
      <c r="R59" s="884">
        <f t="shared" ca="1" si="6"/>
        <v>0.6</v>
      </c>
      <c r="S59" s="893">
        <f t="shared" ca="1" si="10"/>
        <v>1.1309733552923256</v>
      </c>
    </row>
    <row r="60" spans="1:19" x14ac:dyDescent="0.25">
      <c r="A60" s="885" t="str">
        <f ca="1">OFFSET('DREN. REDE'!$B$3,ROWS($A$4:A60)-ROWS($A$4),0)</f>
        <v>B4</v>
      </c>
      <c r="B60" s="886" t="s">
        <v>638</v>
      </c>
      <c r="C60" s="887">
        <f ca="1">OFFSET('DREN. REDE'!$E$3,ROWS($C$4:C60)-ROWS($C$4),0)</f>
        <v>1</v>
      </c>
      <c r="D60" s="887">
        <f ca="1">OFFSET('DREN. REDE'!$O$3,ROWS($D$4:D60)-ROWS($D$4),0)</f>
        <v>1.9</v>
      </c>
      <c r="E60" s="887">
        <f ca="1">OFFSET('DREN. REDE'!$P$3,ROWS($E$4:E60)-ROWS($E$4),0)</f>
        <v>1.9</v>
      </c>
      <c r="F60" s="888">
        <f ca="1">OFFSET('DREN. REDE'!$C$3,ROWS($F$4:F60)-ROWS($F$4),0)</f>
        <v>59.21</v>
      </c>
      <c r="G60" s="889">
        <f t="shared" ca="1" si="7"/>
        <v>59.21</v>
      </c>
      <c r="H60" s="890">
        <f ca="1">OFFSET('DREN. REDE'!$R$3,ROWS($H$4:H60)-ROWS($H$4),0)</f>
        <v>1.6</v>
      </c>
      <c r="I60" s="890">
        <f t="shared" ca="1" si="0"/>
        <v>9.4700000000000006</v>
      </c>
      <c r="J60" s="890">
        <f t="shared" ca="1" si="1"/>
        <v>179.99</v>
      </c>
      <c r="K60" s="890">
        <f t="shared" ca="1" si="2"/>
        <v>224.99</v>
      </c>
      <c r="L60" s="891">
        <f t="shared" ca="1" si="8"/>
        <v>103.55</v>
      </c>
      <c r="M60" s="892"/>
      <c r="N60" s="884" t="str">
        <f t="shared" ca="1" si="13"/>
        <v>-</v>
      </c>
      <c r="O60" s="884">
        <f t="shared" ca="1" si="3"/>
        <v>0</v>
      </c>
      <c r="P60" s="884">
        <f t="shared" ca="1" si="4"/>
        <v>0</v>
      </c>
      <c r="Q60" s="884">
        <f t="shared" ca="1" si="5"/>
        <v>0</v>
      </c>
      <c r="R60" s="884">
        <f t="shared" ca="1" si="6"/>
        <v>0.6</v>
      </c>
      <c r="S60" s="893">
        <f t="shared" ca="1" si="10"/>
        <v>1.1309733552923256</v>
      </c>
    </row>
    <row r="61" spans="1:19" ht="14.4" thickBot="1" x14ac:dyDescent="0.3">
      <c r="A61" s="885" t="str">
        <f ca="1">OFFSET('DREN. REDE'!$B$3,ROWS($A$4:A61)-ROWS($A$4),0)</f>
        <v>A18.3.1</v>
      </c>
      <c r="B61" s="886" t="s">
        <v>638</v>
      </c>
      <c r="C61" s="887">
        <f ca="1">OFFSET('DREN. REDE'!$E$3,ROWS($C$4:C61)-ROWS($C$4),0)</f>
        <v>0.6</v>
      </c>
      <c r="D61" s="887">
        <f ca="1">OFFSET('DREN. REDE'!$O$3,ROWS($D$4:D61)-ROWS($D$4),0)</f>
        <v>1.5</v>
      </c>
      <c r="E61" s="887">
        <f ca="1">OFFSET('DREN. REDE'!$P$3,ROWS($E$4:E61)-ROWS($E$4),0)</f>
        <v>2.2000000000000002</v>
      </c>
      <c r="F61" s="888">
        <f ca="1">OFFSET('DREN. REDE'!$C$3,ROWS($F$4:F61)-ROWS($F$4),0)</f>
        <v>28.77</v>
      </c>
      <c r="G61" s="889">
        <f t="shared" ca="1" si="7"/>
        <v>28.77</v>
      </c>
      <c r="H61" s="890">
        <f ca="1">OFFSET('DREN. REDE'!$R$3,ROWS($H$4:H61)-ROWS($H$4),0)</f>
        <v>1.2</v>
      </c>
      <c r="I61" s="890">
        <f t="shared" ca="1" si="0"/>
        <v>3.45</v>
      </c>
      <c r="J61" s="890">
        <f t="shared" ca="1" si="1"/>
        <v>63.86</v>
      </c>
      <c r="K61" s="890">
        <f t="shared" ca="1" si="2"/>
        <v>106.44</v>
      </c>
      <c r="L61" s="891">
        <f t="shared" ca="1" si="8"/>
        <v>48.69</v>
      </c>
      <c r="M61" s="892"/>
      <c r="N61" s="884" t="str">
        <f t="shared" ca="1" si="13"/>
        <v>-</v>
      </c>
      <c r="O61" s="884">
        <f t="shared" ca="1" si="3"/>
        <v>0</v>
      </c>
      <c r="P61" s="884">
        <f t="shared" ca="1" si="4"/>
        <v>0</v>
      </c>
      <c r="Q61" s="884">
        <f t="shared" ca="1" si="5"/>
        <v>0</v>
      </c>
      <c r="R61" s="884">
        <f t="shared" ca="1" si="6"/>
        <v>0.36</v>
      </c>
      <c r="S61" s="893">
        <f t="shared" ca="1" si="10"/>
        <v>0.40715040790523715</v>
      </c>
    </row>
    <row r="62" spans="1:19" s="892" customFormat="1" ht="17.25" customHeight="1" x14ac:dyDescent="0.25">
      <c r="A62" s="1403"/>
      <c r="B62" s="1404"/>
      <c r="C62" s="1404"/>
      <c r="D62" s="1404"/>
      <c r="E62" s="1404"/>
      <c r="F62" s="1404"/>
      <c r="G62" s="1405"/>
      <c r="H62" s="894" t="s">
        <v>473</v>
      </c>
      <c r="I62" s="429">
        <f ca="1">SUM(OFFSET(I4,1,0):OFFSET(I62,-1,0))</f>
        <v>527.12000000000012</v>
      </c>
      <c r="J62" s="429">
        <f ca="1">SUM(OFFSET(J4,1,0):OFFSET(J62,-1,0))</f>
        <v>9408.279999999997</v>
      </c>
      <c r="K62" s="429">
        <f ca="1">SUM(OFFSET(K4,1,0):OFFSET(K62,-1,0))</f>
        <v>11462.000000000002</v>
      </c>
      <c r="L62" s="429">
        <f ca="1">SUM(OFFSET(L4,1,0):OFFSET(L62,-1,0))</f>
        <v>4558.5899999999992</v>
      </c>
      <c r="N62" s="895"/>
      <c r="O62" s="895"/>
      <c r="P62" s="895"/>
      <c r="Q62" s="895"/>
      <c r="R62" s="895"/>
      <c r="S62" s="895"/>
    </row>
    <row r="63" spans="1:19" s="892" customFormat="1" ht="29.25" customHeight="1" x14ac:dyDescent="0.25">
      <c r="A63" s="1406"/>
      <c r="B63" s="1406"/>
      <c r="C63" s="896" t="s">
        <v>639</v>
      </c>
      <c r="D63" s="896" t="s">
        <v>640</v>
      </c>
      <c r="E63" s="896" t="s">
        <v>641</v>
      </c>
      <c r="F63" s="896" t="s">
        <v>642</v>
      </c>
      <c r="G63" s="896" t="s">
        <v>640</v>
      </c>
      <c r="H63" s="896" t="s">
        <v>641</v>
      </c>
      <c r="I63" s="896" t="s">
        <v>643</v>
      </c>
      <c r="J63" s="896" t="s">
        <v>640</v>
      </c>
      <c r="K63" s="896" t="s">
        <v>641</v>
      </c>
      <c r="L63" s="897"/>
      <c r="N63" s="895"/>
      <c r="O63" s="895"/>
      <c r="P63" s="895"/>
      <c r="Q63" s="895"/>
      <c r="R63" s="895"/>
      <c r="S63" s="895"/>
    </row>
    <row r="64" spans="1:19" s="892" customFormat="1" ht="17.25" customHeight="1" x14ac:dyDescent="0.25">
      <c r="A64" s="1407"/>
      <c r="B64" s="1408"/>
      <c r="C64" s="898" t="s">
        <v>473</v>
      </c>
      <c r="D64" s="899">
        <f ca="1">K62-E64</f>
        <v>11462.000000000002</v>
      </c>
      <c r="E64" s="899">
        <f ca="1">SUM(OFFSET(O4,1,0):OFFSET(O62,-1,0))</f>
        <v>0</v>
      </c>
      <c r="F64" s="898" t="s">
        <v>644</v>
      </c>
      <c r="G64" s="899">
        <f ca="1">J62-H64</f>
        <v>9408.279999999997</v>
      </c>
      <c r="H64" s="899">
        <f ca="1">SUM(OFFSET(P4,1,0):OFFSET(P62,-1,0))</f>
        <v>0</v>
      </c>
      <c r="I64" s="898" t="s">
        <v>644</v>
      </c>
      <c r="J64" s="899">
        <f ca="1">L62-K64</f>
        <v>4558.5899999999992</v>
      </c>
      <c r="K64" s="899">
        <f ca="1">SUM(OFFSET(Q4,1,0):OFFSET(Q62,-1,0))</f>
        <v>0</v>
      </c>
      <c r="L64" s="900"/>
      <c r="N64" s="895"/>
      <c r="O64" s="895"/>
      <c r="P64" s="895"/>
      <c r="Q64" s="895"/>
      <c r="R64" s="895"/>
      <c r="S64" s="895"/>
    </row>
    <row r="65" spans="2:19" x14ac:dyDescent="0.25">
      <c r="N65" s="884"/>
      <c r="O65" s="884"/>
      <c r="P65" s="884"/>
      <c r="Q65" s="884"/>
      <c r="R65" s="884"/>
      <c r="S65" s="884"/>
    </row>
    <row r="66" spans="2:19" x14ac:dyDescent="0.25">
      <c r="N66" s="884"/>
      <c r="O66" s="884"/>
      <c r="P66" s="884"/>
      <c r="Q66" s="884"/>
      <c r="R66" s="884"/>
      <c r="S66" s="884"/>
    </row>
    <row r="67" spans="2:19" x14ac:dyDescent="0.25">
      <c r="N67" s="884"/>
      <c r="O67" s="884"/>
      <c r="P67" s="884"/>
      <c r="Q67" s="884"/>
      <c r="R67" s="884"/>
      <c r="S67" s="884"/>
    </row>
    <row r="68" spans="2:19" x14ac:dyDescent="0.25">
      <c r="N68" s="884"/>
      <c r="O68" s="884"/>
      <c r="P68" s="884"/>
      <c r="Q68" s="884"/>
      <c r="R68" s="884"/>
      <c r="S68" s="884"/>
    </row>
    <row r="69" spans="2:19" x14ac:dyDescent="0.25">
      <c r="N69" s="884"/>
      <c r="O69" s="884"/>
      <c r="P69" s="884"/>
      <c r="Q69" s="884"/>
      <c r="R69" s="884"/>
      <c r="S69" s="884"/>
    </row>
    <row r="70" spans="2:19" x14ac:dyDescent="0.25">
      <c r="N70" s="884"/>
      <c r="O70" s="884"/>
      <c r="P70" s="884"/>
      <c r="Q70" s="884"/>
      <c r="R70" s="884"/>
      <c r="S70" s="884"/>
    </row>
    <row r="71" spans="2:19" x14ac:dyDescent="0.25">
      <c r="N71" s="884"/>
      <c r="O71" s="884"/>
      <c r="P71" s="884"/>
      <c r="Q71" s="884"/>
      <c r="R71" s="884"/>
      <c r="S71" s="884"/>
    </row>
    <row r="72" spans="2:19" x14ac:dyDescent="0.25">
      <c r="N72" s="884"/>
      <c r="O72" s="884"/>
      <c r="P72" s="884"/>
      <c r="Q72" s="884"/>
      <c r="R72" s="884"/>
      <c r="S72" s="884"/>
    </row>
    <row r="73" spans="2:19" ht="36.75" customHeight="1" x14ac:dyDescent="0.25">
      <c r="N73" s="884"/>
      <c r="O73" s="884"/>
      <c r="P73" s="884"/>
      <c r="Q73" s="884"/>
      <c r="R73" s="884"/>
      <c r="S73" s="884"/>
    </row>
    <row r="74" spans="2:19" ht="36.75" customHeight="1" x14ac:dyDescent="0.25">
      <c r="N74" s="884"/>
      <c r="O74" s="884"/>
      <c r="P74" s="884"/>
      <c r="Q74" s="884"/>
      <c r="R74" s="884"/>
      <c r="S74" s="884"/>
    </row>
    <row r="75" spans="2:19" x14ac:dyDescent="0.25">
      <c r="B75" s="1386" t="s">
        <v>645</v>
      </c>
      <c r="C75" s="1386"/>
      <c r="D75" s="1386"/>
      <c r="E75" s="1386"/>
      <c r="F75" s="1386"/>
      <c r="G75" s="1386"/>
      <c r="H75" s="1386"/>
      <c r="I75" s="1386"/>
      <c r="J75" s="1386"/>
      <c r="K75" s="1386"/>
      <c r="L75" s="901"/>
      <c r="N75" s="884"/>
      <c r="O75" s="884"/>
      <c r="P75" s="884"/>
      <c r="Q75" s="884"/>
      <c r="R75" s="884"/>
      <c r="S75" s="884"/>
    </row>
    <row r="76" spans="2:19" ht="55.2" x14ac:dyDescent="0.25">
      <c r="B76" s="902" t="s">
        <v>646</v>
      </c>
      <c r="C76" s="902" t="s">
        <v>647</v>
      </c>
      <c r="D76" s="902" t="s">
        <v>648</v>
      </c>
      <c r="E76" s="903" t="s">
        <v>649</v>
      </c>
      <c r="F76" s="904" t="s">
        <v>650</v>
      </c>
      <c r="G76" s="905" t="s">
        <v>651</v>
      </c>
      <c r="H76" s="905" t="s">
        <v>652</v>
      </c>
      <c r="I76" s="905" t="s">
        <v>653</v>
      </c>
      <c r="J76" s="904" t="s">
        <v>654</v>
      </c>
      <c r="K76" s="903" t="s">
        <v>655</v>
      </c>
      <c r="L76" s="901"/>
      <c r="N76" s="884"/>
      <c r="O76" s="884"/>
      <c r="P76" s="884"/>
      <c r="Q76" s="884"/>
      <c r="R76" s="884"/>
      <c r="S76" s="884"/>
    </row>
    <row r="77" spans="2:19" x14ac:dyDescent="0.25">
      <c r="B77" s="888" t="s">
        <v>656</v>
      </c>
      <c r="C77" s="888">
        <v>1.5</v>
      </c>
      <c r="D77" s="906">
        <v>1.35</v>
      </c>
      <c r="E77" s="888">
        <v>0.92</v>
      </c>
      <c r="F77" s="888">
        <v>1.4</v>
      </c>
      <c r="G77" s="888">
        <v>2.4</v>
      </c>
      <c r="H77" s="888">
        <v>2.4</v>
      </c>
      <c r="I77" s="890">
        <v>79</v>
      </c>
      <c r="J77" s="888">
        <f>I77*(F77*G77*H77)</f>
        <v>637.05600000000004</v>
      </c>
      <c r="K77" s="906">
        <f>I77*(G77*H77)</f>
        <v>455.03999999999996</v>
      </c>
      <c r="L77" s="907"/>
      <c r="N77" s="884"/>
      <c r="O77" s="884"/>
      <c r="P77" s="884"/>
      <c r="Q77" s="884"/>
      <c r="R77" s="884"/>
      <c r="S77" s="884"/>
    </row>
    <row r="78" spans="2:19" x14ac:dyDescent="0.25">
      <c r="B78" s="1397" t="s">
        <v>473</v>
      </c>
      <c r="C78" s="1397"/>
      <c r="D78" s="1397"/>
      <c r="E78" s="1397"/>
      <c r="F78" s="1397"/>
      <c r="G78" s="1397"/>
      <c r="H78" s="1397"/>
      <c r="I78" s="908">
        <f>I77</f>
        <v>79</v>
      </c>
      <c r="J78" s="899">
        <f>J77</f>
        <v>637.05600000000004</v>
      </c>
      <c r="K78" s="899">
        <f>K77</f>
        <v>455.03999999999996</v>
      </c>
      <c r="L78" s="901"/>
      <c r="N78" s="884"/>
      <c r="O78" s="884"/>
      <c r="P78" s="884"/>
      <c r="Q78" s="884"/>
      <c r="R78" s="884"/>
      <c r="S78" s="884"/>
    </row>
    <row r="79" spans="2:19" ht="13.5" customHeight="1" x14ac:dyDescent="0.25">
      <c r="N79" s="884"/>
      <c r="O79" s="884"/>
      <c r="P79" s="884"/>
      <c r="Q79" s="884"/>
      <c r="R79" s="884"/>
      <c r="S79" s="884"/>
    </row>
    <row r="80" spans="2:19" x14ac:dyDescent="0.25">
      <c r="B80" s="1386" t="s">
        <v>657</v>
      </c>
      <c r="C80" s="1386"/>
      <c r="D80" s="1386"/>
      <c r="E80" s="1386"/>
      <c r="F80" s="1386"/>
      <c r="G80" s="1386"/>
      <c r="H80" s="1386"/>
      <c r="I80" s="1386"/>
      <c r="J80" s="1386"/>
      <c r="K80" s="1386"/>
      <c r="L80" s="901"/>
      <c r="N80" s="884"/>
      <c r="O80" s="884"/>
      <c r="P80" s="884"/>
      <c r="Q80" s="884"/>
      <c r="R80" s="884"/>
      <c r="S80" s="884"/>
    </row>
    <row r="81" spans="2:19" ht="55.2" x14ac:dyDescent="0.25">
      <c r="B81" s="902" t="s">
        <v>646</v>
      </c>
      <c r="C81" s="902" t="s">
        <v>647</v>
      </c>
      <c r="D81" s="902" t="s">
        <v>648</v>
      </c>
      <c r="E81" s="903" t="s">
        <v>649</v>
      </c>
      <c r="F81" s="904" t="s">
        <v>650</v>
      </c>
      <c r="G81" s="905" t="s">
        <v>651</v>
      </c>
      <c r="H81" s="905" t="s">
        <v>652</v>
      </c>
      <c r="I81" s="905" t="s">
        <v>653</v>
      </c>
      <c r="J81" s="904" t="s">
        <v>658</v>
      </c>
      <c r="K81" s="903" t="s">
        <v>655</v>
      </c>
      <c r="L81" s="901"/>
      <c r="N81" s="884"/>
      <c r="O81" s="884"/>
      <c r="P81" s="884"/>
      <c r="Q81" s="884"/>
      <c r="R81" s="884"/>
      <c r="S81" s="884"/>
    </row>
    <row r="82" spans="2:19" x14ac:dyDescent="0.25">
      <c r="B82" s="888" t="s">
        <v>659</v>
      </c>
      <c r="C82" s="888">
        <v>1.5</v>
      </c>
      <c r="D82" s="906">
        <v>2.54</v>
      </c>
      <c r="E82" s="888">
        <v>0.92</v>
      </c>
      <c r="F82" s="888">
        <v>1.4</v>
      </c>
      <c r="G82" s="888">
        <v>2.4</v>
      </c>
      <c r="H82" s="888">
        <v>3.8</v>
      </c>
      <c r="I82" s="890">
        <v>23</v>
      </c>
      <c r="J82" s="888">
        <f>I82*(F82*G82*H82)</f>
        <v>293.66399999999999</v>
      </c>
      <c r="K82" s="906">
        <f>I82*(G82*H82)</f>
        <v>209.76</v>
      </c>
      <c r="L82" s="901"/>
      <c r="N82" s="884"/>
      <c r="O82" s="884"/>
      <c r="P82" s="884"/>
      <c r="Q82" s="884"/>
      <c r="R82" s="884"/>
      <c r="S82" s="884"/>
    </row>
    <row r="83" spans="2:19" x14ac:dyDescent="0.25">
      <c r="B83" s="1397" t="s">
        <v>473</v>
      </c>
      <c r="C83" s="1397"/>
      <c r="D83" s="1397"/>
      <c r="E83" s="1397"/>
      <c r="F83" s="1397"/>
      <c r="G83" s="1397"/>
      <c r="H83" s="1397"/>
      <c r="I83" s="899">
        <f>I82</f>
        <v>23</v>
      </c>
      <c r="J83" s="899">
        <f>J82</f>
        <v>293.66399999999999</v>
      </c>
      <c r="K83" s="899">
        <f>K82</f>
        <v>209.76</v>
      </c>
      <c r="L83" s="901"/>
      <c r="N83" s="884"/>
      <c r="O83" s="884"/>
      <c r="P83" s="884"/>
      <c r="Q83" s="884"/>
      <c r="R83" s="884"/>
      <c r="S83" s="884"/>
    </row>
    <row r="84" spans="2:19" ht="15" customHeight="1" x14ac:dyDescent="0.25">
      <c r="L84" s="901"/>
      <c r="N84" s="884"/>
      <c r="O84" s="884"/>
      <c r="P84" s="884"/>
      <c r="Q84" s="884"/>
      <c r="R84" s="884"/>
      <c r="S84" s="884"/>
    </row>
    <row r="85" spans="2:19" x14ac:dyDescent="0.25">
      <c r="B85" s="1386" t="s">
        <v>660</v>
      </c>
      <c r="C85" s="1386"/>
      <c r="D85" s="1386"/>
      <c r="E85" s="1386"/>
      <c r="F85" s="1386"/>
      <c r="G85" s="1386"/>
      <c r="H85" s="1386"/>
      <c r="I85" s="1386"/>
      <c r="J85" s="1386"/>
      <c r="K85" s="1386"/>
      <c r="L85" s="901"/>
      <c r="N85" s="884"/>
      <c r="O85" s="884"/>
      <c r="P85" s="884"/>
      <c r="Q85" s="884"/>
      <c r="R85" s="884"/>
      <c r="S85" s="884"/>
    </row>
    <row r="86" spans="2:19" ht="55.2" x14ac:dyDescent="0.25">
      <c r="B86" s="902" t="s">
        <v>646</v>
      </c>
      <c r="C86" s="902" t="s">
        <v>647</v>
      </c>
      <c r="D86" s="902" t="s">
        <v>622</v>
      </c>
      <c r="E86" s="903" t="s">
        <v>648</v>
      </c>
      <c r="F86" s="904" t="s">
        <v>649</v>
      </c>
      <c r="G86" s="905" t="s">
        <v>650</v>
      </c>
      <c r="H86" s="905" t="s">
        <v>651</v>
      </c>
      <c r="I86" s="905" t="s">
        <v>652</v>
      </c>
      <c r="J86" s="904" t="s">
        <v>653</v>
      </c>
      <c r="K86" s="903" t="s">
        <v>654</v>
      </c>
      <c r="L86" s="901"/>
      <c r="N86" s="884"/>
      <c r="O86" s="884"/>
      <c r="P86" s="884"/>
      <c r="Q86" s="884"/>
      <c r="R86" s="884"/>
      <c r="S86" s="884"/>
    </row>
    <row r="87" spans="2:19" x14ac:dyDescent="0.25">
      <c r="B87" s="888" t="s">
        <v>661</v>
      </c>
      <c r="C87" s="888">
        <v>0.8</v>
      </c>
      <c r="D87" s="888">
        <v>0.6</v>
      </c>
      <c r="E87" s="906">
        <v>1.9</v>
      </c>
      <c r="F87" s="888">
        <v>1</v>
      </c>
      <c r="G87" s="888">
        <v>1.5</v>
      </c>
      <c r="H87" s="888">
        <f t="shared" ref="H87:I91" si="14">E87+1</f>
        <v>2.9</v>
      </c>
      <c r="I87" s="888">
        <f t="shared" si="14"/>
        <v>2</v>
      </c>
      <c r="J87" s="888">
        <v>40</v>
      </c>
      <c r="K87" s="888">
        <f>J87*(G87*H87*I87)</f>
        <v>348</v>
      </c>
      <c r="L87" s="909"/>
      <c r="N87" s="884"/>
      <c r="O87" s="884"/>
      <c r="P87" s="884"/>
      <c r="Q87" s="884"/>
      <c r="R87" s="884"/>
      <c r="S87" s="884"/>
    </row>
    <row r="88" spans="2:19" x14ac:dyDescent="0.25">
      <c r="B88" s="888" t="s">
        <v>662</v>
      </c>
      <c r="C88" s="888">
        <v>1</v>
      </c>
      <c r="D88" s="888">
        <v>0.8</v>
      </c>
      <c r="E88" s="906">
        <v>1.9</v>
      </c>
      <c r="F88" s="888">
        <v>1.3</v>
      </c>
      <c r="G88" s="888">
        <v>0</v>
      </c>
      <c r="H88" s="888">
        <f t="shared" si="14"/>
        <v>2.9</v>
      </c>
      <c r="I88" s="888">
        <f t="shared" si="14"/>
        <v>2.2999999999999998</v>
      </c>
      <c r="J88" s="888">
        <v>5</v>
      </c>
      <c r="K88" s="888">
        <f>J88*(G88*H88*I88)</f>
        <v>0</v>
      </c>
      <c r="L88" s="909"/>
      <c r="N88" s="884"/>
      <c r="O88" s="884"/>
      <c r="P88" s="884"/>
      <c r="Q88" s="884"/>
      <c r="R88" s="884"/>
      <c r="S88" s="884"/>
    </row>
    <row r="89" spans="2:19" x14ac:dyDescent="0.25">
      <c r="B89" s="888" t="s">
        <v>663</v>
      </c>
      <c r="C89" s="888">
        <v>1.3</v>
      </c>
      <c r="D89" s="888">
        <v>1</v>
      </c>
      <c r="E89" s="906">
        <v>1.9</v>
      </c>
      <c r="F89" s="888">
        <v>1.5</v>
      </c>
      <c r="G89" s="888">
        <v>0</v>
      </c>
      <c r="H89" s="888">
        <f t="shared" si="14"/>
        <v>2.9</v>
      </c>
      <c r="I89" s="888">
        <f t="shared" si="14"/>
        <v>2.5</v>
      </c>
      <c r="J89" s="888">
        <v>8</v>
      </c>
      <c r="K89" s="888">
        <f>J89*(G89*H89*I89)</f>
        <v>0</v>
      </c>
      <c r="L89" s="901"/>
      <c r="N89" s="884"/>
      <c r="O89" s="884"/>
      <c r="P89" s="884"/>
      <c r="Q89" s="884"/>
      <c r="R89" s="884"/>
      <c r="S89" s="884"/>
    </row>
    <row r="90" spans="2:19" x14ac:dyDescent="0.25">
      <c r="B90" s="888" t="s">
        <v>664</v>
      </c>
      <c r="C90" s="888">
        <v>1.5</v>
      </c>
      <c r="D90" s="888">
        <v>1.2</v>
      </c>
      <c r="E90" s="906">
        <v>1.9</v>
      </c>
      <c r="F90" s="888">
        <v>1.7</v>
      </c>
      <c r="G90" s="888">
        <v>0</v>
      </c>
      <c r="H90" s="888">
        <f t="shared" si="14"/>
        <v>2.9</v>
      </c>
      <c r="I90" s="888">
        <f t="shared" si="14"/>
        <v>2.7</v>
      </c>
      <c r="J90" s="888">
        <v>3</v>
      </c>
      <c r="K90" s="888">
        <f>J90*(G90*H90*I90)</f>
        <v>0</v>
      </c>
      <c r="L90" s="901"/>
      <c r="N90" s="884"/>
      <c r="O90" s="884"/>
      <c r="P90" s="884"/>
      <c r="Q90" s="884"/>
      <c r="R90" s="884"/>
      <c r="S90" s="884"/>
    </row>
    <row r="91" spans="2:19" x14ac:dyDescent="0.25">
      <c r="B91" s="888" t="s">
        <v>665</v>
      </c>
      <c r="C91" s="888">
        <v>1.8</v>
      </c>
      <c r="D91" s="888">
        <v>1.5</v>
      </c>
      <c r="E91" s="906">
        <v>1.9</v>
      </c>
      <c r="F91" s="888">
        <v>2</v>
      </c>
      <c r="G91" s="888">
        <v>0</v>
      </c>
      <c r="H91" s="888">
        <f t="shared" si="14"/>
        <v>2.9</v>
      </c>
      <c r="I91" s="888">
        <f t="shared" si="14"/>
        <v>3</v>
      </c>
      <c r="J91" s="888">
        <v>0</v>
      </c>
      <c r="K91" s="888">
        <f>J91*(G91*H91*I91)</f>
        <v>0</v>
      </c>
      <c r="L91" s="901"/>
      <c r="N91" s="884"/>
      <c r="O91" s="884"/>
      <c r="P91" s="884"/>
      <c r="Q91" s="884"/>
      <c r="R91" s="884"/>
      <c r="S91" s="884"/>
    </row>
    <row r="92" spans="2:19" x14ac:dyDescent="0.25">
      <c r="B92" s="1397" t="s">
        <v>473</v>
      </c>
      <c r="C92" s="1397"/>
      <c r="D92" s="1397"/>
      <c r="E92" s="1397"/>
      <c r="F92" s="1397"/>
      <c r="G92" s="1397"/>
      <c r="H92" s="1397"/>
      <c r="I92" s="1397"/>
      <c r="J92" s="910">
        <f>SUM(J87:J91)</f>
        <v>56</v>
      </c>
      <c r="K92" s="910">
        <f>SUM(K87:K88)</f>
        <v>348</v>
      </c>
      <c r="L92" s="901"/>
      <c r="N92" s="884"/>
      <c r="O92" s="884"/>
      <c r="P92" s="884"/>
      <c r="Q92" s="884"/>
      <c r="R92" s="884"/>
      <c r="S92" s="884"/>
    </row>
    <row r="93" spans="2:19" ht="16.5" customHeight="1" x14ac:dyDescent="0.25">
      <c r="L93" s="901"/>
      <c r="N93" s="884"/>
      <c r="O93" s="884"/>
      <c r="P93" s="884"/>
      <c r="Q93" s="884"/>
      <c r="R93" s="884"/>
      <c r="S93" s="884"/>
    </row>
    <row r="94" spans="2:19" ht="20.100000000000001" customHeight="1" x14ac:dyDescent="0.25">
      <c r="B94" s="1386" t="s">
        <v>666</v>
      </c>
      <c r="C94" s="1386"/>
      <c r="D94" s="1386"/>
      <c r="E94" s="1386"/>
      <c r="F94" s="1386"/>
      <c r="G94" s="1386"/>
      <c r="H94" s="1386"/>
      <c r="I94" s="1386"/>
      <c r="J94" s="1386"/>
      <c r="K94" s="1386"/>
      <c r="L94" s="901"/>
      <c r="N94" s="884"/>
      <c r="O94" s="884"/>
      <c r="P94" s="884"/>
      <c r="Q94" s="884"/>
      <c r="R94" s="884"/>
      <c r="S94" s="884"/>
    </row>
    <row r="95" spans="2:19" ht="63" customHeight="1" x14ac:dyDescent="0.25">
      <c r="B95" s="902" t="s">
        <v>620</v>
      </c>
      <c r="C95" s="902" t="s">
        <v>667</v>
      </c>
      <c r="D95" s="902" t="s">
        <v>668</v>
      </c>
      <c r="E95" s="903" t="s">
        <v>648</v>
      </c>
      <c r="F95" s="904" t="s">
        <v>669</v>
      </c>
      <c r="G95" s="905" t="s">
        <v>670</v>
      </c>
      <c r="H95" s="905" t="s">
        <v>653</v>
      </c>
      <c r="I95" s="905" t="s">
        <v>629</v>
      </c>
      <c r="J95" s="904" t="s">
        <v>671</v>
      </c>
      <c r="K95" s="903" t="s">
        <v>672</v>
      </c>
      <c r="L95" s="901"/>
      <c r="N95" s="884"/>
      <c r="O95" s="884"/>
      <c r="P95" s="884"/>
      <c r="Q95" s="903" t="s">
        <v>648</v>
      </c>
      <c r="R95" s="903" t="s">
        <v>673</v>
      </c>
      <c r="S95" s="903" t="s">
        <v>672</v>
      </c>
    </row>
    <row r="96" spans="2:19" x14ac:dyDescent="0.25">
      <c r="B96" s="911" t="str">
        <f ca="1">OFFSET($A$4,ROWS($B$95:B96)-ROWS($B$95),0)</f>
        <v>A19.3</v>
      </c>
      <c r="C96" s="887">
        <f ca="1">OFFSET($C$4,ROWS($C$95:C96)-ROWS($C$95),0)</f>
        <v>0.6</v>
      </c>
      <c r="D96" s="887">
        <v>1.45</v>
      </c>
      <c r="E96" s="890">
        <f ca="1">IF(C96&lt;=0.8,1.5,IF(AND(C96&gt;0.8,C96&lt;=1.2),2,2.5))*H96</f>
        <v>1.5</v>
      </c>
      <c r="F96" s="890">
        <f ca="1">E96+1</f>
        <v>2.5</v>
      </c>
      <c r="G96" s="890">
        <f ca="1">OFFSET($D$4,ROWS($G$95:G96)-ROWS($G$95),0)+0.1</f>
        <v>1.6</v>
      </c>
      <c r="H96" s="890">
        <f t="shared" ref="H96:H152" si="15">IF(B5="SIMPLES",1,IF(B5="DUPLO",2,IF(B5="TRIPLO",3)))</f>
        <v>1</v>
      </c>
      <c r="I96" s="887">
        <f ca="1">E96*F96*G96</f>
        <v>6</v>
      </c>
      <c r="J96" s="890">
        <f ca="1">F96*G96</f>
        <v>4</v>
      </c>
      <c r="K96" s="887">
        <f ca="1">IF(G96-D96&lt;=0,0,IF(G96&lt;=2.5,G96-D96,IF(G96&gt;3.5,G96-D96-1,2.5-D96)))*H96</f>
        <v>0.15000000000000013</v>
      </c>
      <c r="L96" s="901"/>
      <c r="N96" s="884" t="str">
        <f ca="1">IF(G96&gt;3, "SIM", "-")</f>
        <v>-</v>
      </c>
      <c r="O96" s="884">
        <f ca="1">IF(N96="SIM",I96,0)</f>
        <v>0</v>
      </c>
      <c r="P96" s="884">
        <v>1</v>
      </c>
      <c r="Q96" s="912">
        <f ca="1">IF(C96&lt;=0.8,1.5,IF(AND(C96&gt;0.8,C96&lt;=1.2),2,2.5))</f>
        <v>1.5</v>
      </c>
      <c r="R96" s="884">
        <f ca="1">IF(AND(G96-(D96+K96)&lt;=1,G96-(D96+K96)&gt;0),G96-(D96+K96),0)</f>
        <v>0</v>
      </c>
      <c r="S96" s="887">
        <f ca="1">IF(G96-D96&lt;=0,0,IF(G96&lt;=2.5,G96-D96,IF(G96&gt;3.5,G96-D96-1,2.5-D96)))</f>
        <v>0.15000000000000013</v>
      </c>
    </row>
    <row r="97" spans="2:19" x14ac:dyDescent="0.25">
      <c r="B97" s="911" t="str">
        <f ca="1">OFFSET($A$4,ROWS($B$95:B97)-ROWS($B$95),0)</f>
        <v>A19.2</v>
      </c>
      <c r="C97" s="887">
        <f ca="1">OFFSET($C$4,ROWS($C$95:C97)-ROWS($C$95),0)</f>
        <v>0.6</v>
      </c>
      <c r="D97" s="887">
        <v>1.45</v>
      </c>
      <c r="E97" s="890">
        <f t="shared" ref="E97:E152" ca="1" si="16">IF(C97&lt;=0.8,1.5,IF(AND(C97&gt;0.8,C97&lt;=1.2),2,2.5))*H97</f>
        <v>1.5</v>
      </c>
      <c r="F97" s="890">
        <f t="shared" ref="F97:F152" ca="1" si="17">E97+1</f>
        <v>2.5</v>
      </c>
      <c r="G97" s="890">
        <f ca="1">OFFSET($D$4,ROWS($G$95:G97)-ROWS($G$95),0)+0.1</f>
        <v>1.6</v>
      </c>
      <c r="H97" s="890">
        <f t="shared" si="15"/>
        <v>1</v>
      </c>
      <c r="I97" s="887">
        <f t="shared" ref="I97:I152" ca="1" si="18">E97*F97*G97</f>
        <v>6</v>
      </c>
      <c r="J97" s="890">
        <f t="shared" ref="J97:J152" ca="1" si="19">F97*G97</f>
        <v>4</v>
      </c>
      <c r="K97" s="887">
        <f t="shared" ref="K97:K152" ca="1" si="20">IF(G97-D97&lt;=0,0,IF(G97&lt;=2.5,G97-D97,IF(G97&gt;3.5,G97-D97-1,2.5-D97)))*H97</f>
        <v>0.15000000000000013</v>
      </c>
      <c r="L97" s="901"/>
      <c r="N97" s="884" t="str">
        <f t="shared" ref="N97:N152" ca="1" si="21">IF(G97&gt;3, "SIM", "-")</f>
        <v>-</v>
      </c>
      <c r="O97" s="884">
        <f t="shared" ref="O97:O152" ca="1" si="22">IF(N97="SIM",I97,0)</f>
        <v>0</v>
      </c>
      <c r="P97" s="884">
        <v>1</v>
      </c>
      <c r="Q97" s="912">
        <f t="shared" ref="Q97:Q152" ca="1" si="23">IF(C97&lt;=0.8,1.5,IF(AND(C97&gt;0.8,C97&lt;=1.2),2,2.5))</f>
        <v>1.5</v>
      </c>
      <c r="R97" s="884">
        <f t="shared" ref="R97:R152" ca="1" si="24">IF(AND(G97-(D97+K97)&lt;=1,G97-(D97+K97)&gt;0),G97-(D97+K97),0)</f>
        <v>0</v>
      </c>
      <c r="S97" s="887">
        <f ca="1">IF(G97-D97&lt;=0,0,IF(G97&lt;=2.5,G97-D97,IF(G97&gt;3.5,G97-D97-1,2.5-D97)))</f>
        <v>0.15000000000000013</v>
      </c>
    </row>
    <row r="98" spans="2:19" x14ac:dyDescent="0.25">
      <c r="B98" s="911" t="str">
        <f ca="1">OFFSET($A$4,ROWS($B$95:B98)-ROWS($B$95),0)</f>
        <v>A19.1</v>
      </c>
      <c r="C98" s="887">
        <f ca="1">OFFSET($C$4,ROWS($C$95:C98)-ROWS($C$95),0)</f>
        <v>0.6</v>
      </c>
      <c r="D98" s="887">
        <v>1.45</v>
      </c>
      <c r="E98" s="890">
        <f t="shared" ca="1" si="16"/>
        <v>1.5</v>
      </c>
      <c r="F98" s="890">
        <f t="shared" ca="1" si="17"/>
        <v>2.5</v>
      </c>
      <c r="G98" s="890">
        <f ca="1">OFFSET($D$4,ROWS($G$95:G98)-ROWS($G$95),0)+0.1</f>
        <v>1.7000000000000002</v>
      </c>
      <c r="H98" s="890">
        <f t="shared" si="15"/>
        <v>1</v>
      </c>
      <c r="I98" s="887">
        <f t="shared" ca="1" si="18"/>
        <v>6.3750000000000009</v>
      </c>
      <c r="J98" s="890">
        <f t="shared" ca="1" si="19"/>
        <v>4.25</v>
      </c>
      <c r="K98" s="887">
        <f t="shared" ca="1" si="20"/>
        <v>0.25000000000000022</v>
      </c>
      <c r="L98" s="901"/>
      <c r="N98" s="884" t="str">
        <f t="shared" ca="1" si="21"/>
        <v>-</v>
      </c>
      <c r="O98" s="884">
        <f t="shared" ca="1" si="22"/>
        <v>0</v>
      </c>
      <c r="P98" s="884">
        <v>1</v>
      </c>
      <c r="Q98" s="912">
        <f t="shared" ca="1" si="23"/>
        <v>1.5</v>
      </c>
      <c r="R98" s="884">
        <f t="shared" ca="1" si="24"/>
        <v>0</v>
      </c>
      <c r="S98" s="887">
        <f t="shared" ref="S98:S152" ca="1" si="25">IF(G98-D98&lt;=0,0,IF(G98&lt;=2.5,G98-D98,IF(G98&gt;3.5,G98-D98-1,2.5-D98)))</f>
        <v>0.25000000000000022</v>
      </c>
    </row>
    <row r="99" spans="2:19" x14ac:dyDescent="0.25">
      <c r="B99" s="911" t="str">
        <f ca="1">OFFSET($A$4,ROWS($B$95:B99)-ROWS($B$95),0)</f>
        <v>A18</v>
      </c>
      <c r="C99" s="887">
        <f ca="1">OFFSET($C$4,ROWS($C$95:C99)-ROWS($C$95),0)</f>
        <v>1.5</v>
      </c>
      <c r="D99" s="887">
        <v>1.45</v>
      </c>
      <c r="E99" s="890">
        <f t="shared" ca="1" si="16"/>
        <v>2.5</v>
      </c>
      <c r="F99" s="890">
        <f t="shared" ca="1" si="17"/>
        <v>3.5</v>
      </c>
      <c r="G99" s="890">
        <f ca="1">OFFSET($D$4,ROWS($G$95:G99)-ROWS($G$95),0)+0.1</f>
        <v>3</v>
      </c>
      <c r="H99" s="890">
        <f t="shared" si="15"/>
        <v>1</v>
      </c>
      <c r="I99" s="887">
        <f t="shared" ca="1" si="18"/>
        <v>26.25</v>
      </c>
      <c r="J99" s="890">
        <f t="shared" ca="1" si="19"/>
        <v>10.5</v>
      </c>
      <c r="K99" s="887">
        <f t="shared" ca="1" si="20"/>
        <v>1.05</v>
      </c>
      <c r="L99" s="901"/>
      <c r="N99" s="884" t="str">
        <f t="shared" ca="1" si="21"/>
        <v>-</v>
      </c>
      <c r="O99" s="884">
        <f t="shared" ca="1" si="22"/>
        <v>0</v>
      </c>
      <c r="P99" s="884">
        <v>1</v>
      </c>
      <c r="Q99" s="912">
        <f t="shared" ca="1" si="23"/>
        <v>2.5</v>
      </c>
      <c r="R99" s="884">
        <f t="shared" ca="1" si="24"/>
        <v>0.5</v>
      </c>
      <c r="S99" s="887">
        <f t="shared" ca="1" si="25"/>
        <v>1.05</v>
      </c>
    </row>
    <row r="100" spans="2:19" x14ac:dyDescent="0.25">
      <c r="B100" s="911" t="str">
        <f ca="1">OFFSET($A$4,ROWS($B$95:B100)-ROWS($B$95),0)</f>
        <v>A17</v>
      </c>
      <c r="C100" s="887">
        <f ca="1">OFFSET($C$4,ROWS($C$95:C100)-ROWS($C$95),0)</f>
        <v>1.5</v>
      </c>
      <c r="D100" s="887">
        <v>1.45</v>
      </c>
      <c r="E100" s="890">
        <f t="shared" ca="1" si="16"/>
        <v>2.5</v>
      </c>
      <c r="F100" s="890">
        <f t="shared" ca="1" si="17"/>
        <v>3.5</v>
      </c>
      <c r="G100" s="890">
        <f ca="1">OFFSET($D$4,ROWS($G$95:G100)-ROWS($G$95),0)+0.1</f>
        <v>2.5</v>
      </c>
      <c r="H100" s="890">
        <f t="shared" si="15"/>
        <v>1</v>
      </c>
      <c r="I100" s="887">
        <f t="shared" ca="1" si="18"/>
        <v>21.875</v>
      </c>
      <c r="J100" s="890">
        <f t="shared" ca="1" si="19"/>
        <v>8.75</v>
      </c>
      <c r="K100" s="887">
        <f t="shared" ca="1" si="20"/>
        <v>1.05</v>
      </c>
      <c r="L100" s="901"/>
      <c r="N100" s="884" t="str">
        <f t="shared" ca="1" si="21"/>
        <v>-</v>
      </c>
      <c r="O100" s="884">
        <f t="shared" ca="1" si="22"/>
        <v>0</v>
      </c>
      <c r="P100" s="884">
        <v>1</v>
      </c>
      <c r="Q100" s="912">
        <f t="shared" ca="1" si="23"/>
        <v>2.5</v>
      </c>
      <c r="R100" s="884">
        <f t="shared" ca="1" si="24"/>
        <v>0</v>
      </c>
      <c r="S100" s="887">
        <f t="shared" ca="1" si="25"/>
        <v>1.05</v>
      </c>
    </row>
    <row r="101" spans="2:19" x14ac:dyDescent="0.25">
      <c r="B101" s="911" t="str">
        <f ca="1">OFFSET($A$4,ROWS($B$95:B101)-ROWS($B$95),0)</f>
        <v>A16</v>
      </c>
      <c r="C101" s="887">
        <f ca="1">OFFSET($C$4,ROWS($C$95:C101)-ROWS($C$95),0)</f>
        <v>1.5</v>
      </c>
      <c r="D101" s="887">
        <v>1.45</v>
      </c>
      <c r="E101" s="890">
        <f t="shared" ca="1" si="16"/>
        <v>2.5</v>
      </c>
      <c r="F101" s="890">
        <f t="shared" ca="1" si="17"/>
        <v>3.5</v>
      </c>
      <c r="G101" s="890">
        <f ca="1">OFFSET($D$4,ROWS($G$95:G101)-ROWS($G$95),0)+0.1</f>
        <v>2.3000000000000003</v>
      </c>
      <c r="H101" s="890">
        <f t="shared" si="15"/>
        <v>1</v>
      </c>
      <c r="I101" s="887">
        <f t="shared" ca="1" si="18"/>
        <v>20.125000000000004</v>
      </c>
      <c r="J101" s="890">
        <f t="shared" ca="1" si="19"/>
        <v>8.0500000000000007</v>
      </c>
      <c r="K101" s="887">
        <f t="shared" ca="1" si="20"/>
        <v>0.85000000000000031</v>
      </c>
      <c r="L101" s="901"/>
      <c r="N101" s="884" t="str">
        <f t="shared" ca="1" si="21"/>
        <v>-</v>
      </c>
      <c r="O101" s="884">
        <f t="shared" ca="1" si="22"/>
        <v>0</v>
      </c>
      <c r="P101" s="884">
        <v>1</v>
      </c>
      <c r="Q101" s="912">
        <f t="shared" ca="1" si="23"/>
        <v>2.5</v>
      </c>
      <c r="R101" s="884">
        <f t="shared" ca="1" si="24"/>
        <v>0</v>
      </c>
      <c r="S101" s="887">
        <f t="shared" ca="1" si="25"/>
        <v>0.85000000000000031</v>
      </c>
    </row>
    <row r="102" spans="2:19" x14ac:dyDescent="0.25">
      <c r="B102" s="911" t="str">
        <f ca="1">OFFSET($A$4,ROWS($B$95:B102)-ROWS($B$95),0)</f>
        <v>A15</v>
      </c>
      <c r="C102" s="887">
        <f ca="1">OFFSET($C$4,ROWS($C$95:C102)-ROWS($C$95),0)</f>
        <v>1.5</v>
      </c>
      <c r="D102" s="887">
        <v>1.45</v>
      </c>
      <c r="E102" s="890">
        <f t="shared" ca="1" si="16"/>
        <v>2.5</v>
      </c>
      <c r="F102" s="890">
        <f t="shared" ca="1" si="17"/>
        <v>3.5</v>
      </c>
      <c r="G102" s="890">
        <f ca="1">OFFSET($D$4,ROWS($G$95:G102)-ROWS($G$95),0)+0.1</f>
        <v>2.9</v>
      </c>
      <c r="H102" s="890">
        <f t="shared" si="15"/>
        <v>1</v>
      </c>
      <c r="I102" s="887">
        <f t="shared" ca="1" si="18"/>
        <v>25.375</v>
      </c>
      <c r="J102" s="890">
        <f t="shared" ca="1" si="19"/>
        <v>10.15</v>
      </c>
      <c r="K102" s="887">
        <f t="shared" ca="1" si="20"/>
        <v>1.05</v>
      </c>
      <c r="L102" s="901"/>
      <c r="N102" s="884" t="str">
        <f t="shared" ca="1" si="21"/>
        <v>-</v>
      </c>
      <c r="O102" s="884">
        <f t="shared" ca="1" si="22"/>
        <v>0</v>
      </c>
      <c r="P102" s="884">
        <v>1</v>
      </c>
      <c r="Q102" s="912">
        <f t="shared" ca="1" si="23"/>
        <v>2.5</v>
      </c>
      <c r="R102" s="884">
        <f t="shared" ca="1" si="24"/>
        <v>0.39999999999999991</v>
      </c>
      <c r="S102" s="887">
        <f t="shared" ca="1" si="25"/>
        <v>1.05</v>
      </c>
    </row>
    <row r="103" spans="2:19" x14ac:dyDescent="0.25">
      <c r="B103" s="911" t="str">
        <f ca="1">OFFSET($A$4,ROWS($B$95:B103)-ROWS($B$95),0)</f>
        <v>A14</v>
      </c>
      <c r="C103" s="887">
        <f ca="1">OFFSET($C$4,ROWS($C$95:C103)-ROWS($C$95),0)</f>
        <v>1.5</v>
      </c>
      <c r="D103" s="887">
        <v>1.45</v>
      </c>
      <c r="E103" s="890">
        <f t="shared" ca="1" si="16"/>
        <v>2.5</v>
      </c>
      <c r="F103" s="890">
        <f t="shared" ca="1" si="17"/>
        <v>3.5</v>
      </c>
      <c r="G103" s="890">
        <f ca="1">OFFSET($D$4,ROWS($G$95:G103)-ROWS($G$95),0)+0.1</f>
        <v>1.9000000000000001</v>
      </c>
      <c r="H103" s="890">
        <f t="shared" si="15"/>
        <v>1</v>
      </c>
      <c r="I103" s="887">
        <f t="shared" ca="1" si="18"/>
        <v>16.625</v>
      </c>
      <c r="J103" s="890">
        <f t="shared" ca="1" si="19"/>
        <v>6.65</v>
      </c>
      <c r="K103" s="887">
        <f t="shared" ca="1" si="20"/>
        <v>0.45000000000000018</v>
      </c>
      <c r="L103" s="901"/>
      <c r="N103" s="884" t="str">
        <f t="shared" ca="1" si="21"/>
        <v>-</v>
      </c>
      <c r="O103" s="884">
        <f t="shared" ca="1" si="22"/>
        <v>0</v>
      </c>
      <c r="P103" s="884">
        <v>1</v>
      </c>
      <c r="Q103" s="912">
        <f t="shared" ca="1" si="23"/>
        <v>2.5</v>
      </c>
      <c r="R103" s="884">
        <f t="shared" ca="1" si="24"/>
        <v>0</v>
      </c>
      <c r="S103" s="887">
        <f t="shared" ca="1" si="25"/>
        <v>0.45000000000000018</v>
      </c>
    </row>
    <row r="104" spans="2:19" x14ac:dyDescent="0.25">
      <c r="B104" s="911" t="str">
        <f ca="1">OFFSET($A$4,ROWS($B$95:B104)-ROWS($B$95),0)</f>
        <v>A13</v>
      </c>
      <c r="C104" s="887">
        <f ca="1">OFFSET($C$4,ROWS($C$95:C104)-ROWS($C$95),0)</f>
        <v>1.5</v>
      </c>
      <c r="D104" s="887">
        <v>1.45</v>
      </c>
      <c r="E104" s="890">
        <f t="shared" ca="1" si="16"/>
        <v>2.5</v>
      </c>
      <c r="F104" s="890">
        <f t="shared" ca="1" si="17"/>
        <v>3.5</v>
      </c>
      <c r="G104" s="890">
        <f ca="1">OFFSET($D$4,ROWS($G$95:G104)-ROWS($G$95),0)+0.1</f>
        <v>2.2000000000000002</v>
      </c>
      <c r="H104" s="890">
        <f t="shared" si="15"/>
        <v>1</v>
      </c>
      <c r="I104" s="887">
        <f t="shared" ca="1" si="18"/>
        <v>19.25</v>
      </c>
      <c r="J104" s="890">
        <f t="shared" ca="1" si="19"/>
        <v>7.7000000000000011</v>
      </c>
      <c r="K104" s="887">
        <f t="shared" ca="1" si="20"/>
        <v>0.75000000000000022</v>
      </c>
      <c r="L104" s="901"/>
      <c r="N104" s="884" t="str">
        <f t="shared" ca="1" si="21"/>
        <v>-</v>
      </c>
      <c r="O104" s="884">
        <f t="shared" ca="1" si="22"/>
        <v>0</v>
      </c>
      <c r="P104" s="884">
        <v>1</v>
      </c>
      <c r="Q104" s="912">
        <f t="shared" ca="1" si="23"/>
        <v>2.5</v>
      </c>
      <c r="R104" s="884">
        <f t="shared" ca="1" si="24"/>
        <v>0</v>
      </c>
      <c r="S104" s="887">
        <f t="shared" ca="1" si="25"/>
        <v>0.75000000000000022</v>
      </c>
    </row>
    <row r="105" spans="2:19" x14ac:dyDescent="0.25">
      <c r="B105" s="911" t="str">
        <f ca="1">OFFSET($A$4,ROWS($B$95:B105)-ROWS($B$95),0)</f>
        <v>A12</v>
      </c>
      <c r="C105" s="887">
        <f ca="1">OFFSET($C$4,ROWS($C$95:C105)-ROWS($C$95),0)</f>
        <v>1.5</v>
      </c>
      <c r="D105" s="887">
        <v>1.45</v>
      </c>
      <c r="E105" s="890">
        <f t="shared" ca="1" si="16"/>
        <v>2.5</v>
      </c>
      <c r="F105" s="890">
        <f t="shared" ca="1" si="17"/>
        <v>3.5</v>
      </c>
      <c r="G105" s="890">
        <f ca="1">OFFSET($D$4,ROWS($G$95:G105)-ROWS($G$95),0)+0.1</f>
        <v>2.6</v>
      </c>
      <c r="H105" s="890">
        <f t="shared" si="15"/>
        <v>1</v>
      </c>
      <c r="I105" s="887">
        <f t="shared" ca="1" si="18"/>
        <v>22.75</v>
      </c>
      <c r="J105" s="890">
        <f t="shared" ca="1" si="19"/>
        <v>9.1</v>
      </c>
      <c r="K105" s="887">
        <f t="shared" ca="1" si="20"/>
        <v>1.05</v>
      </c>
      <c r="L105" s="901"/>
      <c r="N105" s="884" t="str">
        <f t="shared" ca="1" si="21"/>
        <v>-</v>
      </c>
      <c r="O105" s="884">
        <f t="shared" ca="1" si="22"/>
        <v>0</v>
      </c>
      <c r="P105" s="884">
        <v>1</v>
      </c>
      <c r="Q105" s="912">
        <f t="shared" ca="1" si="23"/>
        <v>2.5</v>
      </c>
      <c r="R105" s="884">
        <f t="shared" ca="1" si="24"/>
        <v>0.10000000000000009</v>
      </c>
      <c r="S105" s="887">
        <f t="shared" ca="1" si="25"/>
        <v>1.05</v>
      </c>
    </row>
    <row r="106" spans="2:19" x14ac:dyDescent="0.25">
      <c r="B106" s="911" t="str">
        <f ca="1">OFFSET($A$4,ROWS($B$95:B106)-ROWS($B$95),0)</f>
        <v>A11</v>
      </c>
      <c r="C106" s="887">
        <f ca="1">OFFSET($C$4,ROWS($C$95:C106)-ROWS($C$95),0)</f>
        <v>1.5</v>
      </c>
      <c r="D106" s="887">
        <v>1.45</v>
      </c>
      <c r="E106" s="890">
        <f t="shared" ca="1" si="16"/>
        <v>2.5</v>
      </c>
      <c r="F106" s="890">
        <f t="shared" ca="1" si="17"/>
        <v>3.5</v>
      </c>
      <c r="G106" s="890">
        <f ca="1">OFFSET($D$4,ROWS($G$95:G106)-ROWS($G$95),0)+0.1</f>
        <v>2.4</v>
      </c>
      <c r="H106" s="890">
        <f t="shared" si="15"/>
        <v>1</v>
      </c>
      <c r="I106" s="887">
        <f t="shared" ca="1" si="18"/>
        <v>21</v>
      </c>
      <c r="J106" s="890">
        <f t="shared" ca="1" si="19"/>
        <v>8.4</v>
      </c>
      <c r="K106" s="887">
        <f t="shared" ca="1" si="20"/>
        <v>0.95</v>
      </c>
      <c r="L106" s="901"/>
      <c r="N106" s="884" t="str">
        <f t="shared" ca="1" si="21"/>
        <v>-</v>
      </c>
      <c r="O106" s="884">
        <f t="shared" ca="1" si="22"/>
        <v>0</v>
      </c>
      <c r="P106" s="884">
        <v>1</v>
      </c>
      <c r="Q106" s="912">
        <f t="shared" ca="1" si="23"/>
        <v>2.5</v>
      </c>
      <c r="R106" s="884">
        <f t="shared" ca="1" si="24"/>
        <v>0</v>
      </c>
      <c r="S106" s="887">
        <f t="shared" ca="1" si="25"/>
        <v>0.95</v>
      </c>
    </row>
    <row r="107" spans="2:19" x14ac:dyDescent="0.25">
      <c r="B107" s="911" t="str">
        <f ca="1">OFFSET($A$4,ROWS($B$95:B107)-ROWS($B$95),0)</f>
        <v>A10</v>
      </c>
      <c r="C107" s="887">
        <f ca="1">OFFSET($C$4,ROWS($C$95:C107)-ROWS($C$95),0)</f>
        <v>1.5</v>
      </c>
      <c r="D107" s="887">
        <v>1.45</v>
      </c>
      <c r="E107" s="890">
        <f t="shared" ca="1" si="16"/>
        <v>2.5</v>
      </c>
      <c r="F107" s="890">
        <f t="shared" ca="1" si="17"/>
        <v>3.5</v>
      </c>
      <c r="G107" s="890">
        <f ca="1">OFFSET($D$4,ROWS($G$95:G107)-ROWS($G$95),0)+0.1</f>
        <v>2.4</v>
      </c>
      <c r="H107" s="890">
        <f t="shared" si="15"/>
        <v>1</v>
      </c>
      <c r="I107" s="887">
        <f t="shared" ca="1" si="18"/>
        <v>21</v>
      </c>
      <c r="J107" s="890">
        <f t="shared" ca="1" si="19"/>
        <v>8.4</v>
      </c>
      <c r="K107" s="887">
        <f t="shared" ca="1" si="20"/>
        <v>0.95</v>
      </c>
      <c r="L107" s="901"/>
      <c r="N107" s="884" t="str">
        <f t="shared" ca="1" si="21"/>
        <v>-</v>
      </c>
      <c r="O107" s="884">
        <f t="shared" ca="1" si="22"/>
        <v>0</v>
      </c>
      <c r="P107" s="884">
        <v>1</v>
      </c>
      <c r="Q107" s="912">
        <f t="shared" ca="1" si="23"/>
        <v>2.5</v>
      </c>
      <c r="R107" s="884">
        <f t="shared" ca="1" si="24"/>
        <v>0</v>
      </c>
      <c r="S107" s="887">
        <f t="shared" ca="1" si="25"/>
        <v>0.95</v>
      </c>
    </row>
    <row r="108" spans="2:19" x14ac:dyDescent="0.25">
      <c r="B108" s="911" t="str">
        <f ca="1">OFFSET($A$4,ROWS($B$95:B108)-ROWS($B$95),0)</f>
        <v>A9</v>
      </c>
      <c r="C108" s="887">
        <f ca="1">OFFSET($C$4,ROWS($C$95:C108)-ROWS($C$95),0)</f>
        <v>1.5</v>
      </c>
      <c r="D108" s="887">
        <v>1.45</v>
      </c>
      <c r="E108" s="890">
        <f t="shared" ca="1" si="16"/>
        <v>2.5</v>
      </c>
      <c r="F108" s="890">
        <f t="shared" ca="1" si="17"/>
        <v>3.5</v>
      </c>
      <c r="G108" s="890">
        <f ca="1">OFFSET($D$4,ROWS($G$95:G108)-ROWS($G$95),0)+0.1</f>
        <v>2.6</v>
      </c>
      <c r="H108" s="890">
        <f t="shared" si="15"/>
        <v>1</v>
      </c>
      <c r="I108" s="887">
        <f t="shared" ca="1" si="18"/>
        <v>22.75</v>
      </c>
      <c r="J108" s="890">
        <f t="shared" ca="1" si="19"/>
        <v>9.1</v>
      </c>
      <c r="K108" s="887">
        <f t="shared" ca="1" si="20"/>
        <v>1.05</v>
      </c>
      <c r="L108" s="901"/>
      <c r="N108" s="884" t="str">
        <f t="shared" ca="1" si="21"/>
        <v>-</v>
      </c>
      <c r="O108" s="884">
        <f t="shared" ca="1" si="22"/>
        <v>0</v>
      </c>
      <c r="P108" s="884">
        <v>1</v>
      </c>
      <c r="Q108" s="912">
        <f t="shared" ca="1" si="23"/>
        <v>2.5</v>
      </c>
      <c r="R108" s="884">
        <f t="shared" ca="1" si="24"/>
        <v>0.10000000000000009</v>
      </c>
      <c r="S108" s="887">
        <f t="shared" ca="1" si="25"/>
        <v>1.05</v>
      </c>
    </row>
    <row r="109" spans="2:19" x14ac:dyDescent="0.25">
      <c r="B109" s="911" t="str">
        <f ca="1">OFFSET($A$4,ROWS($B$95:B109)-ROWS($B$95),0)</f>
        <v>A8</v>
      </c>
      <c r="C109" s="887">
        <f ca="1">OFFSET($C$4,ROWS($C$95:C109)-ROWS($C$95),0)</f>
        <v>1.5</v>
      </c>
      <c r="D109" s="887">
        <v>1.45</v>
      </c>
      <c r="E109" s="890">
        <f t="shared" ca="1" si="16"/>
        <v>2.5</v>
      </c>
      <c r="F109" s="890">
        <f t="shared" ca="1" si="17"/>
        <v>3.5</v>
      </c>
      <c r="G109" s="890">
        <f ca="1">OFFSET($D$4,ROWS($G$95:G109)-ROWS($G$95),0)+0.1</f>
        <v>3</v>
      </c>
      <c r="H109" s="890">
        <f t="shared" si="15"/>
        <v>1</v>
      </c>
      <c r="I109" s="887">
        <f t="shared" ca="1" si="18"/>
        <v>26.25</v>
      </c>
      <c r="J109" s="890">
        <f t="shared" ca="1" si="19"/>
        <v>10.5</v>
      </c>
      <c r="K109" s="887">
        <f t="shared" ca="1" si="20"/>
        <v>1.05</v>
      </c>
      <c r="L109" s="901"/>
      <c r="N109" s="884" t="str">
        <f t="shared" ca="1" si="21"/>
        <v>-</v>
      </c>
      <c r="O109" s="884">
        <f t="shared" ca="1" si="22"/>
        <v>0</v>
      </c>
      <c r="P109" s="884">
        <v>1</v>
      </c>
      <c r="Q109" s="912">
        <f t="shared" ca="1" si="23"/>
        <v>2.5</v>
      </c>
      <c r="R109" s="884">
        <f t="shared" ca="1" si="24"/>
        <v>0.5</v>
      </c>
      <c r="S109" s="887">
        <f t="shared" ca="1" si="25"/>
        <v>1.05</v>
      </c>
    </row>
    <row r="110" spans="2:19" x14ac:dyDescent="0.25">
      <c r="B110" s="911" t="str">
        <f ca="1">OFFSET($A$4,ROWS($B$95:B110)-ROWS($B$95),0)</f>
        <v>A7</v>
      </c>
      <c r="C110" s="887">
        <f ca="1">OFFSET($C$4,ROWS($C$95:C110)-ROWS($C$95),0)</f>
        <v>1.5</v>
      </c>
      <c r="D110" s="887">
        <v>1.45</v>
      </c>
      <c r="E110" s="890">
        <f t="shared" ca="1" si="16"/>
        <v>2.5</v>
      </c>
      <c r="F110" s="890">
        <f t="shared" ca="1" si="17"/>
        <v>3.5</v>
      </c>
      <c r="G110" s="890">
        <f ca="1">OFFSET($D$4,ROWS($G$95:G110)-ROWS($G$95),0)+0.1</f>
        <v>2.9</v>
      </c>
      <c r="H110" s="890">
        <f t="shared" si="15"/>
        <v>1</v>
      </c>
      <c r="I110" s="887">
        <f t="shared" ca="1" si="18"/>
        <v>25.375</v>
      </c>
      <c r="J110" s="890">
        <f t="shared" ca="1" si="19"/>
        <v>10.15</v>
      </c>
      <c r="K110" s="887">
        <f t="shared" ca="1" si="20"/>
        <v>1.05</v>
      </c>
      <c r="L110" s="901"/>
      <c r="N110" s="884" t="str">
        <f t="shared" ca="1" si="21"/>
        <v>-</v>
      </c>
      <c r="O110" s="884">
        <f t="shared" ca="1" si="22"/>
        <v>0</v>
      </c>
      <c r="P110" s="884">
        <v>1</v>
      </c>
      <c r="Q110" s="912">
        <f t="shared" ca="1" si="23"/>
        <v>2.5</v>
      </c>
      <c r="R110" s="884">
        <f t="shared" ca="1" si="24"/>
        <v>0.39999999999999991</v>
      </c>
      <c r="S110" s="887">
        <f t="shared" ca="1" si="25"/>
        <v>1.05</v>
      </c>
    </row>
    <row r="111" spans="2:19" x14ac:dyDescent="0.25">
      <c r="B111" s="911" t="str">
        <f ca="1">OFFSET($A$4,ROWS($B$95:B111)-ROWS($B$95),0)</f>
        <v>A6</v>
      </c>
      <c r="C111" s="887">
        <f ca="1">OFFSET($C$4,ROWS($C$95:C111)-ROWS($C$95),0)</f>
        <v>1.5</v>
      </c>
      <c r="D111" s="887">
        <v>1.45</v>
      </c>
      <c r="E111" s="890">
        <f t="shared" ca="1" si="16"/>
        <v>2.5</v>
      </c>
      <c r="F111" s="890">
        <f t="shared" ca="1" si="17"/>
        <v>3.5</v>
      </c>
      <c r="G111" s="890">
        <f ca="1">OFFSET($D$4,ROWS($G$95:G111)-ROWS($G$95),0)+0.1</f>
        <v>1.9000000000000001</v>
      </c>
      <c r="H111" s="890">
        <f t="shared" si="15"/>
        <v>1</v>
      </c>
      <c r="I111" s="887">
        <f t="shared" ca="1" si="18"/>
        <v>16.625</v>
      </c>
      <c r="J111" s="890">
        <f t="shared" ca="1" si="19"/>
        <v>6.65</v>
      </c>
      <c r="K111" s="887">
        <f t="shared" ca="1" si="20"/>
        <v>0.45000000000000018</v>
      </c>
      <c r="L111" s="901"/>
      <c r="N111" s="884" t="str">
        <f t="shared" ca="1" si="21"/>
        <v>-</v>
      </c>
      <c r="O111" s="884">
        <f t="shared" ca="1" si="22"/>
        <v>0</v>
      </c>
      <c r="P111" s="884">
        <v>1</v>
      </c>
      <c r="Q111" s="912">
        <f t="shared" ca="1" si="23"/>
        <v>2.5</v>
      </c>
      <c r="R111" s="884">
        <f t="shared" ca="1" si="24"/>
        <v>0</v>
      </c>
      <c r="S111" s="887">
        <f t="shared" ca="1" si="25"/>
        <v>0.45000000000000018</v>
      </c>
    </row>
    <row r="112" spans="2:19" x14ac:dyDescent="0.25">
      <c r="B112" s="911" t="str">
        <f ca="1">OFFSET($A$4,ROWS($B$95:B112)-ROWS($B$95),0)</f>
        <v>A5</v>
      </c>
      <c r="C112" s="887">
        <f ca="1">OFFSET($C$4,ROWS($C$95:C112)-ROWS($C$95),0)</f>
        <v>1.5</v>
      </c>
      <c r="D112" s="887">
        <v>1.45</v>
      </c>
      <c r="E112" s="890">
        <f t="shared" ca="1" si="16"/>
        <v>2.5</v>
      </c>
      <c r="F112" s="890">
        <f t="shared" ca="1" si="17"/>
        <v>3.5</v>
      </c>
      <c r="G112" s="890">
        <f ca="1">OFFSET($D$4,ROWS($G$95:G112)-ROWS($G$95),0)+0.1</f>
        <v>1.6</v>
      </c>
      <c r="H112" s="890">
        <f t="shared" si="15"/>
        <v>1</v>
      </c>
      <c r="I112" s="887">
        <f t="shared" ca="1" si="18"/>
        <v>14</v>
      </c>
      <c r="J112" s="890">
        <f t="shared" ca="1" si="19"/>
        <v>5.6000000000000005</v>
      </c>
      <c r="K112" s="887">
        <f t="shared" ca="1" si="20"/>
        <v>0.15000000000000013</v>
      </c>
      <c r="L112" s="901"/>
      <c r="N112" s="884" t="str">
        <f t="shared" ca="1" si="21"/>
        <v>-</v>
      </c>
      <c r="O112" s="884">
        <f t="shared" ca="1" si="22"/>
        <v>0</v>
      </c>
      <c r="P112" s="884">
        <v>1</v>
      </c>
      <c r="Q112" s="912">
        <f t="shared" ca="1" si="23"/>
        <v>2.5</v>
      </c>
      <c r="R112" s="884">
        <f t="shared" ca="1" si="24"/>
        <v>0</v>
      </c>
      <c r="S112" s="887">
        <f t="shared" ca="1" si="25"/>
        <v>0.15000000000000013</v>
      </c>
    </row>
    <row r="113" spans="2:19" x14ac:dyDescent="0.25">
      <c r="B113" s="911" t="str">
        <f ca="1">OFFSET($A$4,ROWS($B$95:B113)-ROWS($B$95),0)</f>
        <v>A4</v>
      </c>
      <c r="C113" s="887">
        <f ca="1">OFFSET($C$4,ROWS($C$95:C113)-ROWS($C$95),0)</f>
        <v>1.5</v>
      </c>
      <c r="D113" s="887">
        <v>1.45</v>
      </c>
      <c r="E113" s="890">
        <f t="shared" ca="1" si="16"/>
        <v>2.5</v>
      </c>
      <c r="F113" s="890">
        <f t="shared" ca="1" si="17"/>
        <v>3.5</v>
      </c>
      <c r="G113" s="890">
        <f ca="1">OFFSET($D$4,ROWS($G$95:G113)-ROWS($G$95),0)+0.1</f>
        <v>2.3000000000000003</v>
      </c>
      <c r="H113" s="890">
        <f t="shared" si="15"/>
        <v>1</v>
      </c>
      <c r="I113" s="887">
        <f t="shared" ca="1" si="18"/>
        <v>20.125000000000004</v>
      </c>
      <c r="J113" s="890">
        <f t="shared" ca="1" si="19"/>
        <v>8.0500000000000007</v>
      </c>
      <c r="K113" s="887">
        <f t="shared" ca="1" si="20"/>
        <v>0.85000000000000031</v>
      </c>
      <c r="L113" s="901"/>
      <c r="N113" s="884" t="str">
        <f t="shared" ca="1" si="21"/>
        <v>-</v>
      </c>
      <c r="O113" s="884">
        <f t="shared" ca="1" si="22"/>
        <v>0</v>
      </c>
      <c r="P113" s="884">
        <v>1</v>
      </c>
      <c r="Q113" s="912">
        <f t="shared" ca="1" si="23"/>
        <v>2.5</v>
      </c>
      <c r="R113" s="884">
        <f t="shared" ca="1" si="24"/>
        <v>0</v>
      </c>
      <c r="S113" s="887">
        <f t="shared" ca="1" si="25"/>
        <v>0.85000000000000031</v>
      </c>
    </row>
    <row r="114" spans="2:19" x14ac:dyDescent="0.25">
      <c r="B114" s="911" t="str">
        <f ca="1">OFFSET($A$4,ROWS($B$95:B114)-ROWS($B$95),0)</f>
        <v>A3</v>
      </c>
      <c r="C114" s="887">
        <f ca="1">OFFSET($C$4,ROWS($C$95:C114)-ROWS($C$95),0)</f>
        <v>1.5</v>
      </c>
      <c r="D114" s="887">
        <v>1.45</v>
      </c>
      <c r="E114" s="890">
        <f t="shared" ca="1" si="16"/>
        <v>2.5</v>
      </c>
      <c r="F114" s="890">
        <f t="shared" ca="1" si="17"/>
        <v>3.5</v>
      </c>
      <c r="G114" s="890">
        <f ca="1">OFFSET($D$4,ROWS($G$95:G114)-ROWS($G$95),0)+0.1</f>
        <v>2.9</v>
      </c>
      <c r="H114" s="890">
        <f t="shared" si="15"/>
        <v>1</v>
      </c>
      <c r="I114" s="887">
        <f t="shared" ca="1" si="18"/>
        <v>25.375</v>
      </c>
      <c r="J114" s="890">
        <f t="shared" ca="1" si="19"/>
        <v>10.15</v>
      </c>
      <c r="K114" s="887">
        <f t="shared" ca="1" si="20"/>
        <v>1.05</v>
      </c>
      <c r="L114" s="901"/>
      <c r="N114" s="884" t="str">
        <f t="shared" ca="1" si="21"/>
        <v>-</v>
      </c>
      <c r="O114" s="884">
        <f t="shared" ca="1" si="22"/>
        <v>0</v>
      </c>
      <c r="P114" s="884">
        <v>1</v>
      </c>
      <c r="Q114" s="912">
        <f t="shared" ca="1" si="23"/>
        <v>2.5</v>
      </c>
      <c r="R114" s="884">
        <f t="shared" ca="1" si="24"/>
        <v>0.39999999999999991</v>
      </c>
      <c r="S114" s="887">
        <f t="shared" ca="1" si="25"/>
        <v>1.05</v>
      </c>
    </row>
    <row r="115" spans="2:19" x14ac:dyDescent="0.25">
      <c r="B115" s="911" t="str">
        <f ca="1">OFFSET($A$4,ROWS($B$95:B115)-ROWS($B$95),0)</f>
        <v>A2</v>
      </c>
      <c r="C115" s="887">
        <f ca="1">OFFSET($C$4,ROWS($C$95:C115)-ROWS($C$95),0)</f>
        <v>1.5</v>
      </c>
      <c r="D115" s="887">
        <v>1.45</v>
      </c>
      <c r="E115" s="890">
        <f t="shared" ca="1" si="16"/>
        <v>2.5</v>
      </c>
      <c r="F115" s="890">
        <f t="shared" ca="1" si="17"/>
        <v>3.5</v>
      </c>
      <c r="G115" s="890">
        <f ca="1">OFFSET($D$4,ROWS($G$95:G115)-ROWS($G$95),0)+0.1</f>
        <v>2.4</v>
      </c>
      <c r="H115" s="890">
        <f t="shared" si="15"/>
        <v>1</v>
      </c>
      <c r="I115" s="887">
        <f t="shared" ca="1" si="18"/>
        <v>21</v>
      </c>
      <c r="J115" s="890">
        <f t="shared" ca="1" si="19"/>
        <v>8.4</v>
      </c>
      <c r="K115" s="887">
        <f t="shared" ca="1" si="20"/>
        <v>0.95</v>
      </c>
      <c r="L115" s="901"/>
      <c r="N115" s="884" t="str">
        <f t="shared" ca="1" si="21"/>
        <v>-</v>
      </c>
      <c r="O115" s="884">
        <f t="shared" ca="1" si="22"/>
        <v>0</v>
      </c>
      <c r="P115" s="884">
        <v>1</v>
      </c>
      <c r="Q115" s="912">
        <f t="shared" ca="1" si="23"/>
        <v>2.5</v>
      </c>
      <c r="R115" s="884">
        <f ca="1">IF(AND(G115-(D115+K115)&lt;=1,G115-(D115+K115)&gt;0),G115-(D115+K115),0)</f>
        <v>0</v>
      </c>
      <c r="S115" s="887">
        <f t="shared" ca="1" si="25"/>
        <v>0.95</v>
      </c>
    </row>
    <row r="116" spans="2:19" x14ac:dyDescent="0.25">
      <c r="B116" s="911" t="str">
        <f ca="1">OFFSET($A$4,ROWS($B$95:B116)-ROWS($B$95),0)</f>
        <v>A1</v>
      </c>
      <c r="C116" s="887">
        <f ca="1">OFFSET($C$4,ROWS($C$95:C116)-ROWS($C$95),0)</f>
        <v>1.5</v>
      </c>
      <c r="D116" s="887">
        <v>1.45</v>
      </c>
      <c r="E116" s="890">
        <f t="shared" ca="1" si="16"/>
        <v>2.5</v>
      </c>
      <c r="F116" s="890">
        <f t="shared" ca="1" si="17"/>
        <v>3.5</v>
      </c>
      <c r="G116" s="890">
        <f ca="1">OFFSET($D$4,ROWS($G$95:G116)-ROWS($G$95),0)+0.1</f>
        <v>1.6</v>
      </c>
      <c r="H116" s="890">
        <f t="shared" si="15"/>
        <v>1</v>
      </c>
      <c r="I116" s="887">
        <f t="shared" ca="1" si="18"/>
        <v>14</v>
      </c>
      <c r="J116" s="890">
        <f t="shared" ca="1" si="19"/>
        <v>5.6000000000000005</v>
      </c>
      <c r="K116" s="887">
        <f t="shared" ca="1" si="20"/>
        <v>0.15000000000000013</v>
      </c>
      <c r="L116" s="901"/>
      <c r="N116" s="884" t="str">
        <f t="shared" ca="1" si="21"/>
        <v>-</v>
      </c>
      <c r="O116" s="884">
        <f t="shared" ca="1" si="22"/>
        <v>0</v>
      </c>
      <c r="P116" s="884">
        <v>1</v>
      </c>
      <c r="Q116" s="912">
        <f t="shared" ca="1" si="23"/>
        <v>2.5</v>
      </c>
      <c r="R116" s="884">
        <f t="shared" ca="1" si="24"/>
        <v>0</v>
      </c>
      <c r="S116" s="887">
        <f t="shared" ca="1" si="25"/>
        <v>0.15000000000000013</v>
      </c>
    </row>
    <row r="117" spans="2:19" x14ac:dyDescent="0.25">
      <c r="B117" s="911" t="str">
        <f ca="1">OFFSET($A$4,ROWS($B$95:B117)-ROWS($B$95),0)</f>
        <v>A22.2</v>
      </c>
      <c r="C117" s="887">
        <f ca="1">OFFSET($C$4,ROWS($C$95:C117)-ROWS($C$95),0)</f>
        <v>0.6</v>
      </c>
      <c r="D117" s="887">
        <v>1.45</v>
      </c>
      <c r="E117" s="890">
        <f t="shared" ca="1" si="16"/>
        <v>1.5</v>
      </c>
      <c r="F117" s="890">
        <f t="shared" ca="1" si="17"/>
        <v>2.5</v>
      </c>
      <c r="G117" s="890">
        <f ca="1">OFFSET($D$4,ROWS($G$95:G117)-ROWS($G$95),0)+0.1</f>
        <v>1.6</v>
      </c>
      <c r="H117" s="890">
        <f t="shared" si="15"/>
        <v>1</v>
      </c>
      <c r="I117" s="887">
        <f t="shared" ca="1" si="18"/>
        <v>6</v>
      </c>
      <c r="J117" s="890">
        <f t="shared" ca="1" si="19"/>
        <v>4</v>
      </c>
      <c r="K117" s="887">
        <f t="shared" ca="1" si="20"/>
        <v>0.15000000000000013</v>
      </c>
      <c r="L117" s="901"/>
      <c r="N117" s="884" t="str">
        <f t="shared" ca="1" si="21"/>
        <v>-</v>
      </c>
      <c r="O117" s="884">
        <f t="shared" ca="1" si="22"/>
        <v>0</v>
      </c>
      <c r="P117" s="884">
        <v>1</v>
      </c>
      <c r="Q117" s="912">
        <f t="shared" ca="1" si="23"/>
        <v>1.5</v>
      </c>
      <c r="R117" s="884">
        <f t="shared" ca="1" si="24"/>
        <v>0</v>
      </c>
      <c r="S117" s="887">
        <f t="shared" ca="1" si="25"/>
        <v>0.15000000000000013</v>
      </c>
    </row>
    <row r="118" spans="2:19" x14ac:dyDescent="0.25">
      <c r="B118" s="911" t="str">
        <f ca="1">OFFSET($A$4,ROWS($B$95:B118)-ROWS($B$95),0)</f>
        <v>A22.1</v>
      </c>
      <c r="C118" s="887">
        <f ca="1">OFFSET($C$4,ROWS($C$95:C118)-ROWS($C$95),0)</f>
        <v>0.6</v>
      </c>
      <c r="D118" s="887">
        <v>1.45</v>
      </c>
      <c r="E118" s="890">
        <f t="shared" ca="1" si="16"/>
        <v>1.5</v>
      </c>
      <c r="F118" s="890">
        <f t="shared" ca="1" si="17"/>
        <v>2.5</v>
      </c>
      <c r="G118" s="890">
        <f ca="1">OFFSET($D$4,ROWS($G$95:G118)-ROWS($G$95),0)+0.1</f>
        <v>1.6</v>
      </c>
      <c r="H118" s="890">
        <f t="shared" si="15"/>
        <v>1</v>
      </c>
      <c r="I118" s="887">
        <f t="shared" ca="1" si="18"/>
        <v>6</v>
      </c>
      <c r="J118" s="890">
        <f t="shared" ca="1" si="19"/>
        <v>4</v>
      </c>
      <c r="K118" s="887">
        <f t="shared" ca="1" si="20"/>
        <v>0.15000000000000013</v>
      </c>
      <c r="L118" s="901"/>
      <c r="N118" s="884" t="str">
        <f t="shared" ca="1" si="21"/>
        <v>-</v>
      </c>
      <c r="O118" s="884">
        <f t="shared" ca="1" si="22"/>
        <v>0</v>
      </c>
      <c r="P118" s="884">
        <v>1</v>
      </c>
      <c r="Q118" s="912">
        <f t="shared" ca="1" si="23"/>
        <v>1.5</v>
      </c>
      <c r="R118" s="884">
        <f t="shared" ca="1" si="24"/>
        <v>0</v>
      </c>
      <c r="S118" s="887">
        <f t="shared" ca="1" si="25"/>
        <v>0.15000000000000013</v>
      </c>
    </row>
    <row r="119" spans="2:19" x14ac:dyDescent="0.25">
      <c r="B119" s="911" t="str">
        <f ca="1">OFFSET($A$4,ROWS($B$95:B119)-ROWS($B$95),0)</f>
        <v>A22</v>
      </c>
      <c r="C119" s="887">
        <f ca="1">OFFSET($C$4,ROWS($C$95:C119)-ROWS($C$95),0)</f>
        <v>1</v>
      </c>
      <c r="D119" s="887">
        <v>1.45</v>
      </c>
      <c r="E119" s="890">
        <f t="shared" ca="1" si="16"/>
        <v>2</v>
      </c>
      <c r="F119" s="890">
        <f t="shared" ca="1" si="17"/>
        <v>3</v>
      </c>
      <c r="G119" s="890">
        <f ca="1">OFFSET($D$4,ROWS($G$95:G119)-ROWS($G$95),0)+0.1</f>
        <v>2</v>
      </c>
      <c r="H119" s="890">
        <f t="shared" si="15"/>
        <v>1</v>
      </c>
      <c r="I119" s="887">
        <f t="shared" ca="1" si="18"/>
        <v>12</v>
      </c>
      <c r="J119" s="890">
        <f t="shared" ca="1" si="19"/>
        <v>6</v>
      </c>
      <c r="K119" s="887">
        <f t="shared" ca="1" si="20"/>
        <v>0.55000000000000004</v>
      </c>
      <c r="L119" s="901"/>
      <c r="N119" s="884" t="str">
        <f t="shared" ca="1" si="21"/>
        <v>-</v>
      </c>
      <c r="O119" s="884">
        <f t="shared" ca="1" si="22"/>
        <v>0</v>
      </c>
      <c r="P119" s="884">
        <v>1</v>
      </c>
      <c r="Q119" s="912">
        <f t="shared" ca="1" si="23"/>
        <v>2</v>
      </c>
      <c r="R119" s="884">
        <f t="shared" ca="1" si="24"/>
        <v>0</v>
      </c>
      <c r="S119" s="887">
        <f t="shared" ca="1" si="25"/>
        <v>0.55000000000000004</v>
      </c>
    </row>
    <row r="120" spans="2:19" x14ac:dyDescent="0.25">
      <c r="B120" s="911" t="str">
        <f ca="1">OFFSET($A$4,ROWS($B$95:B120)-ROWS($B$95),0)</f>
        <v>A21</v>
      </c>
      <c r="C120" s="887">
        <f ca="1">OFFSET($C$4,ROWS($C$95:C120)-ROWS($C$95),0)</f>
        <v>1</v>
      </c>
      <c r="D120" s="887">
        <v>1.45</v>
      </c>
      <c r="E120" s="890">
        <f t="shared" ca="1" si="16"/>
        <v>2</v>
      </c>
      <c r="F120" s="890">
        <f t="shared" ca="1" si="17"/>
        <v>3</v>
      </c>
      <c r="G120" s="890">
        <f ca="1">OFFSET($D$4,ROWS($G$95:G120)-ROWS($G$95),0)+0.1</f>
        <v>2</v>
      </c>
      <c r="H120" s="890">
        <f t="shared" si="15"/>
        <v>1</v>
      </c>
      <c r="I120" s="887">
        <f t="shared" ca="1" si="18"/>
        <v>12</v>
      </c>
      <c r="J120" s="890">
        <f t="shared" ca="1" si="19"/>
        <v>6</v>
      </c>
      <c r="K120" s="887">
        <f t="shared" ca="1" si="20"/>
        <v>0.55000000000000004</v>
      </c>
      <c r="L120" s="901"/>
      <c r="N120" s="884" t="str">
        <f t="shared" ca="1" si="21"/>
        <v>-</v>
      </c>
      <c r="O120" s="884">
        <f t="shared" ca="1" si="22"/>
        <v>0</v>
      </c>
      <c r="P120" s="884">
        <v>1</v>
      </c>
      <c r="Q120" s="912">
        <f t="shared" ca="1" si="23"/>
        <v>2</v>
      </c>
      <c r="R120" s="884">
        <f t="shared" ca="1" si="24"/>
        <v>0</v>
      </c>
      <c r="S120" s="887">
        <f t="shared" ca="1" si="25"/>
        <v>0.55000000000000004</v>
      </c>
    </row>
    <row r="121" spans="2:19" x14ac:dyDescent="0.25">
      <c r="B121" s="911" t="str">
        <f ca="1">OFFSET($A$4,ROWS($B$95:B121)-ROWS($B$95),0)</f>
        <v>A20</v>
      </c>
      <c r="C121" s="887">
        <f ca="1">OFFSET($C$4,ROWS($C$95:C121)-ROWS($C$95),0)</f>
        <v>1</v>
      </c>
      <c r="D121" s="887">
        <v>1.45</v>
      </c>
      <c r="E121" s="890">
        <f t="shared" ca="1" si="16"/>
        <v>2</v>
      </c>
      <c r="F121" s="890">
        <f t="shared" ca="1" si="17"/>
        <v>3</v>
      </c>
      <c r="G121" s="890">
        <f ca="1">OFFSET($D$4,ROWS($G$95:G121)-ROWS($G$95),0)+0.1</f>
        <v>2</v>
      </c>
      <c r="H121" s="890">
        <f t="shared" si="15"/>
        <v>1</v>
      </c>
      <c r="I121" s="887">
        <f t="shared" ca="1" si="18"/>
        <v>12</v>
      </c>
      <c r="J121" s="890">
        <f t="shared" ca="1" si="19"/>
        <v>6</v>
      </c>
      <c r="K121" s="887">
        <f t="shared" ca="1" si="20"/>
        <v>0.55000000000000004</v>
      </c>
      <c r="L121" s="901"/>
      <c r="N121" s="884" t="str">
        <f t="shared" ca="1" si="21"/>
        <v>-</v>
      </c>
      <c r="O121" s="884">
        <f t="shared" ca="1" si="22"/>
        <v>0</v>
      </c>
      <c r="P121" s="884">
        <v>1</v>
      </c>
      <c r="Q121" s="912">
        <f t="shared" ca="1" si="23"/>
        <v>2</v>
      </c>
      <c r="R121" s="884">
        <f t="shared" ca="1" si="24"/>
        <v>0</v>
      </c>
      <c r="S121" s="887">
        <f t="shared" ca="1" si="25"/>
        <v>0.55000000000000004</v>
      </c>
    </row>
    <row r="122" spans="2:19" x14ac:dyDescent="0.25">
      <c r="B122" s="911" t="str">
        <f ca="1">OFFSET($A$4,ROWS($B$95:B122)-ROWS($B$95),0)</f>
        <v>A19</v>
      </c>
      <c r="C122" s="887">
        <f ca="1">OFFSET($C$4,ROWS($C$95:C122)-ROWS($C$95),0)</f>
        <v>1</v>
      </c>
      <c r="D122" s="887">
        <v>1.45</v>
      </c>
      <c r="E122" s="890">
        <f t="shared" ca="1" si="16"/>
        <v>2</v>
      </c>
      <c r="F122" s="890">
        <f t="shared" ca="1" si="17"/>
        <v>3</v>
      </c>
      <c r="G122" s="890">
        <f ca="1">OFFSET($D$4,ROWS($G$95:G122)-ROWS($G$95),0)+0.1</f>
        <v>2.02</v>
      </c>
      <c r="H122" s="890">
        <f t="shared" si="15"/>
        <v>1</v>
      </c>
      <c r="I122" s="887">
        <f t="shared" ca="1" si="18"/>
        <v>12.120000000000001</v>
      </c>
      <c r="J122" s="890">
        <f t="shared" ca="1" si="19"/>
        <v>6.0600000000000005</v>
      </c>
      <c r="K122" s="887">
        <f t="shared" ca="1" si="20"/>
        <v>0.57000000000000006</v>
      </c>
      <c r="L122" s="901"/>
      <c r="N122" s="884" t="str">
        <f t="shared" ca="1" si="21"/>
        <v>-</v>
      </c>
      <c r="O122" s="884">
        <f t="shared" ca="1" si="22"/>
        <v>0</v>
      </c>
      <c r="P122" s="884">
        <v>1</v>
      </c>
      <c r="Q122" s="912">
        <f t="shared" ca="1" si="23"/>
        <v>2</v>
      </c>
      <c r="R122" s="884">
        <f t="shared" ca="1" si="24"/>
        <v>0</v>
      </c>
      <c r="S122" s="887">
        <f t="shared" ca="1" si="25"/>
        <v>0.57000000000000006</v>
      </c>
    </row>
    <row r="123" spans="2:19" x14ac:dyDescent="0.25">
      <c r="B123" s="911" t="str">
        <f ca="1">OFFSET($A$4,ROWS($B$95:B123)-ROWS($B$95),0)</f>
        <v>A26.2</v>
      </c>
      <c r="C123" s="887">
        <f ca="1">OFFSET($C$4,ROWS($C$95:C123)-ROWS($C$95),0)</f>
        <v>0.6</v>
      </c>
      <c r="D123" s="887">
        <v>1.45</v>
      </c>
      <c r="E123" s="890">
        <f t="shared" ca="1" si="16"/>
        <v>1.5</v>
      </c>
      <c r="F123" s="890">
        <f t="shared" ca="1" si="17"/>
        <v>2.5</v>
      </c>
      <c r="G123" s="890">
        <f ca="1">OFFSET($D$4,ROWS($G$95:G123)-ROWS($G$95),0)+0.1</f>
        <v>1.6</v>
      </c>
      <c r="H123" s="890">
        <f t="shared" si="15"/>
        <v>1</v>
      </c>
      <c r="I123" s="887">
        <f t="shared" ca="1" si="18"/>
        <v>6</v>
      </c>
      <c r="J123" s="890">
        <f t="shared" ca="1" si="19"/>
        <v>4</v>
      </c>
      <c r="K123" s="887">
        <f t="shared" ca="1" si="20"/>
        <v>0.15000000000000013</v>
      </c>
      <c r="L123" s="901"/>
      <c r="N123" s="884" t="str">
        <f t="shared" ca="1" si="21"/>
        <v>-</v>
      </c>
      <c r="O123" s="884">
        <f t="shared" ca="1" si="22"/>
        <v>0</v>
      </c>
      <c r="P123" s="884">
        <v>1</v>
      </c>
      <c r="Q123" s="912">
        <f t="shared" ca="1" si="23"/>
        <v>1.5</v>
      </c>
      <c r="R123" s="884">
        <f t="shared" ca="1" si="24"/>
        <v>0</v>
      </c>
      <c r="S123" s="887">
        <f t="shared" ca="1" si="25"/>
        <v>0.15000000000000013</v>
      </c>
    </row>
    <row r="124" spans="2:19" x14ac:dyDescent="0.25">
      <c r="B124" s="911" t="str">
        <f ca="1">OFFSET($A$4,ROWS($B$95:B124)-ROWS($B$95),0)</f>
        <v>A26.1</v>
      </c>
      <c r="C124" s="887">
        <f ca="1">OFFSET($C$4,ROWS($C$95:C124)-ROWS($C$95),0)</f>
        <v>0.6</v>
      </c>
      <c r="D124" s="887">
        <v>1.45</v>
      </c>
      <c r="E124" s="890">
        <f t="shared" ca="1" si="16"/>
        <v>1.5</v>
      </c>
      <c r="F124" s="890">
        <f t="shared" ca="1" si="17"/>
        <v>2.5</v>
      </c>
      <c r="G124" s="890">
        <f ca="1">OFFSET($D$4,ROWS($G$95:G124)-ROWS($G$95),0)+0.1</f>
        <v>1.6</v>
      </c>
      <c r="H124" s="890">
        <f t="shared" si="15"/>
        <v>1</v>
      </c>
      <c r="I124" s="887">
        <f t="shared" ca="1" si="18"/>
        <v>6</v>
      </c>
      <c r="J124" s="890">
        <f t="shared" ca="1" si="19"/>
        <v>4</v>
      </c>
      <c r="K124" s="887">
        <f t="shared" ca="1" si="20"/>
        <v>0.15000000000000013</v>
      </c>
      <c r="L124" s="901"/>
      <c r="N124" s="884" t="str">
        <f t="shared" ca="1" si="21"/>
        <v>-</v>
      </c>
      <c r="O124" s="884">
        <f t="shared" ca="1" si="22"/>
        <v>0</v>
      </c>
      <c r="P124" s="884">
        <v>1</v>
      </c>
      <c r="Q124" s="912">
        <f t="shared" ca="1" si="23"/>
        <v>1.5</v>
      </c>
      <c r="R124" s="884">
        <f t="shared" ca="1" si="24"/>
        <v>0</v>
      </c>
      <c r="S124" s="887">
        <f t="shared" ca="1" si="25"/>
        <v>0.15000000000000013</v>
      </c>
    </row>
    <row r="125" spans="2:19" x14ac:dyDescent="0.25">
      <c r="B125" s="911" t="str">
        <f ca="1">OFFSET($A$4,ROWS($B$95:B125)-ROWS($B$95),0)</f>
        <v>A26</v>
      </c>
      <c r="C125" s="887">
        <f ca="1">OFFSET($C$4,ROWS($C$95:C125)-ROWS($C$95),0)</f>
        <v>0.8</v>
      </c>
      <c r="D125" s="887">
        <v>1.45</v>
      </c>
      <c r="E125" s="890">
        <f t="shared" ca="1" si="16"/>
        <v>1.5</v>
      </c>
      <c r="F125" s="890">
        <f t="shared" ca="1" si="17"/>
        <v>2.5</v>
      </c>
      <c r="G125" s="890">
        <f ca="1">OFFSET($D$4,ROWS($G$95:G125)-ROWS($G$95),0)+0.1</f>
        <v>1.8</v>
      </c>
      <c r="H125" s="890">
        <f t="shared" si="15"/>
        <v>1</v>
      </c>
      <c r="I125" s="887">
        <f t="shared" ca="1" si="18"/>
        <v>6.75</v>
      </c>
      <c r="J125" s="890">
        <f t="shared" ca="1" si="19"/>
        <v>4.5</v>
      </c>
      <c r="K125" s="887">
        <f t="shared" ca="1" si="20"/>
        <v>0.35000000000000009</v>
      </c>
      <c r="L125" s="901"/>
      <c r="N125" s="884" t="str">
        <f t="shared" ca="1" si="21"/>
        <v>-</v>
      </c>
      <c r="O125" s="884">
        <f t="shared" ca="1" si="22"/>
        <v>0</v>
      </c>
      <c r="P125" s="884">
        <v>1</v>
      </c>
      <c r="Q125" s="912">
        <f t="shared" ca="1" si="23"/>
        <v>1.5</v>
      </c>
      <c r="R125" s="884">
        <f t="shared" ca="1" si="24"/>
        <v>0</v>
      </c>
      <c r="S125" s="887">
        <f t="shared" ca="1" si="25"/>
        <v>0.35000000000000009</v>
      </c>
    </row>
    <row r="126" spans="2:19" x14ac:dyDescent="0.25">
      <c r="B126" s="911" t="str">
        <f ca="1">OFFSET($A$4,ROWS($B$95:B126)-ROWS($B$95),0)</f>
        <v>A25</v>
      </c>
      <c r="C126" s="887">
        <f ca="1">OFFSET($C$4,ROWS($C$95:C126)-ROWS($C$95),0)</f>
        <v>0.8</v>
      </c>
      <c r="D126" s="887">
        <v>1.45</v>
      </c>
      <c r="E126" s="890">
        <f t="shared" ca="1" si="16"/>
        <v>1.5</v>
      </c>
      <c r="F126" s="890">
        <f t="shared" ca="1" si="17"/>
        <v>2.5</v>
      </c>
      <c r="G126" s="890">
        <f ca="1">OFFSET($D$4,ROWS($G$95:G126)-ROWS($G$95),0)+0.1</f>
        <v>1.8</v>
      </c>
      <c r="H126" s="890">
        <f t="shared" si="15"/>
        <v>1</v>
      </c>
      <c r="I126" s="887">
        <f t="shared" ca="1" si="18"/>
        <v>6.75</v>
      </c>
      <c r="J126" s="890">
        <f t="shared" ca="1" si="19"/>
        <v>4.5</v>
      </c>
      <c r="K126" s="887">
        <f t="shared" ca="1" si="20"/>
        <v>0.35000000000000009</v>
      </c>
      <c r="L126" s="901"/>
      <c r="N126" s="884" t="str">
        <f t="shared" ca="1" si="21"/>
        <v>-</v>
      </c>
      <c r="O126" s="884">
        <f t="shared" ca="1" si="22"/>
        <v>0</v>
      </c>
      <c r="P126" s="884">
        <v>1</v>
      </c>
      <c r="Q126" s="912">
        <f t="shared" ca="1" si="23"/>
        <v>1.5</v>
      </c>
      <c r="R126" s="884">
        <f t="shared" ca="1" si="24"/>
        <v>0</v>
      </c>
      <c r="S126" s="887">
        <f t="shared" ca="1" si="25"/>
        <v>0.35000000000000009</v>
      </c>
    </row>
    <row r="127" spans="2:19" x14ac:dyDescent="0.25">
      <c r="B127" s="911" t="str">
        <f ca="1">OFFSET($A$4,ROWS($B$95:B127)-ROWS($B$95),0)</f>
        <v>A24</v>
      </c>
      <c r="C127" s="887">
        <f ca="1">OFFSET($C$4,ROWS($C$95:C127)-ROWS($C$95),0)</f>
        <v>0.8</v>
      </c>
      <c r="D127" s="887">
        <v>1.45</v>
      </c>
      <c r="E127" s="890">
        <f t="shared" ca="1" si="16"/>
        <v>1.5</v>
      </c>
      <c r="F127" s="890">
        <f t="shared" ca="1" si="17"/>
        <v>2.5</v>
      </c>
      <c r="G127" s="890">
        <f ca="1">OFFSET($D$4,ROWS($G$95:G127)-ROWS($G$95),0)+0.1</f>
        <v>1.8</v>
      </c>
      <c r="H127" s="890">
        <f t="shared" si="15"/>
        <v>1</v>
      </c>
      <c r="I127" s="887">
        <f t="shared" ca="1" si="18"/>
        <v>6.75</v>
      </c>
      <c r="J127" s="890">
        <f t="shared" ca="1" si="19"/>
        <v>4.5</v>
      </c>
      <c r="K127" s="887">
        <f t="shared" ca="1" si="20"/>
        <v>0.35000000000000009</v>
      </c>
      <c r="L127" s="901"/>
      <c r="N127" s="884" t="str">
        <f t="shared" ca="1" si="21"/>
        <v>-</v>
      </c>
      <c r="O127" s="884">
        <f t="shared" ca="1" si="22"/>
        <v>0</v>
      </c>
      <c r="P127" s="884">
        <v>1</v>
      </c>
      <c r="Q127" s="912">
        <f t="shared" ca="1" si="23"/>
        <v>1.5</v>
      </c>
      <c r="R127" s="884">
        <f t="shared" ca="1" si="24"/>
        <v>0</v>
      </c>
      <c r="S127" s="887">
        <f t="shared" ca="1" si="25"/>
        <v>0.35000000000000009</v>
      </c>
    </row>
    <row r="128" spans="2:19" x14ac:dyDescent="0.25">
      <c r="B128" s="911" t="str">
        <f ca="1">OFFSET($A$4,ROWS($B$95:B128)-ROWS($B$95),0)</f>
        <v>A23</v>
      </c>
      <c r="C128" s="887">
        <f ca="1">OFFSET($C$4,ROWS($C$95:C128)-ROWS($C$95),0)</f>
        <v>1</v>
      </c>
      <c r="D128" s="887">
        <v>1.45</v>
      </c>
      <c r="E128" s="890">
        <f t="shared" ca="1" si="16"/>
        <v>2</v>
      </c>
      <c r="F128" s="890">
        <f t="shared" ca="1" si="17"/>
        <v>3</v>
      </c>
      <c r="G128" s="890">
        <f ca="1">OFFSET($D$4,ROWS($G$95:G128)-ROWS($G$95),0)+0.1</f>
        <v>2</v>
      </c>
      <c r="H128" s="890">
        <f t="shared" si="15"/>
        <v>1</v>
      </c>
      <c r="I128" s="887">
        <f t="shared" ca="1" si="18"/>
        <v>12</v>
      </c>
      <c r="J128" s="890">
        <f t="shared" ca="1" si="19"/>
        <v>6</v>
      </c>
      <c r="K128" s="887">
        <f t="shared" ca="1" si="20"/>
        <v>0.55000000000000004</v>
      </c>
      <c r="L128" s="901"/>
      <c r="N128" s="884" t="str">
        <f t="shared" ca="1" si="21"/>
        <v>-</v>
      </c>
      <c r="O128" s="884">
        <f t="shared" ca="1" si="22"/>
        <v>0</v>
      </c>
      <c r="P128" s="884">
        <v>1</v>
      </c>
      <c r="Q128" s="912">
        <f t="shared" ca="1" si="23"/>
        <v>2</v>
      </c>
      <c r="R128" s="884">
        <f t="shared" ca="1" si="24"/>
        <v>0</v>
      </c>
      <c r="S128" s="887">
        <f t="shared" ca="1" si="25"/>
        <v>0.55000000000000004</v>
      </c>
    </row>
    <row r="129" spans="2:19" x14ac:dyDescent="0.25">
      <c r="B129" s="911" t="str">
        <f ca="1">OFFSET($A$4,ROWS($B$95:B129)-ROWS($B$95),0)</f>
        <v>A25.2</v>
      </c>
      <c r="C129" s="887">
        <f ca="1">OFFSET($C$4,ROWS($C$95:C129)-ROWS($C$95),0)</f>
        <v>0.6</v>
      </c>
      <c r="D129" s="887">
        <v>1.45</v>
      </c>
      <c r="E129" s="890">
        <f t="shared" ca="1" si="16"/>
        <v>1.5</v>
      </c>
      <c r="F129" s="890">
        <f t="shared" ca="1" si="17"/>
        <v>2.5</v>
      </c>
      <c r="G129" s="890">
        <f ca="1">OFFSET($D$4,ROWS($G$95:G129)-ROWS($G$95),0)+0.1</f>
        <v>1.6</v>
      </c>
      <c r="H129" s="890">
        <f t="shared" si="15"/>
        <v>1</v>
      </c>
      <c r="I129" s="887">
        <f t="shared" ca="1" si="18"/>
        <v>6</v>
      </c>
      <c r="J129" s="890">
        <f t="shared" ca="1" si="19"/>
        <v>4</v>
      </c>
      <c r="K129" s="887">
        <f t="shared" ca="1" si="20"/>
        <v>0.15000000000000013</v>
      </c>
      <c r="L129" s="901"/>
      <c r="N129" s="884" t="str">
        <f t="shared" ca="1" si="21"/>
        <v>-</v>
      </c>
      <c r="O129" s="884">
        <f t="shared" ca="1" si="22"/>
        <v>0</v>
      </c>
      <c r="P129" s="884">
        <v>1</v>
      </c>
      <c r="Q129" s="912">
        <f t="shared" ca="1" si="23"/>
        <v>1.5</v>
      </c>
      <c r="R129" s="884">
        <f t="shared" ca="1" si="24"/>
        <v>0</v>
      </c>
      <c r="S129" s="887">
        <f t="shared" ca="1" si="25"/>
        <v>0.15000000000000013</v>
      </c>
    </row>
    <row r="130" spans="2:19" x14ac:dyDescent="0.25">
      <c r="B130" s="911" t="str">
        <f ca="1">OFFSET($A$4,ROWS($B$95:B130)-ROWS($B$95),0)</f>
        <v>A25.1</v>
      </c>
      <c r="C130" s="887">
        <f ca="1">OFFSET($C$4,ROWS($C$95:C130)-ROWS($C$95),0)</f>
        <v>0.6</v>
      </c>
      <c r="D130" s="887">
        <v>1.45</v>
      </c>
      <c r="E130" s="890">
        <f t="shared" ca="1" si="16"/>
        <v>1.5</v>
      </c>
      <c r="F130" s="890">
        <f t="shared" ca="1" si="17"/>
        <v>2.5</v>
      </c>
      <c r="G130" s="890">
        <f ca="1">OFFSET($D$4,ROWS($G$95:G130)-ROWS($G$95),0)+0.1</f>
        <v>1.6</v>
      </c>
      <c r="H130" s="890">
        <f t="shared" si="15"/>
        <v>1</v>
      </c>
      <c r="I130" s="887">
        <f t="shared" ca="1" si="18"/>
        <v>6</v>
      </c>
      <c r="J130" s="890">
        <f t="shared" ca="1" si="19"/>
        <v>4</v>
      </c>
      <c r="K130" s="887">
        <f t="shared" ca="1" si="20"/>
        <v>0.15000000000000013</v>
      </c>
      <c r="L130" s="901"/>
      <c r="N130" s="884" t="str">
        <f t="shared" ca="1" si="21"/>
        <v>-</v>
      </c>
      <c r="O130" s="884">
        <f t="shared" ca="1" si="22"/>
        <v>0</v>
      </c>
      <c r="P130" s="884">
        <v>1</v>
      </c>
      <c r="Q130" s="912">
        <f t="shared" ca="1" si="23"/>
        <v>1.5</v>
      </c>
      <c r="R130" s="884">
        <f t="shared" ca="1" si="24"/>
        <v>0</v>
      </c>
      <c r="S130" s="887">
        <f t="shared" ca="1" si="25"/>
        <v>0.15000000000000013</v>
      </c>
    </row>
    <row r="131" spans="2:19" x14ac:dyDescent="0.25">
      <c r="B131" s="911" t="str">
        <f ca="1">OFFSET($A$4,ROWS($B$95:B131)-ROWS($B$95),0)</f>
        <v>A18.8</v>
      </c>
      <c r="C131" s="887">
        <f ca="1">OFFSET($C$4,ROWS($C$95:C131)-ROWS($C$95),0)</f>
        <v>0.6</v>
      </c>
      <c r="D131" s="887">
        <v>1.45</v>
      </c>
      <c r="E131" s="890">
        <f t="shared" ca="1" si="16"/>
        <v>1.5</v>
      </c>
      <c r="F131" s="890">
        <f t="shared" ca="1" si="17"/>
        <v>2.5</v>
      </c>
      <c r="G131" s="890">
        <f ca="1">OFFSET($D$4,ROWS($G$95:G131)-ROWS($G$95),0)+0.1</f>
        <v>1.6</v>
      </c>
      <c r="H131" s="890">
        <f t="shared" si="15"/>
        <v>1</v>
      </c>
      <c r="I131" s="887">
        <f t="shared" ca="1" si="18"/>
        <v>6</v>
      </c>
      <c r="J131" s="890">
        <f t="shared" ca="1" si="19"/>
        <v>4</v>
      </c>
      <c r="K131" s="887">
        <f t="shared" ca="1" si="20"/>
        <v>0.15000000000000013</v>
      </c>
      <c r="L131" s="901"/>
      <c r="N131" s="884" t="str">
        <f t="shared" ca="1" si="21"/>
        <v>-</v>
      </c>
      <c r="O131" s="884">
        <f t="shared" ca="1" si="22"/>
        <v>0</v>
      </c>
      <c r="P131" s="884">
        <v>1</v>
      </c>
      <c r="Q131" s="912">
        <f t="shared" ca="1" si="23"/>
        <v>1.5</v>
      </c>
      <c r="R131" s="884">
        <f t="shared" ca="1" si="24"/>
        <v>0</v>
      </c>
      <c r="S131" s="887">
        <f t="shared" ca="1" si="25"/>
        <v>0.15000000000000013</v>
      </c>
    </row>
    <row r="132" spans="2:19" x14ac:dyDescent="0.25">
      <c r="B132" s="911" t="str">
        <f ca="1">OFFSET($A$4,ROWS($B$95:B132)-ROWS($B$95),0)</f>
        <v>A18.7</v>
      </c>
      <c r="C132" s="887">
        <f ca="1">OFFSET($C$4,ROWS($C$95:C132)-ROWS($C$95),0)</f>
        <v>0.8</v>
      </c>
      <c r="D132" s="887">
        <v>1.45</v>
      </c>
      <c r="E132" s="890">
        <f t="shared" ca="1" si="16"/>
        <v>1.5</v>
      </c>
      <c r="F132" s="890">
        <f t="shared" ca="1" si="17"/>
        <v>2.5</v>
      </c>
      <c r="G132" s="890">
        <f ca="1">OFFSET($D$4,ROWS($G$95:G132)-ROWS($G$95),0)+0.1</f>
        <v>1.8</v>
      </c>
      <c r="H132" s="890">
        <f t="shared" si="15"/>
        <v>1</v>
      </c>
      <c r="I132" s="887">
        <f t="shared" ca="1" si="18"/>
        <v>6.75</v>
      </c>
      <c r="J132" s="890">
        <f t="shared" ca="1" si="19"/>
        <v>4.5</v>
      </c>
      <c r="K132" s="887">
        <f t="shared" ca="1" si="20"/>
        <v>0.35000000000000009</v>
      </c>
      <c r="L132" s="901"/>
      <c r="N132" s="884" t="str">
        <f t="shared" ca="1" si="21"/>
        <v>-</v>
      </c>
      <c r="O132" s="884">
        <f t="shared" ca="1" si="22"/>
        <v>0</v>
      </c>
      <c r="P132" s="884">
        <v>1</v>
      </c>
      <c r="Q132" s="912">
        <f t="shared" ca="1" si="23"/>
        <v>1.5</v>
      </c>
      <c r="R132" s="884">
        <f t="shared" ca="1" si="24"/>
        <v>0</v>
      </c>
      <c r="S132" s="887">
        <f t="shared" ca="1" si="25"/>
        <v>0.35000000000000009</v>
      </c>
    </row>
    <row r="133" spans="2:19" x14ac:dyDescent="0.25">
      <c r="B133" s="911" t="str">
        <f ca="1">OFFSET($A$4,ROWS($B$95:B133)-ROWS($B$95),0)</f>
        <v>A18.6</v>
      </c>
      <c r="C133" s="887">
        <f ca="1">OFFSET($C$4,ROWS($C$95:C133)-ROWS($C$95),0)</f>
        <v>0.8</v>
      </c>
      <c r="D133" s="887">
        <v>1.45</v>
      </c>
      <c r="E133" s="890">
        <f t="shared" ca="1" si="16"/>
        <v>1.5</v>
      </c>
      <c r="F133" s="890">
        <f t="shared" ca="1" si="17"/>
        <v>2.5</v>
      </c>
      <c r="G133" s="890">
        <f ca="1">OFFSET($D$4,ROWS($G$95:G133)-ROWS($G$95),0)+0.1</f>
        <v>1.8</v>
      </c>
      <c r="H133" s="890">
        <f t="shared" si="15"/>
        <v>1</v>
      </c>
      <c r="I133" s="887">
        <f t="shared" ca="1" si="18"/>
        <v>6.75</v>
      </c>
      <c r="J133" s="890">
        <f t="shared" ca="1" si="19"/>
        <v>4.5</v>
      </c>
      <c r="K133" s="887">
        <f t="shared" ca="1" si="20"/>
        <v>0.35000000000000009</v>
      </c>
      <c r="L133" s="901"/>
      <c r="N133" s="884" t="str">
        <f t="shared" ca="1" si="21"/>
        <v>-</v>
      </c>
      <c r="O133" s="884">
        <f t="shared" ca="1" si="22"/>
        <v>0</v>
      </c>
      <c r="P133" s="884">
        <v>1</v>
      </c>
      <c r="Q133" s="912">
        <f t="shared" ca="1" si="23"/>
        <v>1.5</v>
      </c>
      <c r="R133" s="884">
        <f t="shared" ca="1" si="24"/>
        <v>0</v>
      </c>
      <c r="S133" s="887">
        <f t="shared" ca="1" si="25"/>
        <v>0.35000000000000009</v>
      </c>
    </row>
    <row r="134" spans="2:19" x14ac:dyDescent="0.25">
      <c r="B134" s="911" t="str">
        <f ca="1">OFFSET($A$4,ROWS($B$95:B134)-ROWS($B$95),0)</f>
        <v>A18.5</v>
      </c>
      <c r="C134" s="887">
        <f ca="1">OFFSET($C$4,ROWS($C$95:C134)-ROWS($C$95),0)</f>
        <v>1</v>
      </c>
      <c r="D134" s="887">
        <v>1.45</v>
      </c>
      <c r="E134" s="890">
        <f t="shared" ca="1" si="16"/>
        <v>2</v>
      </c>
      <c r="F134" s="890">
        <f t="shared" ca="1" si="17"/>
        <v>3</v>
      </c>
      <c r="G134" s="890">
        <f ca="1">OFFSET($D$4,ROWS($G$95:G134)-ROWS($G$95),0)+0.1</f>
        <v>2</v>
      </c>
      <c r="H134" s="890">
        <f t="shared" si="15"/>
        <v>1</v>
      </c>
      <c r="I134" s="887">
        <f t="shared" ca="1" si="18"/>
        <v>12</v>
      </c>
      <c r="J134" s="890">
        <f t="shared" ca="1" si="19"/>
        <v>6</v>
      </c>
      <c r="K134" s="887">
        <f t="shared" ca="1" si="20"/>
        <v>0.55000000000000004</v>
      </c>
      <c r="L134" s="901"/>
      <c r="N134" s="884" t="str">
        <f t="shared" ca="1" si="21"/>
        <v>-</v>
      </c>
      <c r="O134" s="884">
        <f t="shared" ca="1" si="22"/>
        <v>0</v>
      </c>
      <c r="P134" s="884">
        <v>1</v>
      </c>
      <c r="Q134" s="912">
        <f t="shared" ca="1" si="23"/>
        <v>2</v>
      </c>
      <c r="R134" s="884">
        <f t="shared" ca="1" si="24"/>
        <v>0</v>
      </c>
      <c r="S134" s="887">
        <f t="shared" ca="1" si="25"/>
        <v>0.55000000000000004</v>
      </c>
    </row>
    <row r="135" spans="2:19" x14ac:dyDescent="0.25">
      <c r="B135" s="911" t="str">
        <f ca="1">OFFSET($A$4,ROWS($B$95:B135)-ROWS($B$95),0)</f>
        <v>A18.4</v>
      </c>
      <c r="C135" s="887">
        <f ca="1">OFFSET($C$4,ROWS($C$95:C135)-ROWS($C$95),0)</f>
        <v>1</v>
      </c>
      <c r="D135" s="887">
        <v>1.45</v>
      </c>
      <c r="E135" s="890">
        <f t="shared" ca="1" si="16"/>
        <v>2</v>
      </c>
      <c r="F135" s="890">
        <f t="shared" ca="1" si="17"/>
        <v>3</v>
      </c>
      <c r="G135" s="890">
        <f ca="1">OFFSET($D$4,ROWS($G$95:G135)-ROWS($G$95),0)+0.1</f>
        <v>2</v>
      </c>
      <c r="H135" s="890">
        <f t="shared" si="15"/>
        <v>1</v>
      </c>
      <c r="I135" s="887">
        <f t="shared" ca="1" si="18"/>
        <v>12</v>
      </c>
      <c r="J135" s="890">
        <f t="shared" ca="1" si="19"/>
        <v>6</v>
      </c>
      <c r="K135" s="887">
        <f t="shared" ca="1" si="20"/>
        <v>0.55000000000000004</v>
      </c>
      <c r="L135" s="901"/>
      <c r="N135" s="884" t="str">
        <f t="shared" ca="1" si="21"/>
        <v>-</v>
      </c>
      <c r="O135" s="884">
        <f t="shared" ca="1" si="22"/>
        <v>0</v>
      </c>
      <c r="P135" s="884">
        <v>1</v>
      </c>
      <c r="Q135" s="912">
        <f t="shared" ca="1" si="23"/>
        <v>2</v>
      </c>
      <c r="R135" s="884">
        <f t="shared" ca="1" si="24"/>
        <v>0</v>
      </c>
      <c r="S135" s="887">
        <f t="shared" ca="1" si="25"/>
        <v>0.55000000000000004</v>
      </c>
    </row>
    <row r="136" spans="2:19" x14ac:dyDescent="0.25">
      <c r="B136" s="911" t="str">
        <f ca="1">OFFSET($A$4,ROWS($B$95:B136)-ROWS($B$95),0)</f>
        <v>A18.3</v>
      </c>
      <c r="C136" s="887">
        <f ca="1">OFFSET($C$4,ROWS($C$95:C136)-ROWS($C$95),0)</f>
        <v>1.2</v>
      </c>
      <c r="D136" s="887">
        <v>1.45</v>
      </c>
      <c r="E136" s="890">
        <f t="shared" ca="1" si="16"/>
        <v>2</v>
      </c>
      <c r="F136" s="890">
        <f t="shared" ca="1" si="17"/>
        <v>3</v>
      </c>
      <c r="G136" s="890">
        <f ca="1">OFFSET($D$4,ROWS($G$95:G136)-ROWS($G$95),0)+0.1</f>
        <v>2.9</v>
      </c>
      <c r="H136" s="890">
        <f t="shared" si="15"/>
        <v>1</v>
      </c>
      <c r="I136" s="887">
        <f t="shared" ca="1" si="18"/>
        <v>17.399999999999999</v>
      </c>
      <c r="J136" s="890">
        <f t="shared" ca="1" si="19"/>
        <v>8.6999999999999993</v>
      </c>
      <c r="K136" s="887">
        <f t="shared" ca="1" si="20"/>
        <v>1.05</v>
      </c>
      <c r="L136" s="901"/>
      <c r="N136" s="884" t="str">
        <f t="shared" ca="1" si="21"/>
        <v>-</v>
      </c>
      <c r="O136" s="884">
        <f t="shared" ca="1" si="22"/>
        <v>0</v>
      </c>
      <c r="P136" s="884">
        <v>1</v>
      </c>
      <c r="Q136" s="912">
        <f t="shared" ca="1" si="23"/>
        <v>2</v>
      </c>
      <c r="R136" s="884">
        <f t="shared" ca="1" si="24"/>
        <v>0.39999999999999991</v>
      </c>
      <c r="S136" s="887">
        <f t="shared" ca="1" si="25"/>
        <v>1.05</v>
      </c>
    </row>
    <row r="137" spans="2:19" x14ac:dyDescent="0.25">
      <c r="B137" s="911" t="str">
        <f ca="1">OFFSET($A$4,ROWS($B$95:B137)-ROWS($B$95),0)</f>
        <v>A18.2</v>
      </c>
      <c r="C137" s="887">
        <f ca="1">OFFSET($C$4,ROWS($C$95:C137)-ROWS($C$95),0)</f>
        <v>1.2</v>
      </c>
      <c r="D137" s="887">
        <v>1.45</v>
      </c>
      <c r="E137" s="890">
        <f t="shared" ca="1" si="16"/>
        <v>2</v>
      </c>
      <c r="F137" s="890">
        <f t="shared" ca="1" si="17"/>
        <v>3</v>
      </c>
      <c r="G137" s="890">
        <f ca="1">OFFSET($D$4,ROWS($G$95:G137)-ROWS($G$95),0)+0.1</f>
        <v>2.6</v>
      </c>
      <c r="H137" s="890">
        <f t="shared" si="15"/>
        <v>1</v>
      </c>
      <c r="I137" s="887">
        <f t="shared" ca="1" si="18"/>
        <v>15.600000000000001</v>
      </c>
      <c r="J137" s="890">
        <f t="shared" ca="1" si="19"/>
        <v>7.8000000000000007</v>
      </c>
      <c r="K137" s="887">
        <f t="shared" ca="1" si="20"/>
        <v>1.05</v>
      </c>
      <c r="L137" s="901"/>
      <c r="N137" s="884" t="str">
        <f t="shared" ca="1" si="21"/>
        <v>-</v>
      </c>
      <c r="O137" s="884">
        <f t="shared" ca="1" si="22"/>
        <v>0</v>
      </c>
      <c r="P137" s="884">
        <v>1</v>
      </c>
      <c r="Q137" s="912">
        <f t="shared" ca="1" si="23"/>
        <v>2</v>
      </c>
      <c r="R137" s="884">
        <f t="shared" ca="1" si="24"/>
        <v>0.10000000000000009</v>
      </c>
      <c r="S137" s="887">
        <f t="shared" ca="1" si="25"/>
        <v>1.05</v>
      </c>
    </row>
    <row r="138" spans="2:19" x14ac:dyDescent="0.25">
      <c r="B138" s="911" t="str">
        <f ca="1">OFFSET($A$4,ROWS($B$95:B138)-ROWS($B$95),0)</f>
        <v>A18.1</v>
      </c>
      <c r="C138" s="887">
        <f ca="1">OFFSET($C$4,ROWS($C$95:C138)-ROWS($C$95),0)</f>
        <v>1.2</v>
      </c>
      <c r="D138" s="887">
        <v>1.45</v>
      </c>
      <c r="E138" s="890">
        <f t="shared" ca="1" si="16"/>
        <v>2</v>
      </c>
      <c r="F138" s="890">
        <f t="shared" ca="1" si="17"/>
        <v>3</v>
      </c>
      <c r="G138" s="890">
        <f ca="1">OFFSET($D$4,ROWS($G$95:G138)-ROWS($G$95),0)+0.1</f>
        <v>2.3000000000000003</v>
      </c>
      <c r="H138" s="890">
        <f t="shared" si="15"/>
        <v>1</v>
      </c>
      <c r="I138" s="887">
        <f t="shared" ca="1" si="18"/>
        <v>13.8</v>
      </c>
      <c r="J138" s="890">
        <f t="shared" ca="1" si="19"/>
        <v>6.9</v>
      </c>
      <c r="K138" s="887">
        <f t="shared" ca="1" si="20"/>
        <v>0.85000000000000031</v>
      </c>
      <c r="L138" s="901"/>
      <c r="N138" s="884" t="str">
        <f t="shared" ca="1" si="21"/>
        <v>-</v>
      </c>
      <c r="O138" s="884">
        <f t="shared" ca="1" si="22"/>
        <v>0</v>
      </c>
      <c r="P138" s="884">
        <v>1</v>
      </c>
      <c r="Q138" s="912">
        <f t="shared" ca="1" si="23"/>
        <v>2</v>
      </c>
      <c r="R138" s="884">
        <f t="shared" ca="1" si="24"/>
        <v>0</v>
      </c>
      <c r="S138" s="887">
        <f t="shared" ca="1" si="25"/>
        <v>0.85000000000000031</v>
      </c>
    </row>
    <row r="139" spans="2:19" x14ac:dyDescent="0.25">
      <c r="B139" s="911" t="str">
        <f ca="1">OFFSET($A$4,ROWS($B$95:B139)-ROWS($B$95),0)</f>
        <v>B3.3</v>
      </c>
      <c r="C139" s="887">
        <f ca="1">OFFSET($C$4,ROWS($C$95:C139)-ROWS($C$95),0)</f>
        <v>0.6</v>
      </c>
      <c r="D139" s="887">
        <v>1.45</v>
      </c>
      <c r="E139" s="890">
        <f t="shared" ca="1" si="16"/>
        <v>1.5</v>
      </c>
      <c r="F139" s="890">
        <f t="shared" ca="1" si="17"/>
        <v>2.5</v>
      </c>
      <c r="G139" s="890">
        <f ca="1">OFFSET($D$4,ROWS($G$95:G139)-ROWS($G$95),0)+0.1</f>
        <v>1.6</v>
      </c>
      <c r="H139" s="890">
        <f t="shared" si="15"/>
        <v>1</v>
      </c>
      <c r="I139" s="887">
        <f t="shared" ca="1" si="18"/>
        <v>6</v>
      </c>
      <c r="J139" s="890">
        <f t="shared" ca="1" si="19"/>
        <v>4</v>
      </c>
      <c r="K139" s="887">
        <f t="shared" ca="1" si="20"/>
        <v>0.15000000000000013</v>
      </c>
      <c r="L139" s="901"/>
      <c r="N139" s="884" t="str">
        <f t="shared" ca="1" si="21"/>
        <v>-</v>
      </c>
      <c r="O139" s="884">
        <f t="shared" ca="1" si="22"/>
        <v>0</v>
      </c>
      <c r="P139" s="884">
        <v>1</v>
      </c>
      <c r="Q139" s="912">
        <f t="shared" ca="1" si="23"/>
        <v>1.5</v>
      </c>
      <c r="R139" s="884">
        <f t="shared" ca="1" si="24"/>
        <v>0</v>
      </c>
      <c r="S139" s="887">
        <f t="shared" ca="1" si="25"/>
        <v>0.15000000000000013</v>
      </c>
    </row>
    <row r="140" spans="2:19" x14ac:dyDescent="0.25">
      <c r="B140" s="911" t="str">
        <f ca="1">OFFSET($A$4,ROWS($B$95:B140)-ROWS($B$95),0)</f>
        <v>B3.2</v>
      </c>
      <c r="C140" s="887">
        <f ca="1">OFFSET($C$4,ROWS($C$95:C140)-ROWS($C$95),0)</f>
        <v>0.6</v>
      </c>
      <c r="D140" s="887">
        <v>1.45</v>
      </c>
      <c r="E140" s="890">
        <f t="shared" ca="1" si="16"/>
        <v>1.5</v>
      </c>
      <c r="F140" s="890">
        <f t="shared" ca="1" si="17"/>
        <v>2.5</v>
      </c>
      <c r="G140" s="890">
        <f ca="1">OFFSET($D$4,ROWS($G$95:G140)-ROWS($G$95),0)+0.1</f>
        <v>1.6</v>
      </c>
      <c r="H140" s="890">
        <f t="shared" si="15"/>
        <v>1</v>
      </c>
      <c r="I140" s="887">
        <f t="shared" ca="1" si="18"/>
        <v>6</v>
      </c>
      <c r="J140" s="890">
        <f t="shared" ca="1" si="19"/>
        <v>4</v>
      </c>
      <c r="K140" s="887">
        <f t="shared" ca="1" si="20"/>
        <v>0.15000000000000013</v>
      </c>
      <c r="L140" s="901"/>
      <c r="N140" s="884" t="str">
        <f t="shared" ca="1" si="21"/>
        <v>-</v>
      </c>
      <c r="O140" s="884">
        <f t="shared" ca="1" si="22"/>
        <v>0</v>
      </c>
      <c r="P140" s="884">
        <v>1</v>
      </c>
      <c r="Q140" s="912">
        <f t="shared" ca="1" si="23"/>
        <v>1.5</v>
      </c>
      <c r="R140" s="884">
        <f t="shared" ca="1" si="24"/>
        <v>0</v>
      </c>
      <c r="S140" s="887">
        <f t="shared" ca="1" si="25"/>
        <v>0.15000000000000013</v>
      </c>
    </row>
    <row r="141" spans="2:19" x14ac:dyDescent="0.25">
      <c r="B141" s="911" t="str">
        <f ca="1">OFFSET($A$4,ROWS($B$95:B141)-ROWS($B$95),0)</f>
        <v>B3.1</v>
      </c>
      <c r="C141" s="887">
        <f ca="1">OFFSET($C$4,ROWS($C$95:C141)-ROWS($C$95),0)</f>
        <v>0.8</v>
      </c>
      <c r="D141" s="887">
        <v>1.45</v>
      </c>
      <c r="E141" s="890">
        <f t="shared" ca="1" si="16"/>
        <v>1.5</v>
      </c>
      <c r="F141" s="890">
        <f t="shared" ca="1" si="17"/>
        <v>2.5</v>
      </c>
      <c r="G141" s="890">
        <f ca="1">OFFSET($D$4,ROWS($G$95:G141)-ROWS($G$95),0)+0.1</f>
        <v>1.8</v>
      </c>
      <c r="H141" s="890">
        <f t="shared" si="15"/>
        <v>1</v>
      </c>
      <c r="I141" s="887">
        <f t="shared" ca="1" si="18"/>
        <v>6.75</v>
      </c>
      <c r="J141" s="890">
        <f t="shared" ca="1" si="19"/>
        <v>4.5</v>
      </c>
      <c r="K141" s="887">
        <f t="shared" ca="1" si="20"/>
        <v>0.35000000000000009</v>
      </c>
      <c r="L141" s="901"/>
      <c r="N141" s="884" t="str">
        <f t="shared" ca="1" si="21"/>
        <v>-</v>
      </c>
      <c r="O141" s="884">
        <f t="shared" ca="1" si="22"/>
        <v>0</v>
      </c>
      <c r="P141" s="884">
        <v>1</v>
      </c>
      <c r="Q141" s="912">
        <f t="shared" ca="1" si="23"/>
        <v>1.5</v>
      </c>
      <c r="R141" s="884">
        <f t="shared" ca="1" si="24"/>
        <v>0</v>
      </c>
      <c r="S141" s="887">
        <f t="shared" ca="1" si="25"/>
        <v>0.35000000000000009</v>
      </c>
    </row>
    <row r="142" spans="2:19" x14ac:dyDescent="0.25">
      <c r="B142" s="911" t="str">
        <f ca="1">OFFSET($A$4,ROWS($B$95:B142)-ROWS($B$95),0)</f>
        <v>B3</v>
      </c>
      <c r="C142" s="887">
        <f ca="1">OFFSET($C$4,ROWS($C$95:C142)-ROWS($C$95),0)</f>
        <v>1</v>
      </c>
      <c r="D142" s="887">
        <v>1.45</v>
      </c>
      <c r="E142" s="890">
        <f t="shared" ca="1" si="16"/>
        <v>2</v>
      </c>
      <c r="F142" s="890">
        <f t="shared" ca="1" si="17"/>
        <v>3</v>
      </c>
      <c r="G142" s="890">
        <f ca="1">OFFSET($D$4,ROWS($G$95:G142)-ROWS($G$95),0)+0.1</f>
        <v>2</v>
      </c>
      <c r="H142" s="890">
        <f t="shared" si="15"/>
        <v>1</v>
      </c>
      <c r="I142" s="887">
        <f t="shared" ca="1" si="18"/>
        <v>12</v>
      </c>
      <c r="J142" s="890">
        <f t="shared" ca="1" si="19"/>
        <v>6</v>
      </c>
      <c r="K142" s="887">
        <f t="shared" ca="1" si="20"/>
        <v>0.55000000000000004</v>
      </c>
      <c r="L142" s="901"/>
      <c r="N142" s="884" t="str">
        <f t="shared" ca="1" si="21"/>
        <v>-</v>
      </c>
      <c r="O142" s="884">
        <f t="shared" ca="1" si="22"/>
        <v>0</v>
      </c>
      <c r="P142" s="884">
        <v>1</v>
      </c>
      <c r="Q142" s="912">
        <f t="shared" ca="1" si="23"/>
        <v>2</v>
      </c>
      <c r="R142" s="884">
        <f t="shared" ca="1" si="24"/>
        <v>0</v>
      </c>
      <c r="S142" s="887">
        <f t="shared" ca="1" si="25"/>
        <v>0.55000000000000004</v>
      </c>
    </row>
    <row r="143" spans="2:19" x14ac:dyDescent="0.25">
      <c r="B143" s="911" t="str">
        <f ca="1">OFFSET($A$4,ROWS($B$95:B143)-ROWS($B$95),0)</f>
        <v>B2</v>
      </c>
      <c r="C143" s="887">
        <f ca="1">OFFSET($C$4,ROWS($C$95:C143)-ROWS($C$95),0)</f>
        <v>1</v>
      </c>
      <c r="D143" s="887">
        <v>1.45</v>
      </c>
      <c r="E143" s="890">
        <f t="shared" ca="1" si="16"/>
        <v>2</v>
      </c>
      <c r="F143" s="890">
        <f t="shared" ca="1" si="17"/>
        <v>3</v>
      </c>
      <c r="G143" s="890">
        <f ca="1">OFFSET($D$4,ROWS($G$95:G143)-ROWS($G$95),0)+0.1</f>
        <v>2</v>
      </c>
      <c r="H143" s="890">
        <f t="shared" si="15"/>
        <v>1</v>
      </c>
      <c r="I143" s="887">
        <f t="shared" ca="1" si="18"/>
        <v>12</v>
      </c>
      <c r="J143" s="890">
        <f t="shared" ca="1" si="19"/>
        <v>6</v>
      </c>
      <c r="K143" s="887">
        <f t="shared" ca="1" si="20"/>
        <v>0.55000000000000004</v>
      </c>
      <c r="L143" s="901"/>
      <c r="N143" s="884" t="str">
        <f t="shared" ca="1" si="21"/>
        <v>-</v>
      </c>
      <c r="O143" s="884">
        <f t="shared" ca="1" si="22"/>
        <v>0</v>
      </c>
      <c r="P143" s="884">
        <v>1</v>
      </c>
      <c r="Q143" s="912">
        <f t="shared" ca="1" si="23"/>
        <v>2</v>
      </c>
      <c r="R143" s="884">
        <f t="shared" ca="1" si="24"/>
        <v>0</v>
      </c>
      <c r="S143" s="887">
        <f t="shared" ca="1" si="25"/>
        <v>0.55000000000000004</v>
      </c>
    </row>
    <row r="144" spans="2:19" x14ac:dyDescent="0.25">
      <c r="B144" s="911" t="str">
        <f ca="1">OFFSET($A$4,ROWS($B$95:B144)-ROWS($B$95),0)</f>
        <v>B1</v>
      </c>
      <c r="C144" s="887">
        <f ca="1">OFFSET($C$4,ROWS($C$95:C144)-ROWS($C$95),0)</f>
        <v>1</v>
      </c>
      <c r="D144" s="887">
        <v>1.45</v>
      </c>
      <c r="E144" s="890">
        <f t="shared" ca="1" si="16"/>
        <v>2</v>
      </c>
      <c r="F144" s="890">
        <f t="shared" ca="1" si="17"/>
        <v>3</v>
      </c>
      <c r="G144" s="890">
        <f ca="1">OFFSET($D$4,ROWS($G$95:G144)-ROWS($G$95),0)+0.1</f>
        <v>2</v>
      </c>
      <c r="H144" s="890">
        <f t="shared" si="15"/>
        <v>1</v>
      </c>
      <c r="I144" s="887">
        <f t="shared" ca="1" si="18"/>
        <v>12</v>
      </c>
      <c r="J144" s="890">
        <f t="shared" ca="1" si="19"/>
        <v>6</v>
      </c>
      <c r="K144" s="887">
        <f t="shared" ca="1" si="20"/>
        <v>0.55000000000000004</v>
      </c>
      <c r="L144" s="901"/>
      <c r="N144" s="884" t="str">
        <f t="shared" ca="1" si="21"/>
        <v>-</v>
      </c>
      <c r="O144" s="884">
        <f t="shared" ca="1" si="22"/>
        <v>0</v>
      </c>
      <c r="P144" s="884">
        <v>1</v>
      </c>
      <c r="Q144" s="912">
        <f t="shared" ca="1" si="23"/>
        <v>2</v>
      </c>
      <c r="R144" s="884">
        <f t="shared" ca="1" si="24"/>
        <v>0</v>
      </c>
      <c r="S144" s="887">
        <f t="shared" ca="1" si="25"/>
        <v>0.55000000000000004</v>
      </c>
    </row>
    <row r="145" spans="1:27" x14ac:dyDescent="0.25">
      <c r="B145" s="911" t="str">
        <f ca="1">OFFSET($A$4,ROWS($B$95:B145)-ROWS($B$95),0)</f>
        <v>A24.2</v>
      </c>
      <c r="C145" s="887">
        <f ca="1">OFFSET($C$4,ROWS($C$95:C145)-ROWS($C$95),0)</f>
        <v>0.6</v>
      </c>
      <c r="D145" s="887">
        <v>1.45</v>
      </c>
      <c r="E145" s="890">
        <f t="shared" ca="1" si="16"/>
        <v>1.5</v>
      </c>
      <c r="F145" s="890">
        <f t="shared" ca="1" si="17"/>
        <v>2.5</v>
      </c>
      <c r="G145" s="890">
        <f ca="1">OFFSET($D$4,ROWS($G$95:G145)-ROWS($G$95),0)+0.1</f>
        <v>1.6</v>
      </c>
      <c r="H145" s="890">
        <f t="shared" si="15"/>
        <v>1</v>
      </c>
      <c r="I145" s="887">
        <f t="shared" ca="1" si="18"/>
        <v>6</v>
      </c>
      <c r="J145" s="890">
        <f t="shared" ca="1" si="19"/>
        <v>4</v>
      </c>
      <c r="K145" s="887">
        <f t="shared" ca="1" si="20"/>
        <v>0.15000000000000013</v>
      </c>
      <c r="L145" s="901"/>
      <c r="N145" s="884" t="str">
        <f t="shared" ca="1" si="21"/>
        <v>-</v>
      </c>
      <c r="O145" s="884">
        <f t="shared" ca="1" si="22"/>
        <v>0</v>
      </c>
      <c r="P145" s="884">
        <v>1</v>
      </c>
      <c r="Q145" s="912">
        <f t="shared" ca="1" si="23"/>
        <v>1.5</v>
      </c>
      <c r="R145" s="884">
        <f t="shared" ca="1" si="24"/>
        <v>0</v>
      </c>
      <c r="S145" s="887">
        <f t="shared" ca="1" si="25"/>
        <v>0.15000000000000013</v>
      </c>
    </row>
    <row r="146" spans="1:27" x14ac:dyDescent="0.25">
      <c r="B146" s="911" t="str">
        <f ca="1">OFFSET($A$4,ROWS($B$95:B146)-ROWS($B$95),0)</f>
        <v>A24.1</v>
      </c>
      <c r="C146" s="887">
        <f ca="1">OFFSET($C$4,ROWS($C$95:C146)-ROWS($C$95),0)</f>
        <v>0.6</v>
      </c>
      <c r="D146" s="887">
        <v>1.45</v>
      </c>
      <c r="E146" s="890">
        <f t="shared" ca="1" si="16"/>
        <v>1.5</v>
      </c>
      <c r="F146" s="890">
        <f t="shared" ca="1" si="17"/>
        <v>2.5</v>
      </c>
      <c r="G146" s="890">
        <f ca="1">OFFSET($D$4,ROWS($G$95:G146)-ROWS($G$95),0)+0.1</f>
        <v>1.6</v>
      </c>
      <c r="H146" s="890">
        <f t="shared" si="15"/>
        <v>1</v>
      </c>
      <c r="I146" s="887">
        <f t="shared" ca="1" si="18"/>
        <v>6</v>
      </c>
      <c r="J146" s="890">
        <f t="shared" ca="1" si="19"/>
        <v>4</v>
      </c>
      <c r="K146" s="887">
        <f t="shared" ca="1" si="20"/>
        <v>0.15000000000000013</v>
      </c>
      <c r="L146" s="901"/>
      <c r="N146" s="884" t="str">
        <f t="shared" ca="1" si="21"/>
        <v>-</v>
      </c>
      <c r="O146" s="884">
        <f t="shared" ca="1" si="22"/>
        <v>0</v>
      </c>
      <c r="P146" s="884">
        <v>1</v>
      </c>
      <c r="Q146" s="912">
        <f t="shared" ca="1" si="23"/>
        <v>1.5</v>
      </c>
      <c r="R146" s="884">
        <f t="shared" ca="1" si="24"/>
        <v>0</v>
      </c>
      <c r="S146" s="887">
        <f t="shared" ca="1" si="25"/>
        <v>0.15000000000000013</v>
      </c>
    </row>
    <row r="147" spans="1:27" x14ac:dyDescent="0.25">
      <c r="B147" s="911" t="str">
        <f ca="1">OFFSET($A$4,ROWS($B$95:B147)-ROWS($B$95),0)</f>
        <v>B5.3</v>
      </c>
      <c r="C147" s="887">
        <f ca="1">OFFSET($C$4,ROWS($C$95:C147)-ROWS($C$95),0)</f>
        <v>0.6</v>
      </c>
      <c r="D147" s="887">
        <v>1.45</v>
      </c>
      <c r="E147" s="890">
        <f t="shared" ca="1" si="16"/>
        <v>1.5</v>
      </c>
      <c r="F147" s="890">
        <f t="shared" ca="1" si="17"/>
        <v>2.5</v>
      </c>
      <c r="G147" s="890">
        <f ca="1">OFFSET($D$4,ROWS($G$95:G147)-ROWS($G$95),0)+0.1</f>
        <v>1.6</v>
      </c>
      <c r="H147" s="890">
        <f t="shared" si="15"/>
        <v>1</v>
      </c>
      <c r="I147" s="887">
        <f t="shared" ca="1" si="18"/>
        <v>6</v>
      </c>
      <c r="J147" s="890">
        <f t="shared" ca="1" si="19"/>
        <v>4</v>
      </c>
      <c r="K147" s="887">
        <f t="shared" ca="1" si="20"/>
        <v>0.15000000000000013</v>
      </c>
      <c r="L147" s="901"/>
      <c r="N147" s="884" t="str">
        <f t="shared" ca="1" si="21"/>
        <v>-</v>
      </c>
      <c r="O147" s="884">
        <f t="shared" ca="1" si="22"/>
        <v>0</v>
      </c>
      <c r="P147" s="884">
        <v>1</v>
      </c>
      <c r="Q147" s="912">
        <f t="shared" ca="1" si="23"/>
        <v>1.5</v>
      </c>
      <c r="R147" s="884">
        <f t="shared" ca="1" si="24"/>
        <v>0</v>
      </c>
      <c r="S147" s="887">
        <f t="shared" ca="1" si="25"/>
        <v>0.15000000000000013</v>
      </c>
    </row>
    <row r="148" spans="1:27" x14ac:dyDescent="0.25">
      <c r="B148" s="911" t="str">
        <f ca="1">OFFSET($A$4,ROWS($B$95:B148)-ROWS($B$95),0)</f>
        <v>B5.2</v>
      </c>
      <c r="C148" s="887">
        <f ca="1">OFFSET($C$4,ROWS($C$95:C148)-ROWS($C$95),0)</f>
        <v>0.6</v>
      </c>
      <c r="D148" s="887">
        <v>1.45</v>
      </c>
      <c r="E148" s="890">
        <f t="shared" ca="1" si="16"/>
        <v>1.5</v>
      </c>
      <c r="F148" s="890">
        <f t="shared" ca="1" si="17"/>
        <v>2.5</v>
      </c>
      <c r="G148" s="890">
        <f ca="1">OFFSET($D$4,ROWS($G$95:G148)-ROWS($G$95),0)+0.1</f>
        <v>1.6</v>
      </c>
      <c r="H148" s="890">
        <f t="shared" si="15"/>
        <v>1</v>
      </c>
      <c r="I148" s="887">
        <f t="shared" ca="1" si="18"/>
        <v>6</v>
      </c>
      <c r="J148" s="890">
        <f t="shared" ca="1" si="19"/>
        <v>4</v>
      </c>
      <c r="K148" s="887">
        <f t="shared" ca="1" si="20"/>
        <v>0.15000000000000013</v>
      </c>
      <c r="L148" s="901"/>
      <c r="N148" s="884" t="str">
        <f t="shared" ca="1" si="21"/>
        <v>-</v>
      </c>
      <c r="O148" s="884">
        <f t="shared" ca="1" si="22"/>
        <v>0</v>
      </c>
      <c r="P148" s="884">
        <v>1</v>
      </c>
      <c r="Q148" s="912">
        <f t="shared" ca="1" si="23"/>
        <v>1.5</v>
      </c>
      <c r="R148" s="884">
        <f t="shared" ca="1" si="24"/>
        <v>0</v>
      </c>
      <c r="S148" s="887">
        <f t="shared" ca="1" si="25"/>
        <v>0.15000000000000013</v>
      </c>
    </row>
    <row r="149" spans="1:27" x14ac:dyDescent="0.25">
      <c r="B149" s="911" t="str">
        <f ca="1">OFFSET($A$4,ROWS($B$95:B149)-ROWS($B$95),0)</f>
        <v>B5.1</v>
      </c>
      <c r="C149" s="887">
        <f ca="1">OFFSET($C$4,ROWS($C$95:C149)-ROWS($C$95),0)</f>
        <v>0.6</v>
      </c>
      <c r="D149" s="887">
        <v>1.45</v>
      </c>
      <c r="E149" s="890">
        <f t="shared" ca="1" si="16"/>
        <v>1.5</v>
      </c>
      <c r="F149" s="890">
        <f t="shared" ca="1" si="17"/>
        <v>2.5</v>
      </c>
      <c r="G149" s="890">
        <f ca="1">OFFSET($D$4,ROWS($G$95:G149)-ROWS($G$95),0)+0.1</f>
        <v>1.6</v>
      </c>
      <c r="H149" s="890">
        <f t="shared" si="15"/>
        <v>1</v>
      </c>
      <c r="I149" s="887">
        <f t="shared" ca="1" si="18"/>
        <v>6</v>
      </c>
      <c r="J149" s="890">
        <f t="shared" ca="1" si="19"/>
        <v>4</v>
      </c>
      <c r="K149" s="887">
        <f t="shared" ca="1" si="20"/>
        <v>0.15000000000000013</v>
      </c>
      <c r="L149" s="901"/>
      <c r="N149" s="884" t="str">
        <f t="shared" ca="1" si="21"/>
        <v>-</v>
      </c>
      <c r="O149" s="884">
        <f t="shared" ca="1" si="22"/>
        <v>0</v>
      </c>
      <c r="P149" s="884">
        <v>1</v>
      </c>
      <c r="Q149" s="912">
        <f t="shared" ca="1" si="23"/>
        <v>1.5</v>
      </c>
      <c r="R149" s="884">
        <f t="shared" ca="1" si="24"/>
        <v>0</v>
      </c>
      <c r="S149" s="887">
        <f t="shared" ca="1" si="25"/>
        <v>0.15000000000000013</v>
      </c>
    </row>
    <row r="150" spans="1:27" x14ac:dyDescent="0.25">
      <c r="B150" s="911" t="str">
        <f ca="1">OFFSET($A$4,ROWS($B$95:B150)-ROWS($B$95),0)</f>
        <v>B5</v>
      </c>
      <c r="C150" s="887">
        <f ca="1">OFFSET($C$4,ROWS($C$95:C150)-ROWS($C$95),0)</f>
        <v>1</v>
      </c>
      <c r="D150" s="887">
        <v>1.45</v>
      </c>
      <c r="E150" s="890">
        <f t="shared" ca="1" si="16"/>
        <v>2</v>
      </c>
      <c r="F150" s="890">
        <f t="shared" ca="1" si="17"/>
        <v>3</v>
      </c>
      <c r="G150" s="890">
        <f ca="1">OFFSET($D$4,ROWS($G$95:G150)-ROWS($G$95),0)+0.1</f>
        <v>2</v>
      </c>
      <c r="H150" s="890">
        <f t="shared" si="15"/>
        <v>1</v>
      </c>
      <c r="I150" s="887">
        <f t="shared" ca="1" si="18"/>
        <v>12</v>
      </c>
      <c r="J150" s="890">
        <f t="shared" ca="1" si="19"/>
        <v>6</v>
      </c>
      <c r="K150" s="887">
        <f t="shared" ca="1" si="20"/>
        <v>0.55000000000000004</v>
      </c>
      <c r="L150" s="901"/>
      <c r="N150" s="884" t="str">
        <f t="shared" ca="1" si="21"/>
        <v>-</v>
      </c>
      <c r="O150" s="884">
        <f t="shared" ca="1" si="22"/>
        <v>0</v>
      </c>
      <c r="P150" s="884">
        <v>1</v>
      </c>
      <c r="Q150" s="912">
        <f t="shared" ca="1" si="23"/>
        <v>2</v>
      </c>
      <c r="R150" s="884">
        <f t="shared" ca="1" si="24"/>
        <v>0</v>
      </c>
      <c r="S150" s="887">
        <f t="shared" ca="1" si="25"/>
        <v>0.55000000000000004</v>
      </c>
    </row>
    <row r="151" spans="1:27" x14ac:dyDescent="0.25">
      <c r="B151" s="911" t="str">
        <f ca="1">OFFSET($A$4,ROWS($B$95:B151)-ROWS($B$95),0)</f>
        <v>B4</v>
      </c>
      <c r="C151" s="887">
        <f ca="1">OFFSET($C$4,ROWS($C$95:C151)-ROWS($C$95),0)</f>
        <v>1</v>
      </c>
      <c r="D151" s="887">
        <v>1.45</v>
      </c>
      <c r="E151" s="890">
        <f t="shared" ca="1" si="16"/>
        <v>2</v>
      </c>
      <c r="F151" s="890">
        <f t="shared" ca="1" si="17"/>
        <v>3</v>
      </c>
      <c r="G151" s="890">
        <f ca="1">OFFSET($D$4,ROWS($G$95:G151)-ROWS($G$95),0)+0.1</f>
        <v>2</v>
      </c>
      <c r="H151" s="890">
        <f t="shared" si="15"/>
        <v>1</v>
      </c>
      <c r="I151" s="887">
        <f t="shared" ca="1" si="18"/>
        <v>12</v>
      </c>
      <c r="J151" s="890">
        <f t="shared" ca="1" si="19"/>
        <v>6</v>
      </c>
      <c r="K151" s="887">
        <f t="shared" ca="1" si="20"/>
        <v>0.55000000000000004</v>
      </c>
      <c r="L151" s="901"/>
      <c r="N151" s="884" t="str">
        <f t="shared" ca="1" si="21"/>
        <v>-</v>
      </c>
      <c r="O151" s="884">
        <f t="shared" ca="1" si="22"/>
        <v>0</v>
      </c>
      <c r="P151" s="884">
        <v>1</v>
      </c>
      <c r="Q151" s="912">
        <f t="shared" ca="1" si="23"/>
        <v>2</v>
      </c>
      <c r="R151" s="884">
        <f t="shared" ca="1" si="24"/>
        <v>0</v>
      </c>
      <c r="S151" s="887">
        <f t="shared" ca="1" si="25"/>
        <v>0.55000000000000004</v>
      </c>
    </row>
    <row r="152" spans="1:27" x14ac:dyDescent="0.25">
      <c r="B152" s="911" t="str">
        <f ca="1">OFFSET($A$4,ROWS($B$95:B152)-ROWS($B$95),0)</f>
        <v>A18.3.1</v>
      </c>
      <c r="C152" s="887">
        <f ca="1">OFFSET($C$4,ROWS($C$95:C152)-ROWS($C$95),0)</f>
        <v>0.6</v>
      </c>
      <c r="D152" s="887">
        <v>1.45</v>
      </c>
      <c r="E152" s="890">
        <f t="shared" ca="1" si="16"/>
        <v>1.5</v>
      </c>
      <c r="F152" s="890">
        <f t="shared" ca="1" si="17"/>
        <v>2.5</v>
      </c>
      <c r="G152" s="890">
        <f ca="1">OFFSET($D$4,ROWS($G$95:G152)-ROWS($G$95),0)+0.1</f>
        <v>1.6</v>
      </c>
      <c r="H152" s="890">
        <f t="shared" si="15"/>
        <v>1</v>
      </c>
      <c r="I152" s="887">
        <f t="shared" ca="1" si="18"/>
        <v>6</v>
      </c>
      <c r="J152" s="890">
        <f t="shared" ca="1" si="19"/>
        <v>4</v>
      </c>
      <c r="K152" s="887">
        <f t="shared" ca="1" si="20"/>
        <v>0.15000000000000013</v>
      </c>
      <c r="L152" s="901"/>
      <c r="N152" s="884" t="str">
        <f t="shared" ca="1" si="21"/>
        <v>-</v>
      </c>
      <c r="O152" s="884">
        <f t="shared" ca="1" si="22"/>
        <v>0</v>
      </c>
      <c r="P152" s="884">
        <v>1</v>
      </c>
      <c r="Q152" s="912">
        <f t="shared" ca="1" si="23"/>
        <v>1.5</v>
      </c>
      <c r="R152" s="884">
        <f t="shared" ca="1" si="24"/>
        <v>0</v>
      </c>
      <c r="S152" s="887">
        <f t="shared" ca="1" si="25"/>
        <v>0.15000000000000013</v>
      </c>
    </row>
    <row r="153" spans="1:27" s="892" customFormat="1" ht="20.100000000000001" customHeight="1" x14ac:dyDescent="0.25">
      <c r="B153" s="913"/>
      <c r="C153" s="914"/>
      <c r="D153" s="914"/>
      <c r="E153" s="914"/>
      <c r="F153" s="914"/>
      <c r="G153" s="914" t="s">
        <v>473</v>
      </c>
      <c r="H153" s="915">
        <f ca="1">SUM(OFFSET(H95,1,0):OFFSET(H153,-1,0))</f>
        <v>57</v>
      </c>
      <c r="I153" s="899">
        <f ca="1">SUM(OFFSET(I95,1,0):OFFSET(I153,-1,0))</f>
        <v>719.54499999999996</v>
      </c>
      <c r="J153" s="899">
        <f ca="1">SUM(OFFSET(J95,1,0):OFFSET(J153,-1,0))</f>
        <v>346.61</v>
      </c>
      <c r="K153" s="899">
        <f ca="1">SUM(OFFSET(K95,1,0):OFFSET(K153,-1,0))</f>
        <v>29.370000000000005</v>
      </c>
      <c r="L153" s="901"/>
      <c r="N153" s="895"/>
      <c r="O153" s="895"/>
      <c r="P153" s="895"/>
      <c r="Q153" s="895"/>
      <c r="R153" s="884"/>
      <c r="S153" s="895"/>
    </row>
    <row r="154" spans="1:27" s="892" customFormat="1" ht="18.75" customHeight="1" x14ac:dyDescent="0.25">
      <c r="B154" s="916"/>
      <c r="C154" s="917"/>
      <c r="D154" s="917"/>
      <c r="E154" s="917"/>
      <c r="F154" s="918" t="s">
        <v>642</v>
      </c>
      <c r="G154" s="919" t="s">
        <v>640</v>
      </c>
      <c r="H154" s="919" t="s">
        <v>641</v>
      </c>
      <c r="I154" s="897"/>
      <c r="J154" s="897"/>
      <c r="K154" s="897"/>
      <c r="L154" s="901"/>
      <c r="N154" s="895"/>
      <c r="O154" s="895"/>
      <c r="P154" s="895"/>
      <c r="Q154" s="895"/>
      <c r="R154" s="895"/>
      <c r="S154" s="895"/>
    </row>
    <row r="155" spans="1:27" s="892" customFormat="1" ht="20.100000000000001" customHeight="1" x14ac:dyDescent="0.25">
      <c r="B155" s="916"/>
      <c r="C155" s="917"/>
      <c r="D155" s="917"/>
      <c r="E155" s="917"/>
      <c r="F155" s="898" t="s">
        <v>644</v>
      </c>
      <c r="G155" s="899">
        <f ca="1">I153-H155</f>
        <v>719.54499999999996</v>
      </c>
      <c r="H155" s="899">
        <f ca="1">SUM(OFFSET(O95,1,0):OFFSET(O153,-1,0))</f>
        <v>0</v>
      </c>
      <c r="I155" s="897"/>
      <c r="J155" s="897"/>
      <c r="K155" s="897"/>
      <c r="L155" s="901"/>
      <c r="N155" s="895"/>
      <c r="O155" s="895"/>
      <c r="P155" s="895"/>
      <c r="Q155" s="895"/>
      <c r="R155" s="895"/>
      <c r="S155" s="895"/>
    </row>
    <row r="156" spans="1:27" ht="14.4" thickBot="1" x14ac:dyDescent="0.3">
      <c r="L156" s="901"/>
      <c r="N156" s="884"/>
      <c r="O156" s="884"/>
      <c r="P156" s="884"/>
      <c r="Q156" s="884"/>
      <c r="R156" s="895"/>
      <c r="S156" s="884"/>
    </row>
    <row r="157" spans="1:27" x14ac:dyDescent="0.25">
      <c r="A157" s="463"/>
      <c r="B157" s="1387" t="s">
        <v>674</v>
      </c>
      <c r="C157" s="1388"/>
      <c r="D157" s="1388"/>
      <c r="E157" s="1388"/>
      <c r="F157" s="1388"/>
      <c r="G157" s="1388"/>
      <c r="H157" s="1388"/>
      <c r="I157" s="1388"/>
      <c r="J157" s="1388"/>
      <c r="K157" s="1389"/>
      <c r="L157" s="901"/>
      <c r="M157" s="463"/>
      <c r="N157" s="920"/>
      <c r="O157" s="920"/>
      <c r="P157" s="920"/>
      <c r="Q157" s="920"/>
      <c r="R157" s="884"/>
      <c r="S157" s="920"/>
      <c r="T157" s="875"/>
      <c r="U157" s="875"/>
      <c r="V157" s="875"/>
      <c r="W157" s="875"/>
      <c r="X157" s="875"/>
      <c r="Y157" s="875"/>
      <c r="Z157" s="875"/>
      <c r="AA157" s="875"/>
    </row>
    <row r="158" spans="1:27" ht="41.4" x14ac:dyDescent="0.25">
      <c r="B158" s="921" t="s">
        <v>675</v>
      </c>
      <c r="C158" s="902" t="s">
        <v>676</v>
      </c>
      <c r="D158" s="902" t="s">
        <v>677</v>
      </c>
      <c r="E158" s="903" t="s">
        <v>678</v>
      </c>
      <c r="F158" s="904" t="s">
        <v>679</v>
      </c>
      <c r="G158" s="905" t="s">
        <v>680</v>
      </c>
      <c r="H158" s="905" t="s">
        <v>681</v>
      </c>
      <c r="I158" s="905" t="s">
        <v>682</v>
      </c>
      <c r="J158" s="904" t="s">
        <v>683</v>
      </c>
      <c r="K158" s="922" t="s">
        <v>684</v>
      </c>
      <c r="L158" s="901"/>
      <c r="N158" s="884"/>
      <c r="O158" s="884"/>
      <c r="P158" s="884"/>
      <c r="Q158" s="884"/>
      <c r="R158" s="920"/>
      <c r="S158" s="884"/>
    </row>
    <row r="159" spans="1:27" ht="27.6" x14ac:dyDescent="0.25">
      <c r="B159" s="923" t="s">
        <v>685</v>
      </c>
      <c r="C159" s="888">
        <v>308</v>
      </c>
      <c r="D159" s="888">
        <f>0.4+0.6</f>
        <v>1</v>
      </c>
      <c r="E159" s="888" t="s">
        <v>686</v>
      </c>
      <c r="F159" s="888">
        <f>TRUNC(C159*1.5*D159,2)</f>
        <v>462</v>
      </c>
      <c r="G159" s="888">
        <f>TRUNC(F159-(C159*0.245^2*PI())-(0.1*D159*C159),2)</f>
        <v>373.11</v>
      </c>
      <c r="H159" s="888">
        <f>F159-G159</f>
        <v>88.889999999999986</v>
      </c>
      <c r="I159" s="888">
        <f>H159*1.25</f>
        <v>111.11249999999998</v>
      </c>
      <c r="J159" s="888">
        <v>0</v>
      </c>
      <c r="K159" s="924">
        <f t="shared" ref="K159:K165" si="26">TRUNC(C159*D159*0.1,2)</f>
        <v>30.8</v>
      </c>
      <c r="L159" s="909"/>
      <c r="N159" s="884"/>
      <c r="O159" s="884"/>
      <c r="P159" s="884"/>
      <c r="Q159" s="884"/>
      <c r="R159" s="884"/>
      <c r="S159" s="884"/>
    </row>
    <row r="160" spans="1:27" ht="27.6" x14ac:dyDescent="0.25">
      <c r="B160" s="923" t="s">
        <v>687</v>
      </c>
      <c r="C160" s="888">
        <v>203</v>
      </c>
      <c r="D160" s="888">
        <f>0.4+0.6</f>
        <v>1</v>
      </c>
      <c r="E160" s="888" t="s">
        <v>686</v>
      </c>
      <c r="F160" s="888">
        <f>TRUNC(C160*1.5*D160,2)</f>
        <v>304.5</v>
      </c>
      <c r="G160" s="888">
        <f>TRUNC(F160-(C160*0.36^2*PI())-(0.1*D160*C160),2)</f>
        <v>201.54</v>
      </c>
      <c r="H160" s="888">
        <f>F160-G160</f>
        <v>102.96000000000001</v>
      </c>
      <c r="I160" s="888">
        <f>H160*1.25</f>
        <v>128.70000000000002</v>
      </c>
      <c r="J160" s="888">
        <v>0</v>
      </c>
      <c r="K160" s="924">
        <f t="shared" si="26"/>
        <v>20.3</v>
      </c>
      <c r="L160" s="909"/>
      <c r="N160" s="884"/>
      <c r="O160" s="884"/>
      <c r="P160" s="884"/>
      <c r="Q160" s="884"/>
      <c r="R160" s="884"/>
      <c r="S160" s="884"/>
    </row>
    <row r="161" spans="2:27" x14ac:dyDescent="0.25">
      <c r="B161" s="923" t="s">
        <v>688</v>
      </c>
      <c r="C161" s="888">
        <f ca="1">SUMIF((OFFSET($C$4,1,0):OFFSET($C$62,-1,0)),0.6,(OFFSET($F$4,1,0):OFFSET($F$62,-1,0)))</f>
        <v>970.4799999999999</v>
      </c>
      <c r="D161" s="888">
        <f>0.6+0.6</f>
        <v>1.2</v>
      </c>
      <c r="E161" s="888" t="s">
        <v>686</v>
      </c>
      <c r="F161" s="888">
        <f ca="1">SUMIF((OFFSET($C$4,1,0):OFFSET($C$62,-1,0)),0.6,(OFFSET($J$4,1,0):OFFSET($J$62,-1,0)))</f>
        <v>1776.0800000000002</v>
      </c>
      <c r="G161" s="888">
        <f ca="1">SUMIF((OFFSET($C$4,1,0):OFFSET($C$62,-1,0)),0.6,(OFFSET($L$4,1,0):OFFSET($L$62,-1,0)))</f>
        <v>1200.4100000000001</v>
      </c>
      <c r="H161" s="888">
        <f t="shared" ref="H161:H165" ca="1" si="27">F161-G161</f>
        <v>575.67000000000007</v>
      </c>
      <c r="I161" s="888">
        <f t="shared" ref="I161:I165" ca="1" si="28">H161*1.25</f>
        <v>719.58750000000009</v>
      </c>
      <c r="J161" s="888">
        <f ca="1">SUMIF((OFFSET($C$4,1,0):OFFSET($C$62,-1,0)),0.6,(OFFSET($K$4,1,0):OFFSET($K$62,-1,0)))</f>
        <v>2960.26</v>
      </c>
      <c r="K161" s="924">
        <f t="shared" ca="1" si="26"/>
        <v>116.45</v>
      </c>
      <c r="L161" s="901"/>
      <c r="N161" s="884"/>
      <c r="O161" s="884"/>
      <c r="P161" s="884"/>
      <c r="Q161" s="884"/>
      <c r="R161" s="884"/>
      <c r="S161" s="884"/>
    </row>
    <row r="162" spans="2:27" x14ac:dyDescent="0.25">
      <c r="B162" s="923" t="s">
        <v>689</v>
      </c>
      <c r="C162" s="888">
        <f ca="1">SUMIF((OFFSET($C$4,1,0):OFFSET($C$62,-1,0)),0.8,(OFFSET($F$4,1,0):OFFSET($F$62,-1,0)))</f>
        <v>320.91000000000008</v>
      </c>
      <c r="D162" s="888">
        <f>0.8+0.6</f>
        <v>1.4</v>
      </c>
      <c r="E162" s="888" t="s">
        <v>686</v>
      </c>
      <c r="F162" s="888">
        <f ca="1">SUMIF((OFFSET($C$4,1,0):OFFSET($C$62,-1,0)),0.8,(OFFSET($J$4,1,0):OFFSET($J$62,-1,0)))</f>
        <v>763.73</v>
      </c>
      <c r="G162" s="888">
        <f ca="1">SUMIF((OFFSET($C$4,1,0):OFFSET($C$62,-1,0)),0.8,(OFFSET($L$4,1,0):OFFSET($L$62,-1,0)))</f>
        <v>486.49</v>
      </c>
      <c r="H162" s="888">
        <f t="shared" ca="1" si="27"/>
        <v>277.24</v>
      </c>
      <c r="I162" s="888">
        <f t="shared" ca="1" si="28"/>
        <v>346.55</v>
      </c>
      <c r="J162" s="888">
        <f ca="1">SUMIF((OFFSET($C$4,1,0):OFFSET($C$62,-1,0)),0.8,(OFFSET($K$4,1,0):OFFSET($K$62,-1,0)))</f>
        <v>1091.06</v>
      </c>
      <c r="K162" s="924">
        <f t="shared" ca="1" si="26"/>
        <v>44.92</v>
      </c>
      <c r="L162" s="901"/>
      <c r="N162" s="884"/>
      <c r="O162" s="884"/>
      <c r="P162" s="884"/>
      <c r="Q162" s="884"/>
      <c r="R162" s="884"/>
      <c r="S162" s="884"/>
    </row>
    <row r="163" spans="2:27" x14ac:dyDescent="0.25">
      <c r="B163" s="923" t="s">
        <v>690</v>
      </c>
      <c r="C163" s="888">
        <f ca="1">SUMIF((OFFSET($C$4,1,0):OFFSET($C$62,-1,0)),1,(OFFSET($F$4,1,0):OFFSET($F$62,-1,0)))</f>
        <v>866.81999999999994</v>
      </c>
      <c r="D163" s="888">
        <f>1+0.6</f>
        <v>1.6</v>
      </c>
      <c r="E163" s="888" t="s">
        <v>686</v>
      </c>
      <c r="F163" s="888">
        <f ca="1">SUMIF((OFFSET($C$4,1,0):OFFSET($C$62,-1,0)),1,(OFFSET($J$4,1,0):OFFSET($J$62,-1,0)))</f>
        <v>2484.04</v>
      </c>
      <c r="G163" s="888">
        <f ca="1">SUMIF((OFFSET($C$4,1,0):OFFSET($C$62,-1,0)),1,(OFFSET($L$4,1,0):OFFSET($L$62,-1,0)))</f>
        <v>1364.95</v>
      </c>
      <c r="H163" s="888">
        <f t="shared" ca="1" si="27"/>
        <v>1119.0899999999999</v>
      </c>
      <c r="I163" s="888">
        <f t="shared" ca="1" si="28"/>
        <v>1398.8625</v>
      </c>
      <c r="J163" s="888">
        <f ca="1">SUMIF((OFFSET($C$4,1,0):OFFSET($C$62,-1,0)),1,(OFFSET($K$4,1,0):OFFSET($K$62,-1,0)))</f>
        <v>3105.04</v>
      </c>
      <c r="K163" s="924">
        <f t="shared" ca="1" si="26"/>
        <v>138.69</v>
      </c>
      <c r="L163" s="901"/>
      <c r="N163" s="884"/>
      <c r="O163" s="884"/>
      <c r="P163" s="884"/>
      <c r="Q163" s="884"/>
      <c r="R163" s="884"/>
      <c r="S163" s="884"/>
    </row>
    <row r="164" spans="2:27" x14ac:dyDescent="0.25">
      <c r="B164" s="923" t="s">
        <v>691</v>
      </c>
      <c r="C164" s="888">
        <f ca="1">SUMIF((OFFSET($C$4,1,0):OFFSET($C$62,-1,0)),1.2,(OFFSET($F$4,1,0):OFFSET($F$62,-1,0)))</f>
        <v>187.11</v>
      </c>
      <c r="D164" s="888">
        <f>1.2+0.6</f>
        <v>1.7999999999999998</v>
      </c>
      <c r="E164" s="888" t="s">
        <v>686</v>
      </c>
      <c r="F164" s="888">
        <f ca="1">SUMIF((OFFSET($C$4,1,0):OFFSET($C$62,-1,0)),1.2,(OFFSET($J$4,1,0):OFFSET($J$62,-1,0)))</f>
        <v>818.61000000000013</v>
      </c>
      <c r="G164" s="888">
        <f ca="1">SUMIF((OFFSET($C$4,1,0):OFFSET($C$62,-1,0)),1.2,(OFFSET($L$4,1,0):OFFSET($L$62,-1,0)))</f>
        <v>480.19</v>
      </c>
      <c r="H164" s="888">
        <f t="shared" ca="1" si="27"/>
        <v>338.42000000000013</v>
      </c>
      <c r="I164" s="888">
        <f t="shared" ca="1" si="28"/>
        <v>423.02500000000015</v>
      </c>
      <c r="J164" s="888">
        <f ca="1">SUMIF((OFFSET($C$4,1,0):OFFSET($C$62,-1,0)),1.2,(OFFSET($K$4,1,0):OFFSET($K$62,-1,0)))</f>
        <v>909.57999999999993</v>
      </c>
      <c r="K164" s="924">
        <f t="shared" ca="1" si="26"/>
        <v>33.67</v>
      </c>
      <c r="L164" s="901"/>
      <c r="N164" s="884"/>
      <c r="O164" s="884"/>
      <c r="P164" s="884"/>
      <c r="Q164" s="884"/>
      <c r="R164" s="884"/>
      <c r="S164" s="884"/>
    </row>
    <row r="165" spans="2:27" x14ac:dyDescent="0.25">
      <c r="B165" s="923" t="s">
        <v>692</v>
      </c>
      <c r="C165" s="888">
        <f ca="1">SUMIF((OFFSET($C$4,1,0):OFFSET($C$62,-1,0)),1.5,(OFFSET($F$4,1,0):OFFSET($F$62,-1,0)))</f>
        <v>921.76999999999987</v>
      </c>
      <c r="D165" s="888">
        <f>1.5+0.6</f>
        <v>2.1</v>
      </c>
      <c r="E165" s="888" t="s">
        <v>686</v>
      </c>
      <c r="F165" s="888">
        <f ca="1">SUMIF((OFFSET($C$4,1,0):OFFSET($C$62,-1,0)),1.5,(OFFSET($J$4,1,0):OFFSET($J$62,-1,0)))</f>
        <v>3565.8199999999997</v>
      </c>
      <c r="G165" s="888">
        <f ca="1">SUMIF((OFFSET($C$4,1,0):OFFSET($C$62,-1,0)),1.5,(OFFSET($L$4,1,0):OFFSET($L$62,-1,0)))</f>
        <v>1026.5500000000002</v>
      </c>
      <c r="H165" s="888">
        <f t="shared" ca="1" si="27"/>
        <v>2539.2699999999995</v>
      </c>
      <c r="I165" s="888">
        <f t="shared" ca="1" si="28"/>
        <v>3174.0874999999996</v>
      </c>
      <c r="J165" s="888">
        <f ca="1">SUMIF((OFFSET($C$4,1,0):OFFSET($C$62,-1,0)),1.5,(OFFSET($K$4,1,0):OFFSET($K$62,-1,0)))</f>
        <v>3396.06</v>
      </c>
      <c r="K165" s="924">
        <f t="shared" ca="1" si="26"/>
        <v>193.57</v>
      </c>
      <c r="L165" s="901"/>
      <c r="N165" s="884"/>
      <c r="O165" s="884"/>
      <c r="P165" s="884"/>
      <c r="Q165" s="884"/>
      <c r="R165" s="884"/>
      <c r="S165" s="884"/>
    </row>
    <row r="166" spans="2:27" ht="14.4" thickBot="1" x14ac:dyDescent="0.3">
      <c r="B166" s="1390" t="s">
        <v>473</v>
      </c>
      <c r="C166" s="1391"/>
      <c r="D166" s="1391"/>
      <c r="E166" s="1391"/>
      <c r="F166" s="925">
        <f t="shared" ref="F166:K166" ca="1" si="29">SUM(F159:F165)</f>
        <v>10174.780000000001</v>
      </c>
      <c r="G166" s="925">
        <f t="shared" ca="1" si="29"/>
        <v>5133.24</v>
      </c>
      <c r="H166" s="926">
        <f t="shared" ca="1" si="29"/>
        <v>5041.54</v>
      </c>
      <c r="I166" s="926">
        <f t="shared" ca="1" si="29"/>
        <v>6301.9249999999993</v>
      </c>
      <c r="J166" s="926">
        <f t="shared" ca="1" si="29"/>
        <v>11462</v>
      </c>
      <c r="K166" s="927">
        <f t="shared" ca="1" si="29"/>
        <v>578.40000000000009</v>
      </c>
      <c r="L166" s="901"/>
      <c r="N166" s="884"/>
      <c r="O166" s="884"/>
      <c r="P166" s="884"/>
      <c r="Q166" s="884"/>
      <c r="R166" s="884"/>
      <c r="S166" s="884"/>
    </row>
    <row r="167" spans="2:27" ht="16.5" customHeight="1" x14ac:dyDescent="0.25">
      <c r="L167" s="901"/>
      <c r="N167" s="884"/>
      <c r="O167" s="884"/>
      <c r="P167" s="884"/>
      <c r="Q167" s="884"/>
      <c r="R167" s="884"/>
      <c r="S167" s="884"/>
    </row>
    <row r="168" spans="2:27" ht="20.100000000000001" customHeight="1" thickBot="1" x14ac:dyDescent="0.3">
      <c r="B168" s="1392" t="s">
        <v>693</v>
      </c>
      <c r="C168" s="1393"/>
      <c r="D168" s="1393"/>
      <c r="E168" s="1393"/>
      <c r="F168" s="1392" t="s">
        <v>694</v>
      </c>
      <c r="G168" s="1393"/>
      <c r="H168" s="1394"/>
      <c r="I168" s="1395" t="s">
        <v>695</v>
      </c>
      <c r="J168" s="1395"/>
      <c r="K168" s="1396"/>
      <c r="L168" s="901"/>
      <c r="N168" s="884"/>
      <c r="O168" s="884"/>
      <c r="P168" s="884"/>
      <c r="Q168" s="884"/>
      <c r="R168" s="884"/>
      <c r="S168" s="920"/>
      <c r="T168" s="875"/>
      <c r="U168" s="875"/>
      <c r="V168" s="875"/>
      <c r="W168" s="875"/>
      <c r="X168" s="875"/>
      <c r="Y168" s="875"/>
      <c r="Z168" s="875"/>
      <c r="AA168" s="875"/>
    </row>
    <row r="169" spans="2:27" ht="31.5" customHeight="1" x14ac:dyDescent="0.25">
      <c r="B169" s="928" t="s">
        <v>696</v>
      </c>
      <c r="C169" s="928" t="s">
        <v>697</v>
      </c>
      <c r="D169" s="1378" t="s">
        <v>698</v>
      </c>
      <c r="E169" s="1379"/>
      <c r="F169" s="928" t="s">
        <v>696</v>
      </c>
      <c r="G169" s="929" t="s">
        <v>697</v>
      </c>
      <c r="H169" s="929" t="s">
        <v>698</v>
      </c>
      <c r="I169" s="1380" t="s">
        <v>699</v>
      </c>
      <c r="J169" s="1380"/>
      <c r="K169" s="1381"/>
      <c r="L169" s="930"/>
      <c r="N169" s="884"/>
      <c r="O169" s="884"/>
      <c r="P169" s="884"/>
      <c r="Q169" s="884"/>
      <c r="R169" s="884"/>
      <c r="S169" s="884"/>
      <c r="T169" s="931"/>
    </row>
    <row r="170" spans="2:27" ht="15" x14ac:dyDescent="0.25">
      <c r="B170" s="932">
        <f ca="1">SUMIF((OFFSET($C$95,1,0):OFFSET($C$153,-1,0)),0.6,(OFFSET($H$95,1,0):OFFSET($H$153,-1,0)))+SUMIF((OFFSET($C$95,1,0):OFFSET($C$153,-1,0)),0.8,(OFFSET($H$95,1,0):OFFSET($H$153,-1,0)))</f>
        <v>24</v>
      </c>
      <c r="C170" s="932">
        <f ca="1">SUMIF((OFFSET($C$95,1,0):OFFSET($C$153,-1,0)),1,(OFFSET($H$95,1,0):OFFSET($H$153,-1,0)))+SUMIF((OFFSET($C$95,1,0):OFFSET($C$153,-1,0)),1.2,(OFFSET($H$95,1,0):OFFSET($H$153,-1,0)))</f>
        <v>15</v>
      </c>
      <c r="D170" s="1382">
        <f ca="1">SUMIF((OFFSET($C$95,1,0):OFFSET($C$153,-1,0)),1.5,(OFFSET($H$95,1,0):OFFSET($H$153,-1,0)))</f>
        <v>18</v>
      </c>
      <c r="E170" s="1383"/>
      <c r="F170" s="932">
        <f ca="1">SUMIF(OFFSET($F$95,1,0):OFFSET($F$153,-1,0),2.5,OFFSET($K$95,1,0):OFFSET($K$153,-1,0))</f>
        <v>4.9000000000000057</v>
      </c>
      <c r="G170" s="932">
        <f ca="1">SUMIF(OFFSET($F$95,1,0):OFFSET($F$153,-1,0),3,OFFSET($K$95,1,0):OFFSET($K$153,-1,0))</f>
        <v>9.5700000000000021</v>
      </c>
      <c r="H170" s="932">
        <f ca="1">SUMIF(OFFSET($F$95,1,0):OFFSET($F$153,-1,0),3.5,OFFSET($K$95,1,0):OFFSET($K$153,-1,0))</f>
        <v>14.900000000000004</v>
      </c>
      <c r="I170" s="1384">
        <f ca="1">SUM(R95:OFFSET(R153,-1,0))</f>
        <v>2.9</v>
      </c>
      <c r="J170" s="1384"/>
      <c r="K170" s="1385"/>
      <c r="L170" s="933"/>
      <c r="N170" s="884"/>
      <c r="O170" s="884"/>
      <c r="P170" s="884"/>
      <c r="Q170" s="884"/>
      <c r="R170" s="884"/>
      <c r="S170" s="884"/>
      <c r="T170" s="931"/>
    </row>
    <row r="171" spans="2:27" ht="20.100000000000001" customHeight="1" x14ac:dyDescent="0.25">
      <c r="M171" s="463"/>
      <c r="N171" s="920"/>
      <c r="O171" s="920"/>
      <c r="P171" s="920"/>
      <c r="Q171" s="920"/>
      <c r="R171" s="884"/>
      <c r="S171" s="920"/>
      <c r="T171" s="875"/>
      <c r="U171" s="875"/>
      <c r="V171" s="875"/>
      <c r="W171" s="875"/>
      <c r="X171" s="875"/>
      <c r="Y171" s="875"/>
      <c r="Z171" s="875"/>
      <c r="AA171" s="875"/>
    </row>
    <row r="179" spans="3:7" x14ac:dyDescent="0.25">
      <c r="C179" s="875"/>
      <c r="D179" s="875"/>
      <c r="E179" s="875"/>
      <c r="F179" s="875"/>
      <c r="G179" s="875"/>
    </row>
  </sheetData>
  <mergeCells count="22">
    <mergeCell ref="B92:I92"/>
    <mergeCell ref="A2:L2"/>
    <mergeCell ref="A3:L3"/>
    <mergeCell ref="N3:S3"/>
    <mergeCell ref="A62:G62"/>
    <mergeCell ref="A63:B63"/>
    <mergeCell ref="A64:B64"/>
    <mergeCell ref="B75:K75"/>
    <mergeCell ref="B78:H78"/>
    <mergeCell ref="B80:K80"/>
    <mergeCell ref="B83:H83"/>
    <mergeCell ref="B85:K85"/>
    <mergeCell ref="D169:E169"/>
    <mergeCell ref="I169:K169"/>
    <mergeCell ref="D170:E170"/>
    <mergeCell ref="I170:K170"/>
    <mergeCell ref="B94:K94"/>
    <mergeCell ref="B157:K157"/>
    <mergeCell ref="B166:E166"/>
    <mergeCell ref="B168:E168"/>
    <mergeCell ref="F168:H168"/>
    <mergeCell ref="I168:K168"/>
  </mergeCells>
  <printOptions horizontalCentered="1"/>
  <pageMargins left="0.59055118110236227" right="0.59055118110236227" top="1.7716535433070868" bottom="0.78740157480314965" header="0" footer="0"/>
  <pageSetup paperSize="9" scale="67" firstPageNumber="25" fitToHeight="0" orientation="landscape" r:id="rId1"/>
  <headerFooter scaleWithDoc="0">
    <oddHeader>&amp;L&amp;G</oddHeader>
  </headerFooter>
  <rowBreaks count="6" manualBreakCount="6">
    <brk id="40" max="11" man="1"/>
    <brk id="74" max="11" man="1"/>
    <brk id="93" max="11" man="1"/>
    <brk id="127" max="11" man="1"/>
    <brk id="155" max="11" man="1"/>
    <brk id="170" max="11" man="1"/>
  </rowBreaks>
  <drawing r:id="rId2"/>
  <legacyDrawingHF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4">
    <tabColor rgb="FF00B0F0"/>
    <pageSetUpPr fitToPage="1"/>
  </sheetPr>
  <dimension ref="A1:AE60"/>
  <sheetViews>
    <sheetView showGridLines="0" view="pageBreakPreview" zoomScaleNormal="115" zoomScaleSheetLayoutView="100" workbookViewId="0">
      <selection activeCell="K22" sqref="K22:L22"/>
    </sheetView>
  </sheetViews>
  <sheetFormatPr defaultColWidth="9.109375" defaultRowHeight="13.8" x14ac:dyDescent="0.25"/>
  <cols>
    <col min="1" max="1" width="8" style="411" customWidth="1"/>
    <col min="2" max="2" width="13" style="411" customWidth="1"/>
    <col min="3" max="3" width="10.44140625" style="411" bestFit="1" customWidth="1"/>
    <col min="4" max="4" width="9.44140625" style="411" customWidth="1"/>
    <col min="5" max="5" width="11.44140625" style="411" customWidth="1"/>
    <col min="6" max="6" width="7.88671875" style="411" bestFit="1" customWidth="1"/>
    <col min="7" max="7" width="9" style="411" customWidth="1"/>
    <col min="8" max="8" width="9.33203125" style="411" bestFit="1" customWidth="1"/>
    <col min="9" max="9" width="12.6640625" style="411" customWidth="1"/>
    <col min="10" max="10" width="11.5546875" style="411" customWidth="1"/>
    <col min="11" max="11" width="11.6640625" style="411" customWidth="1"/>
    <col min="12" max="12" width="11.33203125" style="411" customWidth="1"/>
    <col min="13" max="13" width="12.5546875" style="411" customWidth="1"/>
    <col min="14" max="14" width="12.33203125" style="411" customWidth="1"/>
    <col min="15" max="15" width="10.5546875" style="411" customWidth="1"/>
    <col min="16" max="16" width="11.33203125" style="411" customWidth="1"/>
    <col min="17" max="17" width="12.33203125" style="411" customWidth="1"/>
    <col min="18" max="18" width="10.109375" style="411" customWidth="1"/>
    <col min="19" max="19" width="8.33203125" style="411" customWidth="1"/>
    <col min="20" max="24" width="9.109375" style="411"/>
    <col min="25" max="25" width="13.6640625" style="411" customWidth="1"/>
    <col min="26" max="26" width="13.33203125" style="411" customWidth="1"/>
    <col min="27" max="16384" width="9.109375" style="411"/>
  </cols>
  <sheetData>
    <row r="1" spans="1:31" ht="24.9" customHeight="1" x14ac:dyDescent="0.25">
      <c r="A1" s="1412" t="s">
        <v>617</v>
      </c>
      <c r="B1" s="1412"/>
      <c r="C1" s="1412"/>
      <c r="D1" s="1412"/>
      <c r="E1" s="1412"/>
      <c r="F1" s="1412"/>
      <c r="G1" s="1412"/>
      <c r="H1" s="1412"/>
      <c r="I1" s="1412"/>
      <c r="J1" s="1412"/>
      <c r="K1" s="1412"/>
      <c r="L1" s="1412"/>
      <c r="M1" s="1412"/>
      <c r="N1" s="1412"/>
      <c r="O1" s="1412"/>
      <c r="P1" s="1412"/>
      <c r="Q1" s="1412"/>
      <c r="R1" s="1412"/>
      <c r="S1" s="934"/>
      <c r="T1" s="935"/>
      <c r="U1" s="935"/>
      <c r="V1" s="935"/>
      <c r="W1" s="935"/>
      <c r="X1" s="935"/>
      <c r="Y1" s="935"/>
      <c r="Z1" s="935"/>
      <c r="AA1" s="935"/>
      <c r="AB1" s="935"/>
      <c r="AC1" s="935"/>
      <c r="AD1" s="935"/>
      <c r="AE1" s="935"/>
    </row>
    <row r="2" spans="1:31" ht="24.9" customHeight="1" thickBot="1" x14ac:dyDescent="0.3">
      <c r="A2" s="1413" t="s">
        <v>700</v>
      </c>
      <c r="B2" s="1413"/>
      <c r="C2" s="1413"/>
      <c r="D2" s="1413"/>
      <c r="E2" s="1413"/>
      <c r="F2" s="1413"/>
      <c r="G2" s="1413"/>
      <c r="H2" s="1413"/>
      <c r="I2" s="1413"/>
      <c r="J2" s="1413"/>
      <c r="K2" s="1413"/>
      <c r="L2" s="1413"/>
      <c r="M2" s="1413"/>
      <c r="N2" s="1413"/>
      <c r="O2" s="1413"/>
      <c r="P2" s="1413"/>
      <c r="Q2" s="1413"/>
      <c r="R2" s="1413"/>
      <c r="S2" s="934"/>
      <c r="T2" s="935"/>
      <c r="U2" s="935"/>
      <c r="V2" s="935"/>
      <c r="W2" s="935"/>
      <c r="X2" s="935"/>
      <c r="Y2" s="935"/>
      <c r="Z2" s="935"/>
      <c r="AA2" s="935"/>
      <c r="AB2" s="935"/>
      <c r="AC2" s="935"/>
      <c r="AD2" s="935"/>
      <c r="AE2" s="935"/>
    </row>
    <row r="3" spans="1:31" ht="47.25" customHeight="1" x14ac:dyDescent="0.25">
      <c r="A3" s="936" t="s">
        <v>701</v>
      </c>
      <c r="B3" s="877" t="s">
        <v>620</v>
      </c>
      <c r="C3" s="877" t="s">
        <v>625</v>
      </c>
      <c r="D3" s="877" t="s">
        <v>702</v>
      </c>
      <c r="E3" s="877" t="s">
        <v>622</v>
      </c>
      <c r="F3" s="877" t="s">
        <v>703</v>
      </c>
      <c r="G3" s="877" t="s">
        <v>704</v>
      </c>
      <c r="H3" s="877" t="s">
        <v>705</v>
      </c>
      <c r="I3" s="877" t="s">
        <v>706</v>
      </c>
      <c r="J3" s="877" t="s">
        <v>707</v>
      </c>
      <c r="K3" s="877" t="s">
        <v>708</v>
      </c>
      <c r="L3" s="877" t="s">
        <v>709</v>
      </c>
      <c r="M3" s="877" t="s">
        <v>710</v>
      </c>
      <c r="N3" s="877" t="s">
        <v>711</v>
      </c>
      <c r="O3" s="877" t="s">
        <v>712</v>
      </c>
      <c r="P3" s="877" t="s">
        <v>713</v>
      </c>
      <c r="Q3" s="877" t="s">
        <v>714</v>
      </c>
      <c r="R3" s="937" t="s">
        <v>715</v>
      </c>
      <c r="S3" s="938"/>
      <c r="U3" s="411" t="s">
        <v>716</v>
      </c>
    </row>
    <row r="4" spans="1:31" x14ac:dyDescent="0.25">
      <c r="A4" s="1414" t="s">
        <v>717</v>
      </c>
      <c r="B4" s="886" t="s">
        <v>718</v>
      </c>
      <c r="C4" s="939">
        <v>49.54</v>
      </c>
      <c r="D4" s="940">
        <v>0.23200000000000001</v>
      </c>
      <c r="E4" s="939">
        <v>0.6</v>
      </c>
      <c r="F4" s="941">
        <v>1.6400000000000001E-2</v>
      </c>
      <c r="G4" s="940">
        <v>0.373</v>
      </c>
      <c r="H4" s="939">
        <v>2.42</v>
      </c>
      <c r="I4" s="940">
        <v>0.78500000000000003</v>
      </c>
      <c r="J4" s="939">
        <v>2.78</v>
      </c>
      <c r="K4" s="939">
        <v>401.78</v>
      </c>
      <c r="L4" s="939">
        <v>400.97</v>
      </c>
      <c r="M4" s="939">
        <v>400.28</v>
      </c>
      <c r="N4" s="939">
        <v>399.47</v>
      </c>
      <c r="O4" s="939">
        <v>1.5</v>
      </c>
      <c r="P4" s="939">
        <v>1.5</v>
      </c>
      <c r="Q4" s="886">
        <v>1.2999999999999999E-2</v>
      </c>
      <c r="R4" s="942">
        <f>IF('DREN. MEM. CAL.'!B5="simples",E4+0.6,IF('DREN. MEM. CAL.'!B5="duplo",E4*2+0.6,IF('DREN. MEM. CAL.'!B5="triplo",E4*3+0.6,"")))</f>
        <v>1.2</v>
      </c>
      <c r="S4" s="645"/>
      <c r="U4" s="411" t="s">
        <v>638</v>
      </c>
    </row>
    <row r="5" spans="1:31" x14ac:dyDescent="0.25">
      <c r="A5" s="1415"/>
      <c r="B5" s="886" t="s">
        <v>719</v>
      </c>
      <c r="C5" s="939">
        <v>22.34</v>
      </c>
      <c r="D5" s="940">
        <v>0.26400000000000001</v>
      </c>
      <c r="E5" s="939">
        <v>0.6</v>
      </c>
      <c r="F5" s="941">
        <v>4.8999999999999998E-3</v>
      </c>
      <c r="G5" s="940">
        <v>0.56599999999999995</v>
      </c>
      <c r="H5" s="939">
        <v>1.6</v>
      </c>
      <c r="I5" s="940">
        <v>0.43099999999999999</v>
      </c>
      <c r="J5" s="939">
        <v>1.52</v>
      </c>
      <c r="K5" s="939">
        <v>400.97</v>
      </c>
      <c r="L5" s="939">
        <v>400.96</v>
      </c>
      <c r="M5" s="939">
        <v>399.47</v>
      </c>
      <c r="N5" s="939">
        <v>399.36</v>
      </c>
      <c r="O5" s="939">
        <v>1.5</v>
      </c>
      <c r="P5" s="939">
        <v>1.6</v>
      </c>
      <c r="Q5" s="886">
        <v>1.2999999999999999E-2</v>
      </c>
      <c r="R5" s="942">
        <f>IF('DREN. MEM. CAL.'!B6="simples",E5+0.6,IF('DREN. MEM. CAL.'!B6="duplo",E5*2+0.6,IF('DREN. MEM. CAL.'!B6="triplo",E5*3+0.6,"")))</f>
        <v>1.2</v>
      </c>
      <c r="S5" s="645"/>
      <c r="U5" s="411" t="s">
        <v>720</v>
      </c>
    </row>
    <row r="6" spans="1:31" x14ac:dyDescent="0.25">
      <c r="A6" s="1415"/>
      <c r="B6" s="886" t="s">
        <v>721</v>
      </c>
      <c r="C6" s="939">
        <v>66.16</v>
      </c>
      <c r="D6" s="940">
        <v>0.26400000000000001</v>
      </c>
      <c r="E6" s="939">
        <v>0.6</v>
      </c>
      <c r="F6" s="941">
        <v>3.5000000000000001E-3</v>
      </c>
      <c r="G6" s="940">
        <v>0.63400000000000001</v>
      </c>
      <c r="H6" s="939">
        <v>1.4</v>
      </c>
      <c r="I6" s="940">
        <v>0.36199999999999999</v>
      </c>
      <c r="J6" s="939">
        <v>1.28</v>
      </c>
      <c r="K6" s="939">
        <v>400.96</v>
      </c>
      <c r="L6" s="939">
        <v>400.93</v>
      </c>
      <c r="M6" s="939">
        <v>399.36</v>
      </c>
      <c r="N6" s="939">
        <v>399.13</v>
      </c>
      <c r="O6" s="939">
        <v>1.6</v>
      </c>
      <c r="P6" s="939">
        <v>1.8</v>
      </c>
      <c r="Q6" s="886">
        <v>1.2999999999999999E-2</v>
      </c>
      <c r="R6" s="942">
        <f>IF('DREN. MEM. CAL.'!B7="simples",E6+0.6,IF('DREN. MEM. CAL.'!B7="duplo",E6*2+0.6,IF('DREN. MEM. CAL.'!B7="triplo",E6*3+0.6,"")))</f>
        <v>1.2</v>
      </c>
      <c r="U6" s="411" t="s">
        <v>722</v>
      </c>
    </row>
    <row r="7" spans="1:31" x14ac:dyDescent="0.25">
      <c r="A7" s="1415"/>
      <c r="B7" s="886" t="s">
        <v>723</v>
      </c>
      <c r="C7" s="939">
        <v>27.4</v>
      </c>
      <c r="D7" s="940">
        <v>4.4640000000000004</v>
      </c>
      <c r="E7" s="939">
        <v>1.5</v>
      </c>
      <c r="F7" s="941">
        <v>1.2E-2</v>
      </c>
      <c r="G7" s="940">
        <v>0.54400000000000004</v>
      </c>
      <c r="H7" s="939">
        <v>4.54</v>
      </c>
      <c r="I7" s="940">
        <v>7.758</v>
      </c>
      <c r="J7" s="939">
        <v>4.3899999999999997</v>
      </c>
      <c r="K7" s="939">
        <v>400.93</v>
      </c>
      <c r="L7" s="939">
        <v>400.1</v>
      </c>
      <c r="M7" s="939">
        <v>398.03</v>
      </c>
      <c r="N7" s="939">
        <v>397.7</v>
      </c>
      <c r="O7" s="939">
        <v>2.9</v>
      </c>
      <c r="P7" s="939">
        <v>2.4</v>
      </c>
      <c r="Q7" s="886">
        <v>1.2999999999999999E-2</v>
      </c>
      <c r="R7" s="942">
        <f>IF('DREN. MEM. CAL.'!B8="simples",E7+0.6,IF('DREN. MEM. CAL.'!B8="duplo",E7*2+0.6,IF('DREN. MEM. CAL.'!B8="triplo",E7*3+0.6,"")))</f>
        <v>2.1</v>
      </c>
      <c r="S7" s="645"/>
    </row>
    <row r="8" spans="1:31" x14ac:dyDescent="0.25">
      <c r="A8" s="1415"/>
      <c r="B8" s="886" t="s">
        <v>724</v>
      </c>
      <c r="C8" s="939">
        <v>100.62</v>
      </c>
      <c r="D8" s="940">
        <v>4.6219999999999999</v>
      </c>
      <c r="E8" s="939">
        <v>1.5</v>
      </c>
      <c r="F8" s="941">
        <v>1.29E-2</v>
      </c>
      <c r="G8" s="940">
        <v>0.54400000000000004</v>
      </c>
      <c r="H8" s="939">
        <v>4.71</v>
      </c>
      <c r="I8" s="940">
        <v>8.0350000000000001</v>
      </c>
      <c r="J8" s="939">
        <v>4.55</v>
      </c>
      <c r="K8" s="939">
        <v>400.1</v>
      </c>
      <c r="L8" s="939">
        <v>398</v>
      </c>
      <c r="M8" s="939">
        <v>397.7</v>
      </c>
      <c r="N8" s="939">
        <v>396.4</v>
      </c>
      <c r="O8" s="939">
        <v>2.4</v>
      </c>
      <c r="P8" s="939">
        <v>1.6</v>
      </c>
      <c r="Q8" s="886">
        <v>1.2999999999999999E-2</v>
      </c>
      <c r="R8" s="942">
        <f>IF('DREN. MEM. CAL.'!B9="simples",E8+0.6,IF('DREN. MEM. CAL.'!B9="duplo",E8*2+0.6,IF('DREN. MEM. CAL.'!B9="triplo",E8*3+0.6,"")))</f>
        <v>2.1</v>
      </c>
      <c r="S8" s="645"/>
    </row>
    <row r="9" spans="1:31" x14ac:dyDescent="0.25">
      <c r="A9" s="1415"/>
      <c r="B9" s="943" t="s">
        <v>725</v>
      </c>
      <c r="C9" s="944">
        <v>99.67</v>
      </c>
      <c r="D9" s="945">
        <v>4.6219999999999999</v>
      </c>
      <c r="E9" s="944">
        <v>1.5</v>
      </c>
      <c r="F9" s="946">
        <v>1.2999999999999999E-2</v>
      </c>
      <c r="G9" s="945">
        <v>0.54200000000000004</v>
      </c>
      <c r="H9" s="944">
        <v>4.72</v>
      </c>
      <c r="I9" s="945">
        <v>8.0730000000000004</v>
      </c>
      <c r="J9" s="944">
        <v>4.57</v>
      </c>
      <c r="K9" s="944">
        <v>398</v>
      </c>
      <c r="L9" s="944">
        <v>396</v>
      </c>
      <c r="M9" s="944">
        <v>395.8</v>
      </c>
      <c r="N9" s="944">
        <v>394.5</v>
      </c>
      <c r="O9" s="944">
        <v>2.2000000000000002</v>
      </c>
      <c r="P9" s="944">
        <v>1.5</v>
      </c>
      <c r="Q9" s="943">
        <v>1.2999999999999999E-2</v>
      </c>
      <c r="R9" s="942">
        <f>IF('DREN. MEM. CAL.'!B10="simples",E9+0.6,IF('DREN. MEM. CAL.'!B10="duplo",E9*2+0.6,IF('DREN. MEM. CAL.'!B10="triplo",E9*3+0.6,"")))</f>
        <v>2.1</v>
      </c>
      <c r="S9" s="645"/>
    </row>
    <row r="10" spans="1:31" x14ac:dyDescent="0.25">
      <c r="A10" s="1415"/>
      <c r="B10" s="886" t="s">
        <v>726</v>
      </c>
      <c r="C10" s="939">
        <v>50.29</v>
      </c>
      <c r="D10" s="940">
        <v>4.6219999999999999</v>
      </c>
      <c r="E10" s="939">
        <v>1.5</v>
      </c>
      <c r="F10" s="941">
        <v>1.3899999999999999E-2</v>
      </c>
      <c r="G10" s="940">
        <v>0.53200000000000003</v>
      </c>
      <c r="H10" s="939">
        <v>4.84</v>
      </c>
      <c r="I10" s="940">
        <v>8.34</v>
      </c>
      <c r="J10" s="939">
        <v>4.72</v>
      </c>
      <c r="K10" s="939">
        <v>396</v>
      </c>
      <c r="L10" s="939">
        <v>394</v>
      </c>
      <c r="M10" s="939">
        <v>393.2</v>
      </c>
      <c r="N10" s="939">
        <v>392.5</v>
      </c>
      <c r="O10" s="939">
        <v>2.8</v>
      </c>
      <c r="P10" s="939">
        <v>1.5</v>
      </c>
      <c r="Q10" s="886">
        <v>1.2999999999999999E-2</v>
      </c>
      <c r="R10" s="942">
        <f>IF('DREN. MEM. CAL.'!B11="simples",E10+0.6,IF('DREN. MEM. CAL.'!B11="duplo",E10*2+0.6,IF('DREN. MEM. CAL.'!B11="triplo",E10*3+0.6,"")))</f>
        <v>2.1</v>
      </c>
    </row>
    <row r="11" spans="1:31" ht="15" customHeight="1" x14ac:dyDescent="0.25">
      <c r="A11" s="1415"/>
      <c r="B11" s="886" t="s">
        <v>727</v>
      </c>
      <c r="C11" s="939">
        <v>50.3</v>
      </c>
      <c r="D11" s="940">
        <v>4.6219999999999999</v>
      </c>
      <c r="E11" s="939">
        <v>1.5</v>
      </c>
      <c r="F11" s="941">
        <v>1.3899999999999999E-2</v>
      </c>
      <c r="G11" s="940">
        <v>0.53200000000000003</v>
      </c>
      <c r="H11" s="939">
        <v>4.84</v>
      </c>
      <c r="I11" s="940">
        <v>8.3390000000000004</v>
      </c>
      <c r="J11" s="939">
        <v>4.72</v>
      </c>
      <c r="K11" s="939">
        <v>394</v>
      </c>
      <c r="L11" s="939">
        <v>393</v>
      </c>
      <c r="M11" s="939">
        <v>392.2</v>
      </c>
      <c r="N11" s="939">
        <v>391.5</v>
      </c>
      <c r="O11" s="939">
        <v>1.8</v>
      </c>
      <c r="P11" s="939">
        <v>1.5</v>
      </c>
      <c r="Q11" s="886">
        <v>1.2999999999999999E-2</v>
      </c>
      <c r="R11" s="942">
        <f>IF('DREN. MEM. CAL.'!B12="simples",E11+0.6,IF('DREN. MEM. CAL.'!B12="duplo",E11*2+0.6,IF('DREN. MEM. CAL.'!B12="triplo",E11*3+0.6,"")))</f>
        <v>2.1</v>
      </c>
      <c r="S11" s="645"/>
    </row>
    <row r="12" spans="1:31" ht="15" customHeight="1" x14ac:dyDescent="0.25">
      <c r="A12" s="1415"/>
      <c r="B12" s="886" t="s">
        <v>728</v>
      </c>
      <c r="C12" s="939">
        <v>49.68</v>
      </c>
      <c r="D12" s="940">
        <v>4.6219999999999999</v>
      </c>
      <c r="E12" s="939">
        <v>1.5</v>
      </c>
      <c r="F12" s="941">
        <v>1.37E-2</v>
      </c>
      <c r="G12" s="940">
        <v>0.53400000000000003</v>
      </c>
      <c r="H12" s="939">
        <v>4.8099999999999996</v>
      </c>
      <c r="I12" s="940">
        <v>8.27</v>
      </c>
      <c r="J12" s="939">
        <v>4.68</v>
      </c>
      <c r="K12" s="939">
        <v>393</v>
      </c>
      <c r="L12" s="939">
        <v>391.72</v>
      </c>
      <c r="M12" s="939">
        <v>390.9</v>
      </c>
      <c r="N12" s="939">
        <v>390.22</v>
      </c>
      <c r="O12" s="939">
        <v>2.1</v>
      </c>
      <c r="P12" s="939">
        <v>1.5</v>
      </c>
      <c r="Q12" s="886">
        <v>1.2999999999999999E-2</v>
      </c>
      <c r="R12" s="942">
        <f>IF('DREN. MEM. CAL.'!B13="simples",E12+0.6,IF('DREN. MEM. CAL.'!B13="duplo",E12*2+0.6,IF('DREN. MEM. CAL.'!B13="triplo",E12*3+0.6,"")))</f>
        <v>2.1</v>
      </c>
      <c r="S12" s="645"/>
    </row>
    <row r="13" spans="1:31" ht="15" customHeight="1" x14ac:dyDescent="0.25">
      <c r="A13" s="1415"/>
      <c r="B13" s="886" t="s">
        <v>729</v>
      </c>
      <c r="C13" s="939">
        <v>49.69</v>
      </c>
      <c r="D13" s="940">
        <v>4.6219999999999999</v>
      </c>
      <c r="E13" s="939">
        <v>1.5</v>
      </c>
      <c r="F13" s="941">
        <v>1.4500000000000001E-2</v>
      </c>
      <c r="G13" s="940">
        <v>0.52500000000000002</v>
      </c>
      <c r="H13" s="939">
        <v>4.91</v>
      </c>
      <c r="I13" s="940">
        <v>8.5090000000000003</v>
      </c>
      <c r="J13" s="939">
        <v>4.82</v>
      </c>
      <c r="K13" s="939">
        <v>391.72</v>
      </c>
      <c r="L13" s="939">
        <v>390</v>
      </c>
      <c r="M13" s="939">
        <v>389.22</v>
      </c>
      <c r="N13" s="939">
        <v>388.5</v>
      </c>
      <c r="O13" s="939">
        <v>2.5</v>
      </c>
      <c r="P13" s="939">
        <v>1.5</v>
      </c>
      <c r="Q13" s="886">
        <v>1.2999999999999999E-2</v>
      </c>
      <c r="R13" s="942">
        <f>IF('DREN. MEM. CAL.'!B14="simples",E13+0.6,IF('DREN. MEM. CAL.'!B14="duplo",E13*2+0.6,IF('DREN. MEM. CAL.'!B14="triplo",E13*3+0.6,"")))</f>
        <v>2.1</v>
      </c>
      <c r="S13" s="645"/>
    </row>
    <row r="14" spans="1:31" ht="15.75" customHeight="1" x14ac:dyDescent="0.25">
      <c r="A14" s="1415"/>
      <c r="B14" s="886" t="s">
        <v>730</v>
      </c>
      <c r="C14" s="939">
        <v>49.98</v>
      </c>
      <c r="D14" s="940">
        <v>4.6219999999999999</v>
      </c>
      <c r="E14" s="939">
        <v>1.5</v>
      </c>
      <c r="F14" s="941">
        <v>1.4E-2</v>
      </c>
      <c r="G14" s="940">
        <v>0.53100000000000003</v>
      </c>
      <c r="H14" s="939">
        <v>4.8499999999999996</v>
      </c>
      <c r="I14" s="940">
        <v>8.3650000000000002</v>
      </c>
      <c r="J14" s="939">
        <v>4.7300000000000004</v>
      </c>
      <c r="K14" s="939">
        <v>390</v>
      </c>
      <c r="L14" s="939">
        <v>388.5</v>
      </c>
      <c r="M14" s="939">
        <v>387.7</v>
      </c>
      <c r="N14" s="939">
        <v>387</v>
      </c>
      <c r="O14" s="939">
        <v>2.2999999999999998</v>
      </c>
      <c r="P14" s="939">
        <v>1.5</v>
      </c>
      <c r="Q14" s="886">
        <v>1.2999999999999999E-2</v>
      </c>
      <c r="R14" s="942">
        <f>IF('DREN. MEM. CAL.'!B15="simples",E14+0.6,IF('DREN. MEM. CAL.'!B15="duplo",E14*2+0.6,IF('DREN. MEM. CAL.'!B15="triplo",E14*3+0.6,"")))</f>
        <v>2.1</v>
      </c>
      <c r="S14" s="645"/>
    </row>
    <row r="15" spans="1:31" x14ac:dyDescent="0.25">
      <c r="A15" s="1415"/>
      <c r="B15" s="886" t="s">
        <v>731</v>
      </c>
      <c r="C15" s="939">
        <v>49.97</v>
      </c>
      <c r="D15" s="940">
        <v>4.6219999999999999</v>
      </c>
      <c r="E15" s="939">
        <v>1.5</v>
      </c>
      <c r="F15" s="941">
        <v>1.4E-2</v>
      </c>
      <c r="G15" s="940">
        <v>0.53100000000000003</v>
      </c>
      <c r="H15" s="939">
        <v>4.8499999999999996</v>
      </c>
      <c r="I15" s="940">
        <v>8.3659999999999997</v>
      </c>
      <c r="J15" s="939">
        <v>4.7300000000000004</v>
      </c>
      <c r="K15" s="939">
        <v>388.5</v>
      </c>
      <c r="L15" s="939">
        <v>387</v>
      </c>
      <c r="M15" s="939">
        <v>386.2</v>
      </c>
      <c r="N15" s="939">
        <v>385.5</v>
      </c>
      <c r="O15" s="939">
        <v>2.2999999999999998</v>
      </c>
      <c r="P15" s="939">
        <v>1.5</v>
      </c>
      <c r="Q15" s="886">
        <v>1.2999999999999999E-2</v>
      </c>
      <c r="R15" s="942">
        <f>IF('DREN. MEM. CAL.'!B16="simples",E15+0.6,IF('DREN. MEM. CAL.'!B16="duplo",E15*2+0.6,IF('DREN. MEM. CAL.'!B16="triplo",E15*3+0.6,"")))</f>
        <v>2.1</v>
      </c>
      <c r="S15" s="645"/>
    </row>
    <row r="16" spans="1:31" x14ac:dyDescent="0.25">
      <c r="A16" s="1415"/>
      <c r="B16" s="886" t="s">
        <v>732</v>
      </c>
      <c r="C16" s="939">
        <v>49.99</v>
      </c>
      <c r="D16" s="940">
        <v>4.6219999999999999</v>
      </c>
      <c r="E16" s="939">
        <v>1.5</v>
      </c>
      <c r="F16" s="941">
        <v>1.1599999999999999E-2</v>
      </c>
      <c r="G16" s="940">
        <v>0.56200000000000006</v>
      </c>
      <c r="H16" s="939">
        <v>4.5199999999999996</v>
      </c>
      <c r="I16" s="940">
        <v>7.6139999999999999</v>
      </c>
      <c r="J16" s="939">
        <v>4.3099999999999996</v>
      </c>
      <c r="K16" s="939">
        <v>387</v>
      </c>
      <c r="L16" s="939">
        <v>385.42</v>
      </c>
      <c r="M16" s="939">
        <v>384.5</v>
      </c>
      <c r="N16" s="939">
        <v>383.92</v>
      </c>
      <c r="O16" s="939">
        <v>2.5</v>
      </c>
      <c r="P16" s="939">
        <v>1.5</v>
      </c>
      <c r="Q16" s="886">
        <v>1.2999999999999999E-2</v>
      </c>
      <c r="R16" s="942">
        <f>IF('DREN. MEM. CAL.'!B17="simples",E16+0.6,IF('DREN. MEM. CAL.'!B17="duplo",E16*2+0.6,IF('DREN. MEM. CAL.'!B17="triplo",E16*3+0.6,"")))</f>
        <v>2.1</v>
      </c>
      <c r="S16" s="645"/>
    </row>
    <row r="17" spans="1:19" x14ac:dyDescent="0.25">
      <c r="A17" s="1415"/>
      <c r="B17" s="886" t="s">
        <v>733</v>
      </c>
      <c r="C17" s="939">
        <v>49.99</v>
      </c>
      <c r="D17" s="940">
        <v>4.6219999999999999</v>
      </c>
      <c r="E17" s="939">
        <v>1.5</v>
      </c>
      <c r="F17" s="941">
        <v>1.04E-2</v>
      </c>
      <c r="G17" s="940">
        <v>0.58199999999999996</v>
      </c>
      <c r="H17" s="939">
        <v>4.33</v>
      </c>
      <c r="I17" s="940">
        <v>7.21</v>
      </c>
      <c r="J17" s="939">
        <v>4.08</v>
      </c>
      <c r="K17" s="939">
        <v>385.42</v>
      </c>
      <c r="L17" s="939">
        <v>383.5</v>
      </c>
      <c r="M17" s="939">
        <v>382.52</v>
      </c>
      <c r="N17" s="939">
        <v>382</v>
      </c>
      <c r="O17" s="939">
        <v>2.9</v>
      </c>
      <c r="P17" s="939">
        <v>1.5</v>
      </c>
      <c r="Q17" s="886">
        <v>1.2999999999999999E-2</v>
      </c>
      <c r="R17" s="942">
        <f>IF('DREN. MEM. CAL.'!B18="simples",E17+0.6,IF('DREN. MEM. CAL.'!B18="duplo",E17*2+0.6,IF('DREN. MEM. CAL.'!B18="triplo",E17*3+0.6,"")))</f>
        <v>2.1</v>
      </c>
      <c r="S17" s="645"/>
    </row>
    <row r="18" spans="1:19" x14ac:dyDescent="0.25">
      <c r="A18" s="1415"/>
      <c r="B18" s="886" t="s">
        <v>734</v>
      </c>
      <c r="C18" s="939">
        <v>50.29</v>
      </c>
      <c r="D18" s="940">
        <v>4.6219999999999999</v>
      </c>
      <c r="E18" s="939">
        <v>1.5</v>
      </c>
      <c r="F18" s="941">
        <v>1.2500000000000001E-2</v>
      </c>
      <c r="G18" s="940">
        <v>0.54900000000000004</v>
      </c>
      <c r="H18" s="939">
        <v>4.6500000000000004</v>
      </c>
      <c r="I18" s="940">
        <v>7.9119999999999999</v>
      </c>
      <c r="J18" s="939">
        <v>4.4800000000000004</v>
      </c>
      <c r="K18" s="939">
        <v>383.5</v>
      </c>
      <c r="L18" s="939">
        <v>381.57</v>
      </c>
      <c r="M18" s="939">
        <v>380.7</v>
      </c>
      <c r="N18" s="939">
        <v>380.07</v>
      </c>
      <c r="O18" s="939">
        <v>2.8</v>
      </c>
      <c r="P18" s="939">
        <v>1.5</v>
      </c>
      <c r="Q18" s="886">
        <v>1.2999999999999999E-2</v>
      </c>
      <c r="R18" s="942">
        <f>IF('DREN. MEM. CAL.'!B19="simples",E18+0.6,IF('DREN. MEM. CAL.'!B19="duplo",E18*2+0.6,IF('DREN. MEM. CAL.'!B19="triplo",E18*3+0.6,"")))</f>
        <v>2.1</v>
      </c>
    </row>
    <row r="19" spans="1:19" x14ac:dyDescent="0.25">
      <c r="A19" s="1415"/>
      <c r="B19" s="886" t="s">
        <v>735</v>
      </c>
      <c r="C19" s="939">
        <v>50.17</v>
      </c>
      <c r="D19" s="940">
        <v>4.6219999999999999</v>
      </c>
      <c r="E19" s="939">
        <v>1.5</v>
      </c>
      <c r="F19" s="941">
        <v>1.26E-2</v>
      </c>
      <c r="G19" s="940">
        <v>0.54900000000000004</v>
      </c>
      <c r="H19" s="939">
        <v>4.6500000000000004</v>
      </c>
      <c r="I19" s="940">
        <v>7.9210000000000003</v>
      </c>
      <c r="J19" s="939">
        <v>4.4800000000000004</v>
      </c>
      <c r="K19" s="939">
        <v>381.57</v>
      </c>
      <c r="L19" s="939">
        <v>380.64</v>
      </c>
      <c r="M19" s="939">
        <v>379.77</v>
      </c>
      <c r="N19" s="939">
        <v>379.14</v>
      </c>
      <c r="O19" s="939">
        <v>1.8</v>
      </c>
      <c r="P19" s="939">
        <v>1.5</v>
      </c>
      <c r="Q19" s="886">
        <v>1.2999999999999999E-2</v>
      </c>
      <c r="R19" s="942">
        <f>IF('DREN. MEM. CAL.'!B20="simples",E19+0.6,IF('DREN. MEM. CAL.'!B20="duplo",E19*2+0.6,IF('DREN. MEM. CAL.'!B20="triplo",E19*3+0.6,"")))</f>
        <v>2.1</v>
      </c>
      <c r="S19" s="645"/>
    </row>
    <row r="20" spans="1:19" x14ac:dyDescent="0.25">
      <c r="A20" s="1415"/>
      <c r="B20" s="886" t="s">
        <v>736</v>
      </c>
      <c r="C20" s="939">
        <v>46.36</v>
      </c>
      <c r="D20" s="940">
        <v>4.6219999999999999</v>
      </c>
      <c r="E20" s="939">
        <v>1.5</v>
      </c>
      <c r="F20" s="941">
        <v>1.0999999999999999E-2</v>
      </c>
      <c r="G20" s="940">
        <v>0.57199999999999995</v>
      </c>
      <c r="H20" s="939">
        <v>4.42</v>
      </c>
      <c r="I20" s="940">
        <v>7.4139999999999997</v>
      </c>
      <c r="J20" s="939">
        <v>4.2</v>
      </c>
      <c r="K20" s="939">
        <v>380.64</v>
      </c>
      <c r="L20" s="939">
        <v>380.13</v>
      </c>
      <c r="M20" s="939">
        <v>379.14</v>
      </c>
      <c r="N20" s="939">
        <v>378.63</v>
      </c>
      <c r="O20" s="939">
        <v>1.5</v>
      </c>
      <c r="P20" s="939">
        <v>1.5</v>
      </c>
      <c r="Q20" s="886">
        <v>1.2999999999999999E-2</v>
      </c>
      <c r="R20" s="942">
        <f>IF('DREN. MEM. CAL.'!B21="simples",E20+0.6,IF('DREN. MEM. CAL.'!B21="duplo",E20*2+0.6,IF('DREN. MEM. CAL.'!B21="triplo",E20*3+0.6,"")))</f>
        <v>2.1</v>
      </c>
      <c r="S20" s="645"/>
    </row>
    <row r="21" spans="1:19" x14ac:dyDescent="0.25">
      <c r="A21" s="1415"/>
      <c r="B21" s="886" t="s">
        <v>737</v>
      </c>
      <c r="C21" s="939">
        <v>24.4</v>
      </c>
      <c r="D21" s="940">
        <v>4.6219999999999999</v>
      </c>
      <c r="E21" s="939">
        <v>1.5</v>
      </c>
      <c r="F21" s="941">
        <v>1.1900000000000001E-2</v>
      </c>
      <c r="G21" s="940">
        <v>0.55800000000000005</v>
      </c>
      <c r="H21" s="939">
        <v>4.5599999999999996</v>
      </c>
      <c r="I21" s="940">
        <v>7.7060000000000004</v>
      </c>
      <c r="J21" s="939">
        <v>4.3600000000000003</v>
      </c>
      <c r="K21" s="939">
        <v>380.13</v>
      </c>
      <c r="L21" s="939">
        <v>379.14</v>
      </c>
      <c r="M21" s="939">
        <v>377.93</v>
      </c>
      <c r="N21" s="939">
        <v>377.64</v>
      </c>
      <c r="O21" s="939">
        <v>2.2000000000000002</v>
      </c>
      <c r="P21" s="939">
        <v>1.5</v>
      </c>
      <c r="Q21" s="886">
        <v>1.2999999999999999E-2</v>
      </c>
      <c r="R21" s="942">
        <f>IF('DREN. MEM. CAL.'!B22="simples",E21+0.6,IF('DREN. MEM. CAL.'!B22="duplo",E21*2+0.6,IF('DREN. MEM. CAL.'!B22="triplo",E21*3+0.6,"")))</f>
        <v>2.1</v>
      </c>
      <c r="S21" s="645"/>
    </row>
    <row r="22" spans="1:19" x14ac:dyDescent="0.25">
      <c r="A22" s="1415"/>
      <c r="B22" s="886" t="s">
        <v>738</v>
      </c>
      <c r="C22" s="939">
        <v>24.4</v>
      </c>
      <c r="D22" s="940">
        <v>4.6219999999999999</v>
      </c>
      <c r="E22" s="939">
        <v>1.5</v>
      </c>
      <c r="F22" s="941">
        <v>1.3899999999999999E-2</v>
      </c>
      <c r="G22" s="940">
        <v>0.53200000000000003</v>
      </c>
      <c r="H22" s="939">
        <v>4.84</v>
      </c>
      <c r="I22" s="940">
        <v>8.3439999999999994</v>
      </c>
      <c r="J22" s="939">
        <v>4.72</v>
      </c>
      <c r="K22" s="939">
        <v>379.14</v>
      </c>
      <c r="L22" s="939">
        <v>377.5</v>
      </c>
      <c r="M22" s="939">
        <v>376.34</v>
      </c>
      <c r="N22" s="939">
        <v>376</v>
      </c>
      <c r="O22" s="939">
        <v>2.8</v>
      </c>
      <c r="P22" s="939">
        <v>1.5</v>
      </c>
      <c r="Q22" s="886">
        <v>1.2999999999999999E-2</v>
      </c>
      <c r="R22" s="942">
        <f>IF('DREN. MEM. CAL.'!B23="simples",E22+0.6,IF('DREN. MEM. CAL.'!B23="duplo",E22*2+0.6,IF('DREN. MEM. CAL.'!B23="triplo",E22*3+0.6,"")))</f>
        <v>2.1</v>
      </c>
      <c r="S22" s="645"/>
    </row>
    <row r="23" spans="1:19" x14ac:dyDescent="0.25">
      <c r="A23" s="1415"/>
      <c r="B23" s="886" t="s">
        <v>739</v>
      </c>
      <c r="C23" s="939">
        <v>24.4</v>
      </c>
      <c r="D23" s="940">
        <v>4.6219999999999999</v>
      </c>
      <c r="E23" s="939">
        <v>1.5</v>
      </c>
      <c r="F23" s="941">
        <v>1.2699999999999999E-2</v>
      </c>
      <c r="G23" s="940">
        <v>0.54700000000000004</v>
      </c>
      <c r="H23" s="939">
        <v>4.67</v>
      </c>
      <c r="I23" s="940">
        <v>7.9669999999999996</v>
      </c>
      <c r="J23" s="939">
        <v>4.51</v>
      </c>
      <c r="K23" s="939">
        <v>377.5</v>
      </c>
      <c r="L23" s="939">
        <v>376.39</v>
      </c>
      <c r="M23" s="939">
        <v>375.2</v>
      </c>
      <c r="N23" s="939">
        <v>374.89</v>
      </c>
      <c r="O23" s="939">
        <v>2.2999999999999998</v>
      </c>
      <c r="P23" s="939">
        <v>1.5</v>
      </c>
      <c r="Q23" s="886">
        <v>1.2999999999999999E-2</v>
      </c>
      <c r="R23" s="942">
        <f>IF('DREN. MEM. CAL.'!B24="simples",E23+0.6,IF('DREN. MEM. CAL.'!B24="duplo",E23*2+0.6,IF('DREN. MEM. CAL.'!B24="triplo",E23*3+0.6,"")))</f>
        <v>2.1</v>
      </c>
    </row>
    <row r="24" spans="1:19" x14ac:dyDescent="0.25">
      <c r="A24" s="1416"/>
      <c r="B24" s="886" t="s">
        <v>740</v>
      </c>
      <c r="C24" s="939">
        <v>74.17</v>
      </c>
      <c r="D24" s="940">
        <v>4.6219999999999999</v>
      </c>
      <c r="E24" s="939">
        <v>1.5</v>
      </c>
      <c r="F24" s="941">
        <v>1.2E-2</v>
      </c>
      <c r="G24" s="940">
        <v>0.55600000000000005</v>
      </c>
      <c r="H24" s="939">
        <v>4.57</v>
      </c>
      <c r="I24" s="940">
        <v>7.7430000000000003</v>
      </c>
      <c r="J24" s="939">
        <v>4.38</v>
      </c>
      <c r="K24" s="939">
        <v>376.39</v>
      </c>
      <c r="L24" s="939">
        <v>374</v>
      </c>
      <c r="M24" s="939">
        <v>374.89</v>
      </c>
      <c r="N24" s="939">
        <v>374</v>
      </c>
      <c r="O24" s="939">
        <v>1.5</v>
      </c>
      <c r="P24" s="939">
        <v>0</v>
      </c>
      <c r="Q24" s="886">
        <v>1.2999999999999999E-2</v>
      </c>
      <c r="R24" s="942">
        <f>IF('DREN. MEM. CAL.'!B25="simples",E24+0.6,IF('DREN. MEM. CAL.'!B25="duplo",E24*2+0.6,IF('DREN. MEM. CAL.'!B25="triplo",E24*3+0.6,"")))</f>
        <v>2.1</v>
      </c>
      <c r="S24" s="645"/>
    </row>
    <row r="25" spans="1:19" x14ac:dyDescent="0.25">
      <c r="A25" s="1409" t="s">
        <v>741</v>
      </c>
      <c r="B25" s="886" t="s">
        <v>742</v>
      </c>
      <c r="C25" s="939">
        <v>63.75</v>
      </c>
      <c r="D25" s="940">
        <v>0.122</v>
      </c>
      <c r="E25" s="939">
        <v>0.6</v>
      </c>
      <c r="F25" s="941">
        <v>1.9E-2</v>
      </c>
      <c r="G25" s="940">
        <v>0.25700000000000001</v>
      </c>
      <c r="H25" s="939">
        <v>2.13</v>
      </c>
      <c r="I25" s="940">
        <v>0.84599999999999997</v>
      </c>
      <c r="J25" s="939">
        <v>2.99</v>
      </c>
      <c r="K25" s="939">
        <v>407.51</v>
      </c>
      <c r="L25" s="939">
        <v>406.3</v>
      </c>
      <c r="M25" s="939">
        <v>406.01</v>
      </c>
      <c r="N25" s="939">
        <v>404.8</v>
      </c>
      <c r="O25" s="939">
        <v>1.5</v>
      </c>
      <c r="P25" s="939">
        <v>1.5</v>
      </c>
      <c r="Q25" s="886">
        <v>1.2999999999999999E-2</v>
      </c>
      <c r="R25" s="942">
        <f>IF('DREN. MEM. CAL.'!B26="simples",E25+0.6,IF('DREN. MEM. CAL.'!B26="duplo",E25*2+0.6,IF('DREN. MEM. CAL.'!B26="triplo",E25*3+0.6,"")))</f>
        <v>1.2</v>
      </c>
      <c r="S25" s="645"/>
    </row>
    <row r="26" spans="1:19" ht="15.75" customHeight="1" thickBot="1" x14ac:dyDescent="0.3">
      <c r="A26" s="1410"/>
      <c r="B26" s="947" t="s">
        <v>743</v>
      </c>
      <c r="C26" s="948">
        <v>50.28</v>
      </c>
      <c r="D26" s="949">
        <v>0.122</v>
      </c>
      <c r="E26" s="948">
        <v>0.6</v>
      </c>
      <c r="F26" s="950">
        <v>1.4500000000000001E-2</v>
      </c>
      <c r="G26" s="949">
        <v>0.27500000000000002</v>
      </c>
      <c r="H26" s="948">
        <v>1.93</v>
      </c>
      <c r="I26" s="949">
        <v>0.74</v>
      </c>
      <c r="J26" s="948">
        <v>2.62</v>
      </c>
      <c r="K26" s="948">
        <v>406.3</v>
      </c>
      <c r="L26" s="948">
        <v>405.57</v>
      </c>
      <c r="M26" s="948">
        <v>404.8</v>
      </c>
      <c r="N26" s="948">
        <v>404.07</v>
      </c>
      <c r="O26" s="948">
        <v>1.5</v>
      </c>
      <c r="P26" s="948">
        <v>1.5</v>
      </c>
      <c r="Q26" s="947">
        <v>1.2999999999999999E-2</v>
      </c>
      <c r="R26" s="951">
        <f>IF('DREN. MEM. CAL.'!B27="simples",E26+0.6,IF('DREN. MEM. CAL.'!B27="duplo",E26*2+0.6,IF('DREN. MEM. CAL.'!B27="triplo",E26*3+0.6,"")))</f>
        <v>1.2</v>
      </c>
    </row>
    <row r="27" spans="1:19" ht="15" customHeight="1" x14ac:dyDescent="0.25">
      <c r="A27" s="1410"/>
      <c r="B27" s="952" t="s">
        <v>744</v>
      </c>
      <c r="C27" s="953">
        <v>64.010000000000005</v>
      </c>
      <c r="D27" s="954">
        <v>1.2410000000000001</v>
      </c>
      <c r="E27" s="953">
        <v>1</v>
      </c>
      <c r="F27" s="955">
        <v>5.5999999999999999E-3</v>
      </c>
      <c r="G27" s="954">
        <v>0.61099999999999999</v>
      </c>
      <c r="H27" s="953">
        <v>2.4700000000000002</v>
      </c>
      <c r="I27" s="954">
        <v>1.798</v>
      </c>
      <c r="J27" s="953">
        <v>2.29</v>
      </c>
      <c r="K27" s="953">
        <v>405.57</v>
      </c>
      <c r="L27" s="953">
        <v>405.21</v>
      </c>
      <c r="M27" s="953">
        <v>403.67</v>
      </c>
      <c r="N27" s="953">
        <v>403.31</v>
      </c>
      <c r="O27" s="953">
        <v>1.9</v>
      </c>
      <c r="P27" s="953">
        <v>1.9</v>
      </c>
      <c r="Q27" s="952">
        <v>1.2999999999999999E-2</v>
      </c>
      <c r="R27" s="956">
        <f>IF('DREN. MEM. CAL.'!B28="simples",E27+0.6,IF('DREN. MEM. CAL.'!B28="duplo",E27*2+0.6,IF('DREN. MEM. CAL.'!B28="triplo",E27*3+0.6,"")))</f>
        <v>1.6</v>
      </c>
    </row>
    <row r="28" spans="1:19" ht="15" customHeight="1" x14ac:dyDescent="0.25">
      <c r="A28" s="1410"/>
      <c r="B28" s="886" t="s">
        <v>745</v>
      </c>
      <c r="C28" s="939">
        <v>87.96</v>
      </c>
      <c r="D28" s="940">
        <v>1.4450000000000001</v>
      </c>
      <c r="E28" s="939">
        <v>1</v>
      </c>
      <c r="F28" s="941">
        <v>2.1399999999999999E-2</v>
      </c>
      <c r="G28" s="940">
        <v>0.44700000000000001</v>
      </c>
      <c r="H28" s="939">
        <v>4.25</v>
      </c>
      <c r="I28" s="940">
        <v>3.5049999999999999</v>
      </c>
      <c r="J28" s="939">
        <v>4.46</v>
      </c>
      <c r="K28" s="939">
        <v>405.21</v>
      </c>
      <c r="L28" s="939">
        <v>403.33</v>
      </c>
      <c r="M28" s="939">
        <v>403.31</v>
      </c>
      <c r="N28" s="939">
        <v>401.43</v>
      </c>
      <c r="O28" s="939">
        <v>1.9</v>
      </c>
      <c r="P28" s="939">
        <v>1.9</v>
      </c>
      <c r="Q28" s="886">
        <v>1.2999999999999999E-2</v>
      </c>
      <c r="R28" s="942">
        <f>IF('DREN. MEM. CAL.'!B29="simples",E28+0.6,IF('DREN. MEM. CAL.'!B29="duplo",E28*2+0.6,IF('DREN. MEM. CAL.'!B29="triplo",E28*3+0.6,"")))</f>
        <v>1.6</v>
      </c>
      <c r="S28" s="645"/>
    </row>
    <row r="29" spans="1:19" ht="15" customHeight="1" x14ac:dyDescent="0.25">
      <c r="A29" s="1410"/>
      <c r="B29" s="886" t="s">
        <v>746</v>
      </c>
      <c r="C29" s="939">
        <v>52.67</v>
      </c>
      <c r="D29" s="940">
        <v>1.5269999999999999</v>
      </c>
      <c r="E29" s="939">
        <v>1</v>
      </c>
      <c r="F29" s="941">
        <v>2.24E-2</v>
      </c>
      <c r="G29" s="940">
        <v>0.45500000000000002</v>
      </c>
      <c r="H29" s="939">
        <v>4.38</v>
      </c>
      <c r="I29" s="940">
        <v>3.589</v>
      </c>
      <c r="J29" s="939">
        <v>4.57</v>
      </c>
      <c r="K29" s="939">
        <v>403.33</v>
      </c>
      <c r="L29" s="939">
        <v>402.15</v>
      </c>
      <c r="M29" s="939">
        <v>401.43</v>
      </c>
      <c r="N29" s="939">
        <v>400.25</v>
      </c>
      <c r="O29" s="939">
        <v>1.9</v>
      </c>
      <c r="P29" s="939">
        <v>1.9</v>
      </c>
      <c r="Q29" s="886">
        <v>1.2999999999999999E-2</v>
      </c>
      <c r="R29" s="942">
        <f>IF('DREN. MEM. CAL.'!B30="simples",E29+0.6,IF('DREN. MEM. CAL.'!B30="duplo",E29*2+0.6,IF('DREN. MEM. CAL.'!B30="triplo",E29*3+0.6,"")))</f>
        <v>1.6</v>
      </c>
      <c r="S29" s="645"/>
    </row>
    <row r="30" spans="1:19" ht="15" customHeight="1" x14ac:dyDescent="0.25">
      <c r="A30" s="1411"/>
      <c r="B30" s="886" t="s">
        <v>747</v>
      </c>
      <c r="C30" s="939">
        <v>61.58</v>
      </c>
      <c r="D30" s="940">
        <v>1.623</v>
      </c>
      <c r="E30" s="939">
        <v>1</v>
      </c>
      <c r="F30" s="941">
        <v>1.95E-2</v>
      </c>
      <c r="G30" s="940">
        <v>0.49099999999999999</v>
      </c>
      <c r="H30" s="939">
        <v>4.2300000000000004</v>
      </c>
      <c r="I30" s="940">
        <v>3.347</v>
      </c>
      <c r="J30" s="939">
        <v>4.26</v>
      </c>
      <c r="K30" s="939">
        <v>402.15</v>
      </c>
      <c r="L30" s="939">
        <v>400.93</v>
      </c>
      <c r="M30" s="939">
        <v>400.23</v>
      </c>
      <c r="N30" s="939">
        <v>399.03</v>
      </c>
      <c r="O30" s="939">
        <v>1.92</v>
      </c>
      <c r="P30" s="939">
        <v>1.9</v>
      </c>
      <c r="Q30" s="886">
        <v>1.2999999999999999E-2</v>
      </c>
      <c r="R30" s="942">
        <f>IF('DREN. MEM. CAL.'!B31="simples",E30+0.6,IF('DREN. MEM. CAL.'!B31="duplo",E30*2+0.6,IF('DREN. MEM. CAL.'!B31="triplo",E30*3+0.6,"")))</f>
        <v>1.6</v>
      </c>
    </row>
    <row r="31" spans="1:19" x14ac:dyDescent="0.25">
      <c r="A31" s="1409" t="s">
        <v>748</v>
      </c>
      <c r="B31" s="886" t="s">
        <v>749</v>
      </c>
      <c r="C31" s="939">
        <v>55.09</v>
      </c>
      <c r="D31" s="940">
        <v>0.10199999999999999</v>
      </c>
      <c r="E31" s="939">
        <v>0.6</v>
      </c>
      <c r="F31" s="941">
        <v>1.3599999999999999E-2</v>
      </c>
      <c r="G31" s="940">
        <v>0.255</v>
      </c>
      <c r="H31" s="939">
        <v>1.79</v>
      </c>
      <c r="I31" s="940">
        <v>0.71599999999999997</v>
      </c>
      <c r="J31" s="939">
        <v>2.5299999999999998</v>
      </c>
      <c r="K31" s="939">
        <v>408.2</v>
      </c>
      <c r="L31" s="939">
        <v>407.45</v>
      </c>
      <c r="M31" s="939">
        <v>406.7</v>
      </c>
      <c r="N31" s="939">
        <v>405.95</v>
      </c>
      <c r="O31" s="939">
        <v>1.5</v>
      </c>
      <c r="P31" s="939">
        <v>1.5</v>
      </c>
      <c r="Q31" s="886">
        <v>1.2999999999999999E-2</v>
      </c>
      <c r="R31" s="942">
        <f>IF('DREN. MEM. CAL.'!B32="simples",E31+0.6,IF('DREN. MEM. CAL.'!B32="duplo",E31*2+0.6,IF('DREN. MEM. CAL.'!B32="triplo",E31*3+0.6,"")))</f>
        <v>1.2</v>
      </c>
      <c r="S31" s="645"/>
    </row>
    <row r="32" spans="1:19" x14ac:dyDescent="0.25">
      <c r="A32" s="1410"/>
      <c r="B32" s="886" t="s">
        <v>750</v>
      </c>
      <c r="C32" s="939">
        <v>58.21</v>
      </c>
      <c r="D32" s="940">
        <v>0.10199999999999999</v>
      </c>
      <c r="E32" s="939">
        <v>0.6</v>
      </c>
      <c r="F32" s="941">
        <v>1.5800000000000002E-2</v>
      </c>
      <c r="G32" s="940">
        <v>0.245</v>
      </c>
      <c r="H32" s="939">
        <v>1.89</v>
      </c>
      <c r="I32" s="940">
        <v>0.77200000000000002</v>
      </c>
      <c r="J32" s="939">
        <v>2.73</v>
      </c>
      <c r="K32" s="939">
        <v>407.45</v>
      </c>
      <c r="L32" s="939">
        <v>406.53</v>
      </c>
      <c r="M32" s="939">
        <v>405.95</v>
      </c>
      <c r="N32" s="939">
        <v>405.03</v>
      </c>
      <c r="O32" s="939">
        <v>1.5</v>
      </c>
      <c r="P32" s="939">
        <v>1.5</v>
      </c>
      <c r="Q32" s="886">
        <v>1.2999999999999999E-2</v>
      </c>
      <c r="R32" s="942">
        <f>IF('DREN. MEM. CAL.'!B33="simples",E32+0.6,IF('DREN. MEM. CAL.'!B33="duplo",E32*2+0.6,IF('DREN. MEM. CAL.'!B33="triplo",E32*3+0.6,"")))</f>
        <v>1.2</v>
      </c>
      <c r="S32" s="645"/>
    </row>
    <row r="33" spans="1:19" x14ac:dyDescent="0.25">
      <c r="A33" s="1410"/>
      <c r="B33" s="886" t="s">
        <v>751</v>
      </c>
      <c r="C33" s="939">
        <v>62.09</v>
      </c>
      <c r="D33" s="940">
        <v>0.31900000000000001</v>
      </c>
      <c r="E33" s="939">
        <v>0.8</v>
      </c>
      <c r="F33" s="941">
        <v>2.3999999999999998E-3</v>
      </c>
      <c r="G33" s="940">
        <v>0.49399999999999999</v>
      </c>
      <c r="H33" s="939">
        <v>1.29</v>
      </c>
      <c r="I33" s="940">
        <v>0.65</v>
      </c>
      <c r="J33" s="939">
        <v>1.29</v>
      </c>
      <c r="K33" s="939">
        <v>406.53</v>
      </c>
      <c r="L33" s="939">
        <v>406.38</v>
      </c>
      <c r="M33" s="939">
        <v>404.83</v>
      </c>
      <c r="N33" s="939">
        <v>404.68</v>
      </c>
      <c r="O33" s="939">
        <v>1.7</v>
      </c>
      <c r="P33" s="939">
        <v>1.7</v>
      </c>
      <c r="Q33" s="886">
        <v>1.2999999999999999E-2</v>
      </c>
      <c r="R33" s="942">
        <f>IF('DREN. MEM. CAL.'!B34="simples",E33+0.6,IF('DREN. MEM. CAL.'!B34="duplo",E33*2+0.6,IF('DREN. MEM. CAL.'!B34="triplo",E33*3+0.6,"")))</f>
        <v>1.4</v>
      </c>
    </row>
    <row r="34" spans="1:19" x14ac:dyDescent="0.25">
      <c r="A34" s="1410"/>
      <c r="B34" s="886" t="s">
        <v>752</v>
      </c>
      <c r="C34" s="939">
        <v>60.73</v>
      </c>
      <c r="D34" s="940">
        <v>0.57099999999999995</v>
      </c>
      <c r="E34" s="939">
        <v>0.8</v>
      </c>
      <c r="F34" s="941">
        <v>3.3E-3</v>
      </c>
      <c r="G34" s="940">
        <v>0.64800000000000002</v>
      </c>
      <c r="H34" s="939">
        <v>1.66</v>
      </c>
      <c r="I34" s="940">
        <v>0.75900000000000001</v>
      </c>
      <c r="J34" s="939">
        <v>1.51</v>
      </c>
      <c r="K34" s="939">
        <v>406.38</v>
      </c>
      <c r="L34" s="939">
        <v>406.18</v>
      </c>
      <c r="M34" s="939">
        <v>404.68</v>
      </c>
      <c r="N34" s="939">
        <v>404.48</v>
      </c>
      <c r="O34" s="939">
        <v>1.7</v>
      </c>
      <c r="P34" s="939">
        <v>1.7</v>
      </c>
      <c r="Q34" s="886">
        <v>1.2999999999999999E-2</v>
      </c>
      <c r="R34" s="942">
        <f>IF('DREN. MEM. CAL.'!B35="simples",E34+0.6,IF('DREN. MEM. CAL.'!B35="duplo",E34*2+0.6,IF('DREN. MEM. CAL.'!B35="triplo",E34*3+0.6,"")))</f>
        <v>1.4</v>
      </c>
      <c r="S34" s="645"/>
    </row>
    <row r="35" spans="1:19" x14ac:dyDescent="0.25">
      <c r="A35" s="1410"/>
      <c r="B35" s="886" t="s">
        <v>753</v>
      </c>
      <c r="C35" s="939">
        <v>62.92</v>
      </c>
      <c r="D35" s="940">
        <v>0.77900000000000003</v>
      </c>
      <c r="E35" s="939">
        <v>0.8</v>
      </c>
      <c r="F35" s="941">
        <v>4.8999999999999998E-3</v>
      </c>
      <c r="G35" s="940">
        <v>0.70099999999999996</v>
      </c>
      <c r="H35" s="939">
        <v>2.0699999999999998</v>
      </c>
      <c r="I35" s="940">
        <v>0.92800000000000005</v>
      </c>
      <c r="J35" s="939">
        <v>1.85</v>
      </c>
      <c r="K35" s="939">
        <v>406.18</v>
      </c>
      <c r="L35" s="939">
        <v>405.87</v>
      </c>
      <c r="M35" s="939">
        <v>404.48</v>
      </c>
      <c r="N35" s="939">
        <v>404.17</v>
      </c>
      <c r="O35" s="939">
        <v>1.7</v>
      </c>
      <c r="P35" s="939">
        <v>1.7</v>
      </c>
      <c r="Q35" s="886">
        <v>1.2999999999999999E-2</v>
      </c>
      <c r="R35" s="942">
        <f>IF('DREN. MEM. CAL.'!B36="simples",E35+0.6,IF('DREN. MEM. CAL.'!B36="duplo",E35*2+0.6,IF('DREN. MEM. CAL.'!B36="triplo",E35*3+0.6,"")))</f>
        <v>1.4</v>
      </c>
      <c r="S35" s="645"/>
    </row>
    <row r="36" spans="1:19" x14ac:dyDescent="0.25">
      <c r="A36" s="1411"/>
      <c r="B36" s="886" t="s">
        <v>754</v>
      </c>
      <c r="C36" s="939">
        <v>61.27</v>
      </c>
      <c r="D36" s="940">
        <v>0.95799999999999996</v>
      </c>
      <c r="E36" s="939">
        <v>1</v>
      </c>
      <c r="F36" s="941">
        <v>4.8999999999999998E-3</v>
      </c>
      <c r="G36" s="940">
        <v>0.54100000000000004</v>
      </c>
      <c r="H36" s="939">
        <v>2.21</v>
      </c>
      <c r="I36" s="940">
        <v>1.6779999999999999</v>
      </c>
      <c r="J36" s="939">
        <v>2.14</v>
      </c>
      <c r="K36" s="939">
        <v>405.87</v>
      </c>
      <c r="L36" s="939">
        <v>405.57</v>
      </c>
      <c r="M36" s="939">
        <v>403.97</v>
      </c>
      <c r="N36" s="939">
        <v>403.67</v>
      </c>
      <c r="O36" s="939">
        <v>1.9</v>
      </c>
      <c r="P36" s="939">
        <v>1.9</v>
      </c>
      <c r="Q36" s="886">
        <v>1.2999999999999999E-2</v>
      </c>
      <c r="R36" s="942">
        <f>IF('DREN. MEM. CAL.'!B37="simples",E36+0.6,IF('DREN. MEM. CAL.'!B37="duplo",E36*2+0.6,IF('DREN. MEM. CAL.'!B37="triplo",E36*3+0.6,"")))</f>
        <v>1.6</v>
      </c>
      <c r="S36" s="645"/>
    </row>
    <row r="37" spans="1:19" ht="15" customHeight="1" x14ac:dyDescent="0.25">
      <c r="A37" s="1409" t="s">
        <v>755</v>
      </c>
      <c r="B37" s="886" t="s">
        <v>756</v>
      </c>
      <c r="C37" s="939">
        <v>62.82</v>
      </c>
      <c r="D37" s="940">
        <v>9.4E-2</v>
      </c>
      <c r="E37" s="939">
        <v>0.6</v>
      </c>
      <c r="F37" s="941">
        <v>1.7999999999999999E-2</v>
      </c>
      <c r="G37" s="940">
        <v>0.22800000000000001</v>
      </c>
      <c r="H37" s="939">
        <v>1.94</v>
      </c>
      <c r="I37" s="940">
        <v>0.82399999999999995</v>
      </c>
      <c r="J37" s="939">
        <v>2.91</v>
      </c>
      <c r="K37" s="939">
        <v>408.18</v>
      </c>
      <c r="L37" s="939">
        <v>407.05</v>
      </c>
      <c r="M37" s="939">
        <v>406.68</v>
      </c>
      <c r="N37" s="939">
        <v>405.55</v>
      </c>
      <c r="O37" s="939">
        <v>1.5</v>
      </c>
      <c r="P37" s="939">
        <v>1.5</v>
      </c>
      <c r="Q37" s="886">
        <v>1.2999999999999999E-2</v>
      </c>
      <c r="R37" s="942">
        <f>IF('DREN. MEM. CAL.'!B38="simples",E37+0.6,IF('DREN. MEM. CAL.'!B38="duplo",E37*2+0.6,IF('DREN. MEM. CAL.'!B38="triplo",E37*3+0.6,"")))</f>
        <v>1.2</v>
      </c>
    </row>
    <row r="38" spans="1:19" ht="15.75" customHeight="1" x14ac:dyDescent="0.25">
      <c r="A38" s="1411"/>
      <c r="B38" s="886" t="s">
        <v>757</v>
      </c>
      <c r="C38" s="939">
        <v>50.69</v>
      </c>
      <c r="D38" s="940">
        <v>9.4E-2</v>
      </c>
      <c r="E38" s="939">
        <v>0.6</v>
      </c>
      <c r="F38" s="941">
        <v>1.32E-2</v>
      </c>
      <c r="G38" s="940">
        <v>0.247</v>
      </c>
      <c r="H38" s="939">
        <v>1.74</v>
      </c>
      <c r="I38" s="940">
        <v>0.70599999999999996</v>
      </c>
      <c r="J38" s="939">
        <v>2.5</v>
      </c>
      <c r="K38" s="939">
        <v>407.05</v>
      </c>
      <c r="L38" s="939">
        <v>406.38</v>
      </c>
      <c r="M38" s="939">
        <v>405.55</v>
      </c>
      <c r="N38" s="939">
        <v>404.88</v>
      </c>
      <c r="O38" s="939">
        <v>1.5</v>
      </c>
      <c r="P38" s="939">
        <v>1.5</v>
      </c>
      <c r="Q38" s="886">
        <v>1.2999999999999999E-2</v>
      </c>
      <c r="R38" s="942">
        <f>IF('DREN. MEM. CAL.'!B39="simples",E38+0.6,IF('DREN. MEM. CAL.'!B39="duplo",E38*2+0.6,IF('DREN. MEM. CAL.'!B39="triplo",E38*3+0.6,"")))</f>
        <v>1.2</v>
      </c>
      <c r="S38" s="645"/>
    </row>
    <row r="39" spans="1:19" x14ac:dyDescent="0.25">
      <c r="A39" s="1409" t="s">
        <v>758</v>
      </c>
      <c r="B39" s="886" t="s">
        <v>759</v>
      </c>
      <c r="C39" s="939">
        <v>78.17</v>
      </c>
      <c r="D39" s="940">
        <v>0.22</v>
      </c>
      <c r="E39" s="939">
        <v>0.6</v>
      </c>
      <c r="F39" s="941">
        <v>6.7000000000000002E-3</v>
      </c>
      <c r="G39" s="940">
        <v>0.46400000000000002</v>
      </c>
      <c r="H39" s="939">
        <v>1.71</v>
      </c>
      <c r="I39" s="940">
        <v>0.501</v>
      </c>
      <c r="J39" s="939">
        <v>1.77</v>
      </c>
      <c r="K39" s="939">
        <v>405.04</v>
      </c>
      <c r="L39" s="939">
        <v>404.52</v>
      </c>
      <c r="M39" s="939">
        <v>403.54</v>
      </c>
      <c r="N39" s="939">
        <v>403.02</v>
      </c>
      <c r="O39" s="939">
        <v>1.5</v>
      </c>
      <c r="P39" s="939">
        <v>1.5</v>
      </c>
      <c r="Q39" s="886">
        <v>1.2999999999999999E-2</v>
      </c>
      <c r="R39" s="942">
        <f>IF('DREN. MEM. CAL.'!B40="simples",E39+0.6,IF('DREN. MEM. CAL.'!B40="duplo",E39*2+0.6,IF('DREN. MEM. CAL.'!B40="triplo",E39*3+0.6,"")))</f>
        <v>1.2</v>
      </c>
      <c r="S39" s="645"/>
    </row>
    <row r="40" spans="1:19" x14ac:dyDescent="0.25">
      <c r="A40" s="1410"/>
      <c r="B40" s="886" t="s">
        <v>760</v>
      </c>
      <c r="C40" s="939">
        <v>61.36</v>
      </c>
      <c r="D40" s="940">
        <v>0.52600000000000002</v>
      </c>
      <c r="E40" s="939">
        <v>0.8</v>
      </c>
      <c r="F40" s="941">
        <v>8.5000000000000006E-3</v>
      </c>
      <c r="G40" s="940">
        <v>0.45900000000000002</v>
      </c>
      <c r="H40" s="939">
        <v>2.33</v>
      </c>
      <c r="I40" s="940">
        <v>1.2170000000000001</v>
      </c>
      <c r="J40" s="939">
        <v>2.42</v>
      </c>
      <c r="K40" s="939">
        <v>404.52</v>
      </c>
      <c r="L40" s="939">
        <v>404</v>
      </c>
      <c r="M40" s="939">
        <v>402.82</v>
      </c>
      <c r="N40" s="939">
        <v>402.3</v>
      </c>
      <c r="O40" s="939">
        <v>1.7</v>
      </c>
      <c r="P40" s="939">
        <v>1.7</v>
      </c>
      <c r="Q40" s="886">
        <v>1.2999999999999999E-2</v>
      </c>
      <c r="R40" s="942">
        <f>IF('DREN. MEM. CAL.'!B41="simples",E40+0.6,IF('DREN. MEM. CAL.'!B41="duplo",E40*2+0.6,IF('DREN. MEM. CAL.'!B41="triplo",E40*3+0.6,"")))</f>
        <v>1.4</v>
      </c>
      <c r="S40" s="645"/>
    </row>
    <row r="41" spans="1:19" x14ac:dyDescent="0.25">
      <c r="A41" s="1410"/>
      <c r="B41" s="886" t="s">
        <v>761</v>
      </c>
      <c r="C41" s="939">
        <v>61.09</v>
      </c>
      <c r="D41" s="940">
        <v>0.80300000000000005</v>
      </c>
      <c r="E41" s="939">
        <v>0.8</v>
      </c>
      <c r="F41" s="941">
        <v>9.1999999999999998E-3</v>
      </c>
      <c r="G41" s="940">
        <v>0.57799999999999996</v>
      </c>
      <c r="H41" s="939">
        <v>2.67</v>
      </c>
      <c r="I41" s="940">
        <v>1.266</v>
      </c>
      <c r="J41" s="939">
        <v>2.52</v>
      </c>
      <c r="K41" s="939">
        <v>404</v>
      </c>
      <c r="L41" s="939">
        <v>403.44</v>
      </c>
      <c r="M41" s="939">
        <v>402.3</v>
      </c>
      <c r="N41" s="939">
        <v>401.74</v>
      </c>
      <c r="O41" s="939">
        <v>1.7</v>
      </c>
      <c r="P41" s="939">
        <v>1.7</v>
      </c>
      <c r="Q41" s="886">
        <v>1.2999999999999999E-2</v>
      </c>
      <c r="R41" s="942">
        <f>IF('DREN. MEM. CAL.'!B42="simples",E41+0.6,IF('DREN. MEM. CAL.'!B42="duplo",E41*2+0.6,IF('DREN. MEM. CAL.'!B42="triplo",E41*3+0.6,"")))</f>
        <v>1.4</v>
      </c>
    </row>
    <row r="42" spans="1:19" x14ac:dyDescent="0.25">
      <c r="A42" s="1410"/>
      <c r="B42" s="886" t="s">
        <v>762</v>
      </c>
      <c r="C42" s="939">
        <v>62.08</v>
      </c>
      <c r="D42" s="940">
        <v>1.0920000000000001</v>
      </c>
      <c r="E42" s="939">
        <v>1</v>
      </c>
      <c r="F42" s="941">
        <v>8.8999999999999999E-3</v>
      </c>
      <c r="G42" s="940">
        <v>0.49</v>
      </c>
      <c r="H42" s="939">
        <v>2.85</v>
      </c>
      <c r="I42" s="940">
        <v>2.2570000000000001</v>
      </c>
      <c r="J42" s="939">
        <v>2.87</v>
      </c>
      <c r="K42" s="939">
        <v>403.44</v>
      </c>
      <c r="L42" s="939">
        <v>402.89</v>
      </c>
      <c r="M42" s="939">
        <v>401.54</v>
      </c>
      <c r="N42" s="939">
        <v>400.99</v>
      </c>
      <c r="O42" s="939">
        <v>1.9</v>
      </c>
      <c r="P42" s="939">
        <v>1.9</v>
      </c>
      <c r="Q42" s="886">
        <v>1.2999999999999999E-2</v>
      </c>
      <c r="R42" s="942">
        <f>IF('DREN. MEM. CAL.'!B43="simples",E42+0.6,IF('DREN. MEM. CAL.'!B43="duplo",E42*2+0.6,IF('DREN. MEM. CAL.'!B43="triplo",E42*3+0.6,"")))</f>
        <v>1.6</v>
      </c>
      <c r="S42" s="645"/>
    </row>
    <row r="43" spans="1:19" x14ac:dyDescent="0.25">
      <c r="A43" s="1410"/>
      <c r="B43" s="886" t="s">
        <v>763</v>
      </c>
      <c r="C43" s="939">
        <v>62.01</v>
      </c>
      <c r="D43" s="940">
        <v>1.373</v>
      </c>
      <c r="E43" s="939">
        <v>1</v>
      </c>
      <c r="F43" s="941">
        <v>8.6999999999999994E-3</v>
      </c>
      <c r="G43" s="940">
        <v>0.56599999999999995</v>
      </c>
      <c r="H43" s="939">
        <v>2.99</v>
      </c>
      <c r="I43" s="940">
        <v>2.2370000000000001</v>
      </c>
      <c r="J43" s="939">
        <v>2.85</v>
      </c>
      <c r="K43" s="939">
        <v>402.89</v>
      </c>
      <c r="L43" s="939">
        <v>402.35</v>
      </c>
      <c r="M43" s="939">
        <v>400.99</v>
      </c>
      <c r="N43" s="939">
        <v>400.45</v>
      </c>
      <c r="O43" s="939">
        <v>1.9</v>
      </c>
      <c r="P43" s="939">
        <v>1.9</v>
      </c>
      <c r="Q43" s="886">
        <v>1.2999999999999999E-2</v>
      </c>
      <c r="R43" s="942">
        <f>IF('DREN. MEM. CAL.'!B44="simples",E43+0.6,IF('DREN. MEM. CAL.'!B44="duplo",E43*2+0.6,IF('DREN. MEM. CAL.'!B44="triplo",E43*3+0.6,"")))</f>
        <v>1.6</v>
      </c>
      <c r="S43" s="645"/>
    </row>
    <row r="44" spans="1:19" x14ac:dyDescent="0.25">
      <c r="A44" s="1410"/>
      <c r="B44" s="886" t="s">
        <v>764</v>
      </c>
      <c r="C44" s="939">
        <v>60.9</v>
      </c>
      <c r="D44" s="940">
        <v>1.8069999999999999</v>
      </c>
      <c r="E44" s="939">
        <v>1.2</v>
      </c>
      <c r="F44" s="941">
        <v>3.8999999999999998E-3</v>
      </c>
      <c r="G44" s="940">
        <v>0.63900000000000001</v>
      </c>
      <c r="H44" s="939">
        <v>2.37</v>
      </c>
      <c r="I44" s="940">
        <v>2.448</v>
      </c>
      <c r="J44" s="939">
        <v>2.16</v>
      </c>
      <c r="K44" s="939">
        <v>402.35</v>
      </c>
      <c r="L44" s="939">
        <v>401.81</v>
      </c>
      <c r="M44" s="939">
        <v>399.55</v>
      </c>
      <c r="N44" s="939">
        <v>399.31</v>
      </c>
      <c r="O44" s="939">
        <v>2.8</v>
      </c>
      <c r="P44" s="939">
        <v>2.5</v>
      </c>
      <c r="Q44" s="886">
        <v>1.2999999999999999E-2</v>
      </c>
      <c r="R44" s="942">
        <f>IF('DREN. MEM. CAL.'!B45="simples",E44+0.6,IF('DREN. MEM. CAL.'!B45="duplo",E44*2+0.6,IF('DREN. MEM. CAL.'!B45="triplo",E44*3+0.6,"")))</f>
        <v>1.7999999999999998</v>
      </c>
      <c r="S44" s="645"/>
    </row>
    <row r="45" spans="1:19" x14ac:dyDescent="0.25">
      <c r="A45" s="1410"/>
      <c r="B45" s="886" t="s">
        <v>765</v>
      </c>
      <c r="C45" s="939">
        <v>62.46</v>
      </c>
      <c r="D45" s="940">
        <v>2.0939999999999999</v>
      </c>
      <c r="E45" s="939">
        <v>1.2</v>
      </c>
      <c r="F45" s="941">
        <v>4.0000000000000001E-3</v>
      </c>
      <c r="G45" s="940">
        <v>0.70799999999999996</v>
      </c>
      <c r="H45" s="939">
        <v>2.4500000000000002</v>
      </c>
      <c r="I45" s="940">
        <v>2.4670000000000001</v>
      </c>
      <c r="J45" s="939">
        <v>2.1800000000000002</v>
      </c>
      <c r="K45" s="939">
        <v>401.81</v>
      </c>
      <c r="L45" s="939">
        <v>401.26</v>
      </c>
      <c r="M45" s="939">
        <v>399.31</v>
      </c>
      <c r="N45" s="939">
        <v>399.06</v>
      </c>
      <c r="O45" s="939">
        <v>2.5</v>
      </c>
      <c r="P45" s="939">
        <v>2.2000000000000002</v>
      </c>
      <c r="Q45" s="886">
        <v>1.2999999999999999E-2</v>
      </c>
      <c r="R45" s="942">
        <f>IF('DREN. MEM. CAL.'!B46="simples",E45+0.6,IF('DREN. MEM. CAL.'!B46="duplo",E45*2+0.6,IF('DREN. MEM. CAL.'!B46="triplo",E45*3+0.6,"")))</f>
        <v>1.7999999999999998</v>
      </c>
      <c r="S45" s="645"/>
    </row>
    <row r="46" spans="1:19" x14ac:dyDescent="0.25">
      <c r="A46" s="1411"/>
      <c r="B46" s="886" t="s">
        <v>766</v>
      </c>
      <c r="C46" s="939">
        <v>63.75</v>
      </c>
      <c r="D46" s="940">
        <v>2.3839999999999999</v>
      </c>
      <c r="E46" s="939">
        <v>1.2</v>
      </c>
      <c r="F46" s="941">
        <v>8.3000000000000001E-3</v>
      </c>
      <c r="G46" s="940">
        <v>0.59899999999999998</v>
      </c>
      <c r="H46" s="939">
        <v>3.37</v>
      </c>
      <c r="I46" s="940">
        <v>3.5550000000000002</v>
      </c>
      <c r="J46" s="939">
        <v>3.14</v>
      </c>
      <c r="K46" s="939">
        <v>401.26</v>
      </c>
      <c r="L46" s="939">
        <v>400.93</v>
      </c>
      <c r="M46" s="939">
        <v>399.06</v>
      </c>
      <c r="N46" s="939">
        <v>398.53</v>
      </c>
      <c r="O46" s="939">
        <v>2.2000000000000002</v>
      </c>
      <c r="P46" s="939">
        <v>2.4</v>
      </c>
      <c r="Q46" s="886">
        <v>1.2999999999999999E-2</v>
      </c>
      <c r="R46" s="942">
        <f>IF('DREN. MEM. CAL.'!B47="simples",E46+0.6,IF('DREN. MEM. CAL.'!B47="duplo",E46*2+0.6,IF('DREN. MEM. CAL.'!B47="triplo",E46*3+0.6,"")))</f>
        <v>1.7999999999999998</v>
      </c>
    </row>
    <row r="47" spans="1:19" x14ac:dyDescent="0.25">
      <c r="A47" s="1409" t="s">
        <v>767</v>
      </c>
      <c r="B47" s="886" t="s">
        <v>768</v>
      </c>
      <c r="C47" s="939">
        <v>61.89</v>
      </c>
      <c r="D47" s="940">
        <v>0.11899999999999999</v>
      </c>
      <c r="E47" s="939">
        <v>0.6</v>
      </c>
      <c r="F47" s="941">
        <v>4.4000000000000003E-3</v>
      </c>
      <c r="G47" s="940">
        <v>0.371</v>
      </c>
      <c r="H47" s="939">
        <v>1.25</v>
      </c>
      <c r="I47" s="940">
        <v>0.40600000000000003</v>
      </c>
      <c r="J47" s="939">
        <v>1.43</v>
      </c>
      <c r="K47" s="939">
        <v>404.86</v>
      </c>
      <c r="L47" s="939">
        <v>404.59</v>
      </c>
      <c r="M47" s="939">
        <v>403.36</v>
      </c>
      <c r="N47" s="939">
        <v>403.09</v>
      </c>
      <c r="O47" s="939">
        <v>1.5</v>
      </c>
      <c r="P47" s="939">
        <v>1.5</v>
      </c>
      <c r="Q47" s="886">
        <v>1.2999999999999999E-2</v>
      </c>
      <c r="R47" s="942">
        <f>IF('DREN. MEM. CAL.'!B48="simples",E47+0.6,IF('DREN. MEM. CAL.'!B48="duplo",E47*2+0.6,IF('DREN. MEM. CAL.'!B48="triplo",E47*3+0.6,"")))</f>
        <v>1.2</v>
      </c>
      <c r="S47" s="645"/>
    </row>
    <row r="48" spans="1:19" x14ac:dyDescent="0.25">
      <c r="A48" s="1410"/>
      <c r="B48" s="886" t="s">
        <v>769</v>
      </c>
      <c r="C48" s="939">
        <v>61.17</v>
      </c>
      <c r="D48" s="940">
        <v>0.253</v>
      </c>
      <c r="E48" s="939">
        <v>0.6</v>
      </c>
      <c r="F48" s="941">
        <v>1.78E-2</v>
      </c>
      <c r="G48" s="940">
        <v>0.38100000000000001</v>
      </c>
      <c r="H48" s="939">
        <v>2.5499999999999998</v>
      </c>
      <c r="I48" s="940">
        <v>0.82</v>
      </c>
      <c r="J48" s="939">
        <v>2.9</v>
      </c>
      <c r="K48" s="939">
        <v>404.59</v>
      </c>
      <c r="L48" s="939">
        <v>403.5</v>
      </c>
      <c r="M48" s="939">
        <v>403.09</v>
      </c>
      <c r="N48" s="939">
        <v>402</v>
      </c>
      <c r="O48" s="939">
        <v>1.5</v>
      </c>
      <c r="P48" s="939">
        <v>1.5</v>
      </c>
      <c r="Q48" s="886">
        <v>1.2999999999999999E-2</v>
      </c>
      <c r="R48" s="942">
        <f>IF('DREN. MEM. CAL.'!B49="simples",E48+0.6,IF('DREN. MEM. CAL.'!B49="duplo",E48*2+0.6,IF('DREN. MEM. CAL.'!B49="triplo",E48*3+0.6,"")))</f>
        <v>1.2</v>
      </c>
    </row>
    <row r="49" spans="1:19" x14ac:dyDescent="0.25">
      <c r="A49" s="1410"/>
      <c r="B49" s="886" t="s">
        <v>770</v>
      </c>
      <c r="C49" s="939">
        <v>12.72</v>
      </c>
      <c r="D49" s="940">
        <v>0.35899999999999999</v>
      </c>
      <c r="E49" s="939">
        <v>0.8</v>
      </c>
      <c r="F49" s="941">
        <v>3.8999999999999998E-3</v>
      </c>
      <c r="G49" s="940">
        <v>0.46</v>
      </c>
      <c r="H49" s="939">
        <v>1.59</v>
      </c>
      <c r="I49" s="940">
        <v>0.82899999999999996</v>
      </c>
      <c r="J49" s="939">
        <v>1.65</v>
      </c>
      <c r="K49" s="939">
        <v>403.5</v>
      </c>
      <c r="L49" s="939">
        <v>403.45</v>
      </c>
      <c r="M49" s="939">
        <v>401.8</v>
      </c>
      <c r="N49" s="939">
        <v>401.75</v>
      </c>
      <c r="O49" s="939">
        <v>1.7</v>
      </c>
      <c r="P49" s="939">
        <v>1.7</v>
      </c>
      <c r="Q49" s="886">
        <v>1.2999999999999999E-2</v>
      </c>
      <c r="R49" s="942">
        <f>IF('DREN. MEM. CAL.'!B50="simples",E49+0.6,IF('DREN. MEM. CAL.'!B50="duplo",E49*2+0.6,IF('DREN. MEM. CAL.'!B50="triplo",E49*3+0.6,"")))</f>
        <v>1.4</v>
      </c>
      <c r="S49" s="645"/>
    </row>
    <row r="50" spans="1:19" x14ac:dyDescent="0.25">
      <c r="A50" s="1410"/>
      <c r="B50" s="886" t="s">
        <v>771</v>
      </c>
      <c r="C50" s="939">
        <v>98.63</v>
      </c>
      <c r="D50" s="940">
        <v>0.85699999999999998</v>
      </c>
      <c r="E50" s="939">
        <v>1</v>
      </c>
      <c r="F50" s="941">
        <v>1.47E-2</v>
      </c>
      <c r="G50" s="940">
        <v>0.372</v>
      </c>
      <c r="H50" s="939">
        <v>3.22</v>
      </c>
      <c r="I50" s="940">
        <v>2.907</v>
      </c>
      <c r="J50" s="939">
        <v>3.7</v>
      </c>
      <c r="K50" s="939">
        <v>403.45</v>
      </c>
      <c r="L50" s="939">
        <v>402</v>
      </c>
      <c r="M50" s="939">
        <v>401.55</v>
      </c>
      <c r="N50" s="939">
        <v>400.1</v>
      </c>
      <c r="O50" s="939">
        <v>1.9</v>
      </c>
      <c r="P50" s="939">
        <v>1.9</v>
      </c>
      <c r="Q50" s="886">
        <v>1.2999999999999999E-2</v>
      </c>
      <c r="R50" s="942">
        <f>IF('DREN. MEM. CAL.'!B51="simples",E50+0.6,IF('DREN. MEM. CAL.'!B51="duplo",E50*2+0.6,IF('DREN. MEM. CAL.'!B51="triplo",E50*3+0.6,"")))</f>
        <v>1.6</v>
      </c>
      <c r="S50" s="645"/>
    </row>
    <row r="51" spans="1:19" x14ac:dyDescent="0.25">
      <c r="A51" s="1410"/>
      <c r="B51" s="886" t="s">
        <v>772</v>
      </c>
      <c r="C51" s="939">
        <v>100.34</v>
      </c>
      <c r="D51" s="940">
        <v>0.85699999999999998</v>
      </c>
      <c r="E51" s="939">
        <v>1</v>
      </c>
      <c r="F51" s="941">
        <v>1.9900000000000001E-2</v>
      </c>
      <c r="G51" s="940">
        <v>0.34300000000000003</v>
      </c>
      <c r="H51" s="939">
        <v>3.6</v>
      </c>
      <c r="I51" s="940">
        <v>3.3849999999999998</v>
      </c>
      <c r="J51" s="939">
        <v>4.3099999999999996</v>
      </c>
      <c r="K51" s="939">
        <v>402</v>
      </c>
      <c r="L51" s="939">
        <v>400</v>
      </c>
      <c r="M51" s="939">
        <v>400.1</v>
      </c>
      <c r="N51" s="939">
        <v>398.1</v>
      </c>
      <c r="O51" s="939">
        <v>1.9</v>
      </c>
      <c r="P51" s="939">
        <v>1.9</v>
      </c>
      <c r="Q51" s="886">
        <v>1.2999999999999999E-2</v>
      </c>
      <c r="R51" s="942">
        <f>IF('DREN. MEM. CAL.'!B52="simples",E51+0.6,IF('DREN. MEM. CAL.'!B52="duplo",E51*2+0.6,IF('DREN. MEM. CAL.'!B52="triplo",E51*3+0.6,"")))</f>
        <v>1.6</v>
      </c>
      <c r="S51" s="645"/>
    </row>
    <row r="52" spans="1:19" x14ac:dyDescent="0.25">
      <c r="A52" s="1411"/>
      <c r="B52" s="886" t="s">
        <v>773</v>
      </c>
      <c r="C52" s="939">
        <v>100.02</v>
      </c>
      <c r="D52" s="940">
        <v>0.85699999999999998</v>
      </c>
      <c r="E52" s="939">
        <v>1</v>
      </c>
      <c r="F52" s="941">
        <v>6.0000000000000001E-3</v>
      </c>
      <c r="G52" s="940">
        <v>0.47699999999999998</v>
      </c>
      <c r="H52" s="939">
        <v>2.3199999999999998</v>
      </c>
      <c r="I52" s="940">
        <v>1.857</v>
      </c>
      <c r="J52" s="939">
        <v>2.36</v>
      </c>
      <c r="K52" s="939">
        <v>400</v>
      </c>
      <c r="L52" s="939">
        <v>397.5</v>
      </c>
      <c r="M52" s="939">
        <v>398.1</v>
      </c>
      <c r="N52" s="939">
        <v>397.5</v>
      </c>
      <c r="O52" s="939">
        <v>1.9</v>
      </c>
      <c r="P52" s="939">
        <v>0</v>
      </c>
      <c r="Q52" s="886">
        <v>1.2999999999999999E-2</v>
      </c>
      <c r="R52" s="942">
        <f>IF('DREN. MEM. CAL.'!B53="simples",E52+0.6,IF('DREN. MEM. CAL.'!B53="duplo",E52*2+0.6,IF('DREN. MEM. CAL.'!B53="triplo",E52*3+0.6,"")))</f>
        <v>1.6</v>
      </c>
      <c r="S52" s="645"/>
    </row>
    <row r="53" spans="1:19" x14ac:dyDescent="0.25">
      <c r="A53" s="1409" t="s">
        <v>774</v>
      </c>
      <c r="B53" s="886" t="s">
        <v>775</v>
      </c>
      <c r="C53" s="939">
        <v>62.76</v>
      </c>
      <c r="D53" s="940">
        <v>4.8000000000000001E-2</v>
      </c>
      <c r="E53" s="939">
        <v>0.6</v>
      </c>
      <c r="F53" s="941">
        <v>2.07E-2</v>
      </c>
      <c r="G53" s="940">
        <v>0.158</v>
      </c>
      <c r="H53" s="939">
        <v>1.67</v>
      </c>
      <c r="I53" s="940">
        <v>0.88400000000000001</v>
      </c>
      <c r="J53" s="939">
        <v>3.13</v>
      </c>
      <c r="K53" s="939">
        <v>408.3</v>
      </c>
      <c r="L53" s="939">
        <v>407</v>
      </c>
      <c r="M53" s="939">
        <v>406.8</v>
      </c>
      <c r="N53" s="939">
        <v>405.5</v>
      </c>
      <c r="O53" s="939">
        <v>1.5</v>
      </c>
      <c r="P53" s="939">
        <v>1.5</v>
      </c>
      <c r="Q53" s="886">
        <v>1.2999999999999999E-2</v>
      </c>
      <c r="R53" s="942">
        <f>IF('DREN. MEM. CAL.'!B54="simples",E53+0.6,IF('DREN. MEM. CAL.'!B54="duplo",E53*2+0.6,IF('DREN. MEM. CAL.'!B54="triplo",E53*3+0.6,"")))</f>
        <v>1.2</v>
      </c>
    </row>
    <row r="54" spans="1:19" x14ac:dyDescent="0.25">
      <c r="A54" s="1411"/>
      <c r="B54" s="886" t="s">
        <v>776</v>
      </c>
      <c r="C54" s="939">
        <v>50.45</v>
      </c>
      <c r="D54" s="940">
        <v>4.8000000000000001E-2</v>
      </c>
      <c r="E54" s="939">
        <v>0.6</v>
      </c>
      <c r="F54" s="941">
        <v>1.6299999999999999E-2</v>
      </c>
      <c r="G54" s="940">
        <v>0.16800000000000001</v>
      </c>
      <c r="H54" s="939">
        <v>1.53</v>
      </c>
      <c r="I54" s="940">
        <v>0.78300000000000003</v>
      </c>
      <c r="J54" s="939">
        <v>2.77</v>
      </c>
      <c r="K54" s="939">
        <v>407</v>
      </c>
      <c r="L54" s="939">
        <v>406.18</v>
      </c>
      <c r="M54" s="939">
        <v>405.5</v>
      </c>
      <c r="N54" s="939">
        <v>404.68</v>
      </c>
      <c r="O54" s="939">
        <v>1.5</v>
      </c>
      <c r="P54" s="939">
        <v>1.5</v>
      </c>
      <c r="Q54" s="886">
        <v>1.2999999999999999E-2</v>
      </c>
      <c r="R54" s="942">
        <f>IF('DREN. MEM. CAL.'!B55="simples",E54+0.6,IF('DREN. MEM. CAL.'!B55="duplo",E54*2+0.6,IF('DREN. MEM. CAL.'!B55="triplo",E54*3+0.6,"")))</f>
        <v>1.2</v>
      </c>
      <c r="S54" s="645"/>
    </row>
    <row r="55" spans="1:19" x14ac:dyDescent="0.25">
      <c r="A55" s="1409" t="s">
        <v>777</v>
      </c>
      <c r="B55" s="886" t="s">
        <v>778</v>
      </c>
      <c r="C55" s="939">
        <v>62.31</v>
      </c>
      <c r="D55" s="940">
        <v>7.3999999999999996E-2</v>
      </c>
      <c r="E55" s="939">
        <v>0.6</v>
      </c>
      <c r="F55" s="941">
        <v>1.7999999999999999E-2</v>
      </c>
      <c r="G55" s="940">
        <v>0.20300000000000001</v>
      </c>
      <c r="H55" s="939">
        <v>1.81</v>
      </c>
      <c r="I55" s="940">
        <v>0.82299999999999995</v>
      </c>
      <c r="J55" s="939">
        <v>2.91</v>
      </c>
      <c r="K55" s="939">
        <v>406.33</v>
      </c>
      <c r="L55" s="939">
        <v>405.21</v>
      </c>
      <c r="M55" s="939">
        <v>404.83</v>
      </c>
      <c r="N55" s="939">
        <v>403.71</v>
      </c>
      <c r="O55" s="939">
        <v>1.5</v>
      </c>
      <c r="P55" s="939">
        <v>1.5</v>
      </c>
      <c r="Q55" s="886">
        <v>1.2999999999999999E-2</v>
      </c>
      <c r="R55" s="942">
        <f>IF('DREN. MEM. CAL.'!B56="simples",E55+0.6,IF('DREN. MEM. CAL.'!B56="duplo",E55*2+0.6,IF('DREN. MEM. CAL.'!B56="triplo",E55*3+0.6,"")))</f>
        <v>1.2</v>
      </c>
      <c r="S55" s="645"/>
    </row>
    <row r="56" spans="1:19" x14ac:dyDescent="0.25">
      <c r="A56" s="1410"/>
      <c r="B56" s="886" t="s">
        <v>779</v>
      </c>
      <c r="C56" s="939">
        <v>62.21</v>
      </c>
      <c r="D56" s="940">
        <v>0.219</v>
      </c>
      <c r="E56" s="939">
        <v>0.6</v>
      </c>
      <c r="F56" s="941">
        <v>1.7000000000000001E-2</v>
      </c>
      <c r="G56" s="940">
        <v>0.35699999999999998</v>
      </c>
      <c r="H56" s="939">
        <v>2.42</v>
      </c>
      <c r="I56" s="940">
        <v>0.80100000000000005</v>
      </c>
      <c r="J56" s="939">
        <v>2.83</v>
      </c>
      <c r="K56" s="939">
        <v>405.21</v>
      </c>
      <c r="L56" s="939">
        <v>404.15</v>
      </c>
      <c r="M56" s="939">
        <v>403.71</v>
      </c>
      <c r="N56" s="939">
        <v>402.65</v>
      </c>
      <c r="O56" s="939">
        <v>1.5</v>
      </c>
      <c r="P56" s="939">
        <v>1.5</v>
      </c>
      <c r="Q56" s="886">
        <v>1.2999999999999999E-2</v>
      </c>
      <c r="R56" s="942">
        <f>IF('DREN. MEM. CAL.'!B57="simples",E56+0.6,IF('DREN. MEM. CAL.'!B57="duplo",E56*2+0.6,IF('DREN. MEM. CAL.'!B57="triplo",E56*3+0.6,"")))</f>
        <v>1.2</v>
      </c>
    </row>
    <row r="57" spans="1:19" x14ac:dyDescent="0.25">
      <c r="A57" s="1410"/>
      <c r="B57" s="886" t="s">
        <v>780</v>
      </c>
      <c r="C57" s="939">
        <v>23.87</v>
      </c>
      <c r="D57" s="940">
        <v>0.34599999999999997</v>
      </c>
      <c r="E57" s="939">
        <v>0.6</v>
      </c>
      <c r="F57" s="941">
        <v>8.3999999999999995E-3</v>
      </c>
      <c r="G57" s="940">
        <v>0.56699999999999995</v>
      </c>
      <c r="H57" s="939">
        <v>2.09</v>
      </c>
      <c r="I57" s="940">
        <v>0.56200000000000006</v>
      </c>
      <c r="J57" s="939">
        <v>1.99</v>
      </c>
      <c r="K57" s="939">
        <v>404.15</v>
      </c>
      <c r="L57" s="939">
        <v>403.95</v>
      </c>
      <c r="M57" s="939">
        <v>402.65</v>
      </c>
      <c r="N57" s="939">
        <v>402.45</v>
      </c>
      <c r="O57" s="939">
        <v>1.5</v>
      </c>
      <c r="P57" s="939">
        <v>1.5</v>
      </c>
      <c r="Q57" s="886">
        <v>1.2999999999999999E-2</v>
      </c>
      <c r="R57" s="942">
        <f>IF('DREN. MEM. CAL.'!B58="simples",E57+0.6,IF('DREN. MEM. CAL.'!B58="duplo",E57*2+0.6,IF('DREN. MEM. CAL.'!B58="triplo",E57*3+0.6,"")))</f>
        <v>1.2</v>
      </c>
      <c r="S57" s="645"/>
    </row>
    <row r="58" spans="1:19" x14ac:dyDescent="0.25">
      <c r="A58" s="1410"/>
      <c r="B58" s="886" t="s">
        <v>781</v>
      </c>
      <c r="C58" s="939">
        <v>57.04</v>
      </c>
      <c r="D58" s="940">
        <v>0.42499999999999999</v>
      </c>
      <c r="E58" s="939">
        <v>1</v>
      </c>
      <c r="F58" s="941">
        <v>4.4000000000000003E-3</v>
      </c>
      <c r="G58" s="940">
        <v>0.35299999999999998</v>
      </c>
      <c r="H58" s="939">
        <v>1.71</v>
      </c>
      <c r="I58" s="940">
        <v>1.587</v>
      </c>
      <c r="J58" s="939">
        <v>2.02</v>
      </c>
      <c r="K58" s="939">
        <v>403.95</v>
      </c>
      <c r="L58" s="939">
        <v>403.7</v>
      </c>
      <c r="M58" s="939">
        <v>402.05</v>
      </c>
      <c r="N58" s="939">
        <v>401.8</v>
      </c>
      <c r="O58" s="939">
        <v>1.9</v>
      </c>
      <c r="P58" s="939">
        <v>1.9</v>
      </c>
      <c r="Q58" s="886">
        <v>1.2999999999999999E-2</v>
      </c>
      <c r="R58" s="942">
        <f>IF('DREN. MEM. CAL.'!B59="simples",E58+0.6,IF('DREN. MEM. CAL.'!B59="duplo",E58*2+0.6,IF('DREN. MEM. CAL.'!B59="triplo",E58*3+0.6,"")))</f>
        <v>1.6</v>
      </c>
      <c r="S58" s="645"/>
    </row>
    <row r="59" spans="1:19" x14ac:dyDescent="0.25">
      <c r="A59" s="1411"/>
      <c r="B59" s="886" t="s">
        <v>782</v>
      </c>
      <c r="C59" s="939">
        <v>59.21</v>
      </c>
      <c r="D59" s="940">
        <v>0.42499999999999999</v>
      </c>
      <c r="E59" s="939">
        <v>1</v>
      </c>
      <c r="F59" s="941">
        <v>4.1999999999999997E-3</v>
      </c>
      <c r="G59" s="940">
        <v>0.35699999999999998</v>
      </c>
      <c r="H59" s="939">
        <v>1.69</v>
      </c>
      <c r="I59" s="940">
        <v>1.5580000000000001</v>
      </c>
      <c r="J59" s="939">
        <v>1.98</v>
      </c>
      <c r="K59" s="939">
        <v>403.7</v>
      </c>
      <c r="L59" s="939">
        <v>403.45</v>
      </c>
      <c r="M59" s="939">
        <v>401.8</v>
      </c>
      <c r="N59" s="939">
        <v>401.55</v>
      </c>
      <c r="O59" s="939">
        <v>1.9</v>
      </c>
      <c r="P59" s="939">
        <v>1.9</v>
      </c>
      <c r="Q59" s="886">
        <v>1.2999999999999999E-2</v>
      </c>
      <c r="R59" s="942">
        <f>IF('DREN. MEM. CAL.'!B60="simples",E59+0.6,IF('DREN. MEM. CAL.'!B60="duplo",E59*2+0.6,IF('DREN. MEM. CAL.'!B60="triplo",E59*3+0.6,"")))</f>
        <v>1.6</v>
      </c>
    </row>
    <row r="60" spans="1:19" x14ac:dyDescent="0.25">
      <c r="A60" s="957" t="s">
        <v>783</v>
      </c>
      <c r="B60" s="886" t="s">
        <v>784</v>
      </c>
      <c r="C60" s="939">
        <v>28.77</v>
      </c>
      <c r="D60" s="940">
        <v>0.14000000000000001</v>
      </c>
      <c r="E60" s="939">
        <v>0.6</v>
      </c>
      <c r="F60" s="941">
        <v>4.4999999999999997E-3</v>
      </c>
      <c r="G60" s="940">
        <v>0.40100000000000002</v>
      </c>
      <c r="H60" s="939">
        <v>1.32</v>
      </c>
      <c r="I60" s="940">
        <v>0.41299999999999998</v>
      </c>
      <c r="J60" s="939">
        <v>1.46</v>
      </c>
      <c r="K60" s="939">
        <v>401.78</v>
      </c>
      <c r="L60" s="939">
        <v>402.35</v>
      </c>
      <c r="M60" s="939">
        <v>400.28</v>
      </c>
      <c r="N60" s="939">
        <v>400.15</v>
      </c>
      <c r="O60" s="939">
        <v>1.5</v>
      </c>
      <c r="P60" s="939">
        <v>2.2000000000000002</v>
      </c>
      <c r="Q60" s="886">
        <v>1.2999999999999999E-2</v>
      </c>
      <c r="R60" s="942">
        <f>IF('DREN. MEM. CAL.'!B61="simples",E60+0.6,IF('DREN. MEM. CAL.'!B61="duplo",E60*2+0.6,IF('DREN. MEM. CAL.'!B61="triplo",E60*3+0.6,"")))</f>
        <v>1.2</v>
      </c>
      <c r="S60" s="645"/>
    </row>
  </sheetData>
  <mergeCells count="10">
    <mergeCell ref="A39:A46"/>
    <mergeCell ref="A47:A52"/>
    <mergeCell ref="A53:A54"/>
    <mergeCell ref="A55:A59"/>
    <mergeCell ref="A1:R1"/>
    <mergeCell ref="A2:R2"/>
    <mergeCell ref="A4:A24"/>
    <mergeCell ref="A25:A30"/>
    <mergeCell ref="A31:A36"/>
    <mergeCell ref="A37:A38"/>
  </mergeCells>
  <printOptions horizontalCentered="1"/>
  <pageMargins left="0.59055118110236227" right="0.59055118110236227" top="1.7716535433070868" bottom="0.78740157480314965" header="0" footer="0"/>
  <pageSetup paperSize="9" scale="69" firstPageNumber="25" fitToHeight="100" orientation="landscape" r:id="rId1"/>
  <headerFooter scaleWithDoc="0">
    <oddHeader>&amp;L&amp;G</oddHeader>
  </headerFooter>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5">
    <tabColor rgb="FF00B0F0"/>
    <pageSetUpPr fitToPage="1"/>
  </sheetPr>
  <dimension ref="A1:G34"/>
  <sheetViews>
    <sheetView showGridLines="0" view="pageBreakPreview" topLeftCell="A19" zoomScale="85" zoomScaleNormal="85" zoomScaleSheetLayoutView="85" workbookViewId="0">
      <selection activeCell="K22" sqref="K22:L22"/>
    </sheetView>
  </sheetViews>
  <sheetFormatPr defaultColWidth="9.109375" defaultRowHeight="13.8" x14ac:dyDescent="0.25"/>
  <cols>
    <col min="1" max="1" width="9.44140625" style="971" customWidth="1"/>
    <col min="2" max="2" width="53.33203125" style="799" customWidth="1"/>
    <col min="3" max="3" width="29.6640625" style="799" customWidth="1"/>
    <col min="4" max="4" width="28.6640625" style="799" customWidth="1"/>
    <col min="5" max="5" width="15.6640625" style="799" customWidth="1"/>
    <col min="6" max="6" width="41.6640625" style="799" customWidth="1"/>
    <col min="7" max="7" width="15.6640625" style="799" customWidth="1"/>
    <col min="8" max="16384" width="9.109375" style="799"/>
  </cols>
  <sheetData>
    <row r="1" spans="1:7" ht="18" x14ac:dyDescent="0.2">
      <c r="A1" s="1424" t="s">
        <v>785</v>
      </c>
      <c r="B1" s="1424"/>
      <c r="C1" s="1424"/>
      <c r="D1" s="1424"/>
      <c r="E1" s="1424"/>
      <c r="F1" s="1424"/>
      <c r="G1" s="1425"/>
    </row>
    <row r="2" spans="1:7" s="958" customFormat="1" x14ac:dyDescent="0.25">
      <c r="A2" s="1420" t="s">
        <v>243</v>
      </c>
      <c r="B2" s="1420" t="s">
        <v>337</v>
      </c>
      <c r="C2" s="1421" t="s">
        <v>786</v>
      </c>
      <c r="D2" s="1421"/>
      <c r="E2" s="1422"/>
      <c r="F2" s="1423" t="s">
        <v>787</v>
      </c>
      <c r="G2" s="1422"/>
    </row>
    <row r="3" spans="1:7" s="958" customFormat="1" x14ac:dyDescent="0.25">
      <c r="A3" s="1290"/>
      <c r="B3" s="1290"/>
      <c r="C3" s="1423" t="s">
        <v>788</v>
      </c>
      <c r="D3" s="1422"/>
      <c r="E3" s="959" t="s">
        <v>789</v>
      </c>
      <c r="F3" s="1420" t="s">
        <v>788</v>
      </c>
      <c r="G3" s="959" t="s">
        <v>789</v>
      </c>
    </row>
    <row r="4" spans="1:7" s="958" customFormat="1" x14ac:dyDescent="0.25">
      <c r="A4" s="1291"/>
      <c r="B4" s="1291"/>
      <c r="C4" s="452" t="s">
        <v>790</v>
      </c>
      <c r="D4" s="960" t="s">
        <v>791</v>
      </c>
      <c r="E4" s="961" t="s">
        <v>792</v>
      </c>
      <c r="F4" s="1291"/>
      <c r="G4" s="962" t="s">
        <v>792</v>
      </c>
    </row>
    <row r="5" spans="1:7" s="958" customFormat="1" ht="16.5" x14ac:dyDescent="0.2">
      <c r="A5" s="963">
        <v>1</v>
      </c>
      <c r="B5" s="964" t="s">
        <v>349</v>
      </c>
      <c r="C5" s="965" t="s">
        <v>793</v>
      </c>
      <c r="D5" s="965" t="s">
        <v>794</v>
      </c>
      <c r="E5" s="966">
        <f>84.17+109.41+55.5+12.19+75.7+19.37</f>
        <v>356.34</v>
      </c>
      <c r="F5" s="965" t="s">
        <v>795</v>
      </c>
      <c r="G5" s="965">
        <f>13.13+13.31</f>
        <v>26.44</v>
      </c>
    </row>
    <row r="6" spans="1:7" s="958" customFormat="1" ht="16.5" x14ac:dyDescent="0.2">
      <c r="A6" s="963">
        <v>2</v>
      </c>
      <c r="B6" s="964" t="s">
        <v>796</v>
      </c>
      <c r="C6" s="965" t="s">
        <v>797</v>
      </c>
      <c r="D6" s="965" t="s">
        <v>798</v>
      </c>
      <c r="E6" s="966">
        <f>54.89+100.56+55.11+97.51</f>
        <v>308.07</v>
      </c>
      <c r="F6" s="965">
        <v>0</v>
      </c>
      <c r="G6" s="965">
        <v>0</v>
      </c>
    </row>
    <row r="7" spans="1:7" s="958" customFormat="1" ht="16.8" x14ac:dyDescent="0.25">
      <c r="A7" s="963">
        <v>3</v>
      </c>
      <c r="B7" s="964" t="s">
        <v>799</v>
      </c>
      <c r="C7" s="965" t="s">
        <v>800</v>
      </c>
      <c r="D7" s="965" t="s">
        <v>801</v>
      </c>
      <c r="E7" s="966">
        <f>57.57+95.85+57.88+95.74</f>
        <v>307.03999999999996</v>
      </c>
      <c r="F7" s="965">
        <v>0</v>
      </c>
      <c r="G7" s="965">
        <v>0</v>
      </c>
    </row>
    <row r="8" spans="1:7" s="958" customFormat="1" ht="16.5" x14ac:dyDescent="0.2">
      <c r="A8" s="963">
        <v>4</v>
      </c>
      <c r="B8" s="964" t="s">
        <v>802</v>
      </c>
      <c r="C8" s="965" t="s">
        <v>803</v>
      </c>
      <c r="D8" s="965" t="s">
        <v>804</v>
      </c>
      <c r="E8" s="966">
        <f>22.41+23.57+76.35+22.41+22.27+76.18</f>
        <v>243.19000000000003</v>
      </c>
      <c r="F8" s="965" t="s">
        <v>805</v>
      </c>
      <c r="G8" s="965">
        <f>18.91+18.71+9.13+9.17</f>
        <v>55.920000000000009</v>
      </c>
    </row>
    <row r="9" spans="1:7" s="958" customFormat="1" ht="16.5" x14ac:dyDescent="0.2">
      <c r="A9" s="963">
        <v>5</v>
      </c>
      <c r="B9" s="964" t="s">
        <v>806</v>
      </c>
      <c r="C9" s="965" t="s">
        <v>807</v>
      </c>
      <c r="D9" s="965" t="s">
        <v>808</v>
      </c>
      <c r="E9" s="966">
        <f>56.79+96.78+57.06+96.31</f>
        <v>306.94</v>
      </c>
      <c r="F9" s="965">
        <v>0</v>
      </c>
      <c r="G9" s="965">
        <v>0</v>
      </c>
    </row>
    <row r="10" spans="1:7" s="958" customFormat="1" ht="16.8" x14ac:dyDescent="0.25">
      <c r="A10" s="963">
        <v>6</v>
      </c>
      <c r="B10" s="964" t="s">
        <v>809</v>
      </c>
      <c r="C10" s="965" t="s">
        <v>810</v>
      </c>
      <c r="D10" s="965" t="s">
        <v>811</v>
      </c>
      <c r="E10" s="966">
        <f>59.78+59.49+26.37+59.93+59.47+26.6</f>
        <v>291.64000000000004</v>
      </c>
      <c r="F10" s="965" t="s">
        <v>812</v>
      </c>
      <c r="G10" s="965">
        <f>9.97+10.11</f>
        <v>20.079999999999998</v>
      </c>
    </row>
    <row r="11" spans="1:7" s="958" customFormat="1" ht="16.8" x14ac:dyDescent="0.25">
      <c r="A11" s="963">
        <v>7</v>
      </c>
      <c r="B11" s="964" t="s">
        <v>813</v>
      </c>
      <c r="C11" s="965" t="s">
        <v>814</v>
      </c>
      <c r="D11" s="965" t="s">
        <v>815</v>
      </c>
      <c r="E11" s="966">
        <f>62.92+95.76+63.17+95.77</f>
        <v>317.62</v>
      </c>
      <c r="F11" s="965">
        <v>0</v>
      </c>
      <c r="G11" s="965">
        <v>0</v>
      </c>
    </row>
    <row r="12" spans="1:7" s="958" customFormat="1" ht="16.5" x14ac:dyDescent="0.2">
      <c r="A12" s="963">
        <v>8</v>
      </c>
      <c r="B12" s="964" t="s">
        <v>816</v>
      </c>
      <c r="C12" s="965" t="s">
        <v>817</v>
      </c>
      <c r="D12" s="965" t="s">
        <v>818</v>
      </c>
      <c r="E12" s="966">
        <f>34.26+82.15+72.59+96.38+36.61+95.85+72.07+96.89</f>
        <v>586.80000000000007</v>
      </c>
      <c r="F12" s="965">
        <v>32.090000000000003</v>
      </c>
      <c r="G12" s="965">
        <f>F12</f>
        <v>32.090000000000003</v>
      </c>
    </row>
    <row r="13" spans="1:7" s="958" customFormat="1" ht="30" x14ac:dyDescent="0.2">
      <c r="A13" s="963">
        <v>9</v>
      </c>
      <c r="B13" s="964" t="s">
        <v>819</v>
      </c>
      <c r="C13" s="965" t="s">
        <v>820</v>
      </c>
      <c r="D13" s="965" t="s">
        <v>821</v>
      </c>
      <c r="E13" s="966">
        <f>12.91+46.88+95.9+71.72+97.24+12.8+46.92+95.92+72.05+96.9</f>
        <v>649.24</v>
      </c>
      <c r="F13" s="965" t="s">
        <v>822</v>
      </c>
      <c r="G13" s="965">
        <f>7.34+7.42</f>
        <v>14.76</v>
      </c>
    </row>
    <row r="14" spans="1:7" s="958" customFormat="1" ht="16.8" x14ac:dyDescent="0.25">
      <c r="A14" s="963">
        <v>10</v>
      </c>
      <c r="B14" s="964" t="s">
        <v>823</v>
      </c>
      <c r="C14" s="965" t="s">
        <v>824</v>
      </c>
      <c r="D14" s="965" t="s">
        <v>825</v>
      </c>
      <c r="E14" s="966">
        <f>35.88+96.69+72.84+96.08+36.16+96.76+73.17+95.74</f>
        <v>603.31999999999994</v>
      </c>
      <c r="F14" s="965">
        <v>0</v>
      </c>
      <c r="G14" s="965">
        <v>0</v>
      </c>
    </row>
    <row r="15" spans="1:7" s="958" customFormat="1" ht="16.5" x14ac:dyDescent="0.2">
      <c r="A15" s="963">
        <v>11</v>
      </c>
      <c r="B15" s="964" t="s">
        <v>826</v>
      </c>
      <c r="C15" s="965" t="s">
        <v>827</v>
      </c>
      <c r="D15" s="965" t="s">
        <v>828</v>
      </c>
      <c r="E15" s="966">
        <f>96.44+72.99+95.9+96.29+72.66+96.22</f>
        <v>530.50000000000011</v>
      </c>
      <c r="F15" s="965">
        <v>0</v>
      </c>
      <c r="G15" s="965">
        <v>0</v>
      </c>
    </row>
    <row r="16" spans="1:7" s="958" customFormat="1" ht="16.8" x14ac:dyDescent="0.25">
      <c r="A16" s="963">
        <v>12</v>
      </c>
      <c r="B16" s="964" t="s">
        <v>829</v>
      </c>
      <c r="C16" s="965" t="s">
        <v>830</v>
      </c>
      <c r="D16" s="965" t="s">
        <v>831</v>
      </c>
      <c r="E16" s="966">
        <f>36.46+95.86+71.95+96.99+36.58+95.87+71.72+97.31</f>
        <v>602.74</v>
      </c>
      <c r="F16" s="965">
        <v>0</v>
      </c>
      <c r="G16" s="965">
        <v>0</v>
      </c>
    </row>
    <row r="17" spans="1:7" s="958" customFormat="1" ht="16.5" x14ac:dyDescent="0.2">
      <c r="A17" s="963">
        <v>13</v>
      </c>
      <c r="B17" s="964" t="s">
        <v>437</v>
      </c>
      <c r="C17" s="965" t="s">
        <v>832</v>
      </c>
      <c r="D17" s="965" t="s">
        <v>833</v>
      </c>
      <c r="E17" s="966">
        <f>71.16+98.08+119.46+45.35</f>
        <v>334.05</v>
      </c>
      <c r="F17" s="965">
        <v>0</v>
      </c>
      <c r="G17" s="965">
        <v>0</v>
      </c>
    </row>
    <row r="18" spans="1:7" s="958" customFormat="1" ht="16.5" x14ac:dyDescent="0.2">
      <c r="A18" s="963">
        <v>14</v>
      </c>
      <c r="B18" s="964" t="s">
        <v>440</v>
      </c>
      <c r="C18" s="965" t="s">
        <v>834</v>
      </c>
      <c r="D18" s="965">
        <v>164.96</v>
      </c>
      <c r="E18" s="966">
        <f>119.24+29.47+164.96</f>
        <v>313.66999999999996</v>
      </c>
      <c r="F18" s="965">
        <v>0</v>
      </c>
      <c r="G18" s="965">
        <v>0</v>
      </c>
    </row>
    <row r="19" spans="1:7" s="958" customFormat="1" ht="45" x14ac:dyDescent="0.2">
      <c r="A19" s="963">
        <v>15</v>
      </c>
      <c r="B19" s="964" t="s">
        <v>443</v>
      </c>
      <c r="C19" s="965" t="s">
        <v>835</v>
      </c>
      <c r="D19" s="965" t="s">
        <v>836</v>
      </c>
      <c r="E19" s="966">
        <f>45.71+105.27+34.35+8.12+44.21+46.18+42.35+33.44+24.12+9.83+9.41+42.75</f>
        <v>445.74</v>
      </c>
      <c r="F19" s="965" t="s">
        <v>837</v>
      </c>
      <c r="G19" s="965">
        <f>7.32+7.45+7.4+7.32+7.48+7.33+7.36+7.41+7.4+11.29+7.29+7.33+7.42+7.39+7.36+7.39+7.4+7.26+7.36</f>
        <v>143.96</v>
      </c>
    </row>
    <row r="20" spans="1:7" s="958" customFormat="1" ht="60" x14ac:dyDescent="0.2">
      <c r="A20" s="963">
        <v>16</v>
      </c>
      <c r="B20" s="964" t="s">
        <v>446</v>
      </c>
      <c r="C20" s="965" t="s">
        <v>838</v>
      </c>
      <c r="D20" s="965" t="s">
        <v>839</v>
      </c>
      <c r="E20" s="966">
        <f>46.05+9.88+23.69+43.32+43.76+42.89+36.6+23.62+14.06+44.78+9.6+22.58+44.01+43+44.21+34.37</f>
        <v>526.41999999999996</v>
      </c>
      <c r="F20" s="965" t="s">
        <v>840</v>
      </c>
      <c r="G20" s="965">
        <f>7.32+7.37+7.33+7.33+7.43+7.4+7.37+7.37+7.4+10.33+10.28+7.44+7.32+7.44+7.32+7.38+7.38+7.39+7.39+7.39+7.31+7.37+7.45+7.4+7.38+7.36+7.39</f>
        <v>205.03999999999994</v>
      </c>
    </row>
    <row r="21" spans="1:7" s="958" customFormat="1" ht="135" x14ac:dyDescent="0.2">
      <c r="A21" s="963">
        <v>17</v>
      </c>
      <c r="B21" s="964" t="s">
        <v>841</v>
      </c>
      <c r="C21" s="965" t="s">
        <v>842</v>
      </c>
      <c r="D21" s="965" t="s">
        <v>843</v>
      </c>
      <c r="E21" s="966">
        <f>44.26+43.67+20.86+10.3+44.06+14.45+13.22+43.62+57.09+25.2+24.3+44.45+7.25+43.75+44+20.67+10+44.08+14.73+15.99+43.07+57.41+25.52+23.64+44.7+5.64</f>
        <v>785.93000000000006</v>
      </c>
      <c r="F21" s="965" t="s">
        <v>844</v>
      </c>
      <c r="G21" s="965">
        <f>7.49+7.28+7.46+7.31+7.49+7.28+7.28+7.53+7.24+7.48+12.37+12.12+7.46+7.3+7.46+7.3+7.48+7.37+7.4+7.29+12.74+13.1+7.54+7.22+7.26+7.26+43.72+44+7.37+7.39+7.42+7.35+7.34+7.39+7.38+7.42+7.41+7.35+7.43+7.34+7.52+7.19+7.57+7.25+19.19+19.12+7.33+7.33+7.34+7.49+7.32+7.45+7.32+7.44+7.86+6.91</f>
        <v>530.44999999999993</v>
      </c>
    </row>
    <row r="22" spans="1:7" s="958" customFormat="1" ht="60" x14ac:dyDescent="0.25">
      <c r="A22" s="963">
        <v>18</v>
      </c>
      <c r="B22" s="964" t="s">
        <v>461</v>
      </c>
      <c r="C22" s="965" t="s">
        <v>845</v>
      </c>
      <c r="D22" s="965">
        <v>0</v>
      </c>
      <c r="E22" s="966">
        <f>39.74+43.63+43.93+42.97+43.78+43.56+43.72+43.1+58.59+25.57+43.02+17.9+15.91</f>
        <v>505.42000000000007</v>
      </c>
      <c r="F22" s="965" t="s">
        <v>846</v>
      </c>
      <c r="G22" s="965">
        <f>30.35+15.04+7.38+7.36+7.4+7.36+7.4+7.37+7.39+7.38+7.37+7.39+7.39+7.37+7.37+7.39+7.33+7.44+7.43+7.33+7.42+7.34+7.44+7.32+10.33+7.58+6.98</f>
        <v>232.65000000000003</v>
      </c>
    </row>
    <row r="23" spans="1:7" s="958" customFormat="1" ht="30" x14ac:dyDescent="0.2">
      <c r="A23" s="963">
        <v>19</v>
      </c>
      <c r="B23" s="964" t="s">
        <v>464</v>
      </c>
      <c r="C23" s="965">
        <v>0</v>
      </c>
      <c r="D23" s="965" t="s">
        <v>847</v>
      </c>
      <c r="E23" s="966">
        <f>12.69+54.39+174.26+40.09+53.46+4.77</f>
        <v>339.65999999999991</v>
      </c>
      <c r="F23" s="965" t="s">
        <v>848</v>
      </c>
      <c r="G23" s="965">
        <f>4.79+12.93+4.02+10.92+16.19+8.53+4.91</f>
        <v>62.289999999999992</v>
      </c>
    </row>
    <row r="24" spans="1:7" s="958" customFormat="1" ht="16.5" x14ac:dyDescent="0.2">
      <c r="A24" s="963">
        <v>20</v>
      </c>
      <c r="B24" s="964" t="s">
        <v>458</v>
      </c>
      <c r="C24" s="965">
        <v>68.28</v>
      </c>
      <c r="D24" s="965">
        <v>68.53</v>
      </c>
      <c r="E24" s="966">
        <f>68.28+68.53</f>
        <v>136.81</v>
      </c>
      <c r="F24" s="965" t="s">
        <v>849</v>
      </c>
      <c r="G24" s="965">
        <f>7.41+7.35+7.34+7.42</f>
        <v>29.520000000000003</v>
      </c>
    </row>
    <row r="25" spans="1:7" ht="15" x14ac:dyDescent="0.2">
      <c r="A25" s="1417" t="s">
        <v>850</v>
      </c>
      <c r="B25" s="1417"/>
      <c r="C25" s="1417"/>
      <c r="D25" s="1418"/>
      <c r="E25" s="967">
        <f>SUM(E5:E24)</f>
        <v>8491.14</v>
      </c>
      <c r="F25" s="968"/>
      <c r="G25" s="967">
        <f>SUM(G5:G24)</f>
        <v>1353.1999999999998</v>
      </c>
    </row>
    <row r="26" spans="1:7" ht="18" x14ac:dyDescent="0.2">
      <c r="A26" s="1419" t="s">
        <v>851</v>
      </c>
      <c r="B26" s="1419"/>
      <c r="C26" s="1419"/>
      <c r="D26" s="1419"/>
      <c r="E26" s="1419"/>
      <c r="F26" s="1419"/>
      <c r="G26" s="1419"/>
    </row>
    <row r="27" spans="1:7" s="958" customFormat="1" x14ac:dyDescent="0.25">
      <c r="A27" s="1420" t="s">
        <v>243</v>
      </c>
      <c r="B27" s="1420" t="s">
        <v>337</v>
      </c>
      <c r="C27" s="1421" t="s">
        <v>786</v>
      </c>
      <c r="D27" s="1421"/>
      <c r="E27" s="1422"/>
      <c r="F27" s="1423" t="s">
        <v>787</v>
      </c>
      <c r="G27" s="1422"/>
    </row>
    <row r="28" spans="1:7" s="958" customFormat="1" x14ac:dyDescent="0.25">
      <c r="A28" s="1290"/>
      <c r="B28" s="1290"/>
      <c r="C28" s="1423" t="s">
        <v>788</v>
      </c>
      <c r="D28" s="1422"/>
      <c r="E28" s="959" t="s">
        <v>789</v>
      </c>
      <c r="F28" s="1420" t="s">
        <v>788</v>
      </c>
      <c r="G28" s="959" t="s">
        <v>789</v>
      </c>
    </row>
    <row r="29" spans="1:7" s="958" customFormat="1" x14ac:dyDescent="0.25">
      <c r="A29" s="1291"/>
      <c r="B29" s="1291"/>
      <c r="C29" s="452" t="s">
        <v>790</v>
      </c>
      <c r="D29" s="960" t="s">
        <v>791</v>
      </c>
      <c r="E29" s="961" t="s">
        <v>792</v>
      </c>
      <c r="F29" s="1291"/>
      <c r="G29" s="962" t="s">
        <v>792</v>
      </c>
    </row>
    <row r="30" spans="1:7" s="958" customFormat="1" ht="30" x14ac:dyDescent="0.25">
      <c r="A30" s="963">
        <v>1</v>
      </c>
      <c r="B30" s="964" t="s">
        <v>461</v>
      </c>
      <c r="C30" s="969">
        <v>0</v>
      </c>
      <c r="D30" s="969" t="s">
        <v>852</v>
      </c>
      <c r="E30" s="970">
        <v>683.03</v>
      </c>
      <c r="F30" s="969" t="s">
        <v>853</v>
      </c>
      <c r="G30" s="969">
        <v>104.47</v>
      </c>
    </row>
    <row r="31" spans="1:7" s="958" customFormat="1" ht="45" x14ac:dyDescent="0.2">
      <c r="A31" s="963">
        <v>2</v>
      </c>
      <c r="B31" s="964" t="s">
        <v>464</v>
      </c>
      <c r="C31" s="969" t="s">
        <v>854</v>
      </c>
      <c r="D31" s="969">
        <v>0</v>
      </c>
      <c r="E31" s="970">
        <v>359.45</v>
      </c>
      <c r="F31" s="969" t="s">
        <v>855</v>
      </c>
      <c r="G31" s="969">
        <v>39.239999999999995</v>
      </c>
    </row>
    <row r="32" spans="1:7" s="958" customFormat="1" ht="16.5" x14ac:dyDescent="0.2">
      <c r="A32" s="963">
        <v>3</v>
      </c>
      <c r="B32" s="964" t="s">
        <v>856</v>
      </c>
      <c r="C32" s="969">
        <v>9.82</v>
      </c>
      <c r="D32" s="969">
        <v>11.68</v>
      </c>
      <c r="E32" s="970">
        <v>21.5</v>
      </c>
      <c r="F32" s="969">
        <v>0</v>
      </c>
      <c r="G32" s="969">
        <v>0</v>
      </c>
    </row>
    <row r="33" spans="1:7" s="958" customFormat="1" ht="16.5" x14ac:dyDescent="0.2">
      <c r="A33" s="963">
        <v>4</v>
      </c>
      <c r="B33" s="964" t="s">
        <v>857</v>
      </c>
      <c r="C33" s="969">
        <v>10.69</v>
      </c>
      <c r="D33" s="969">
        <v>10.85</v>
      </c>
      <c r="E33" s="970">
        <v>21.54</v>
      </c>
      <c r="F33" s="969">
        <v>0</v>
      </c>
      <c r="G33" s="969">
        <v>0</v>
      </c>
    </row>
    <row r="34" spans="1:7" x14ac:dyDescent="0.25">
      <c r="A34" s="1417" t="s">
        <v>850</v>
      </c>
      <c r="B34" s="1417"/>
      <c r="C34" s="1417"/>
      <c r="D34" s="1418"/>
      <c r="E34" s="967">
        <f>SUM(E30:E33)</f>
        <v>1085.52</v>
      </c>
      <c r="F34" s="968"/>
      <c r="G34" s="967">
        <f>SUM(G30:G33)</f>
        <v>143.70999999999998</v>
      </c>
    </row>
  </sheetData>
  <mergeCells count="16">
    <mergeCell ref="A1:G1"/>
    <mergeCell ref="A2:A4"/>
    <mergeCell ref="B2:B4"/>
    <mergeCell ref="C2:E2"/>
    <mergeCell ref="F2:G2"/>
    <mergeCell ref="C3:D3"/>
    <mergeCell ref="F3:F4"/>
    <mergeCell ref="A34:D34"/>
    <mergeCell ref="A25:D25"/>
    <mergeCell ref="A26:G26"/>
    <mergeCell ref="A27:A29"/>
    <mergeCell ref="B27:B29"/>
    <mergeCell ref="C27:E27"/>
    <mergeCell ref="F27:G27"/>
    <mergeCell ref="C28:D28"/>
    <mergeCell ref="F28:F29"/>
  </mergeCells>
  <printOptions horizontalCentered="1"/>
  <pageMargins left="0.59055118110236227" right="0.59055118110236227" top="1.7716535433070868" bottom="0.78740157480314965" header="0" footer="0"/>
  <pageSetup paperSize="9" scale="47" firstPageNumber="25" orientation="landscape" r:id="rId1"/>
  <headerFooter scaleWithDoc="0">
    <oddHeader>&amp;L&amp;G</oddHeader>
  </headerFooter>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tabColor rgb="FF00B0F0"/>
    <pageSetUpPr fitToPage="1"/>
  </sheetPr>
  <dimension ref="B1:V381"/>
  <sheetViews>
    <sheetView view="pageBreakPreview" zoomScale="70" zoomScaleNormal="85" zoomScaleSheetLayoutView="70" workbookViewId="0">
      <selection activeCell="K22" sqref="K22:L22"/>
    </sheetView>
  </sheetViews>
  <sheetFormatPr defaultRowHeight="13.8" x14ac:dyDescent="0.25"/>
  <cols>
    <col min="1" max="1" width="4.33203125" style="972" customWidth="1"/>
    <col min="2" max="2" width="8.88671875" style="972" customWidth="1"/>
    <col min="3" max="3" width="11" style="972" bestFit="1" customWidth="1"/>
    <col min="4" max="4" width="8.33203125" style="972" bestFit="1" customWidth="1"/>
    <col min="5" max="5" width="7" style="972" bestFit="1" customWidth="1"/>
    <col min="6" max="6" width="11.33203125" style="972" customWidth="1"/>
    <col min="7" max="7" width="7.88671875" style="972" bestFit="1" customWidth="1"/>
    <col min="8" max="8" width="7.109375" style="972" customWidth="1"/>
    <col min="9" max="9" width="7" style="972" customWidth="1"/>
    <col min="10" max="10" width="8.109375" style="972" customWidth="1"/>
    <col min="11" max="11" width="11.5546875" style="972" customWidth="1"/>
    <col min="12" max="12" width="12.88671875" style="972" customWidth="1"/>
    <col min="13" max="13" width="11.109375" style="972" customWidth="1"/>
    <col min="14" max="14" width="13.33203125" style="975" customWidth="1"/>
    <col min="15" max="15" width="9.44140625" style="972" customWidth="1"/>
    <col min="16" max="16" width="10.5546875" style="972" customWidth="1"/>
    <col min="17" max="17" width="10.33203125" style="972" customWidth="1"/>
    <col min="18" max="18" width="11.88671875" style="972" customWidth="1"/>
    <col min="19" max="19" width="22" style="972" customWidth="1"/>
    <col min="20" max="20" width="8.33203125" style="972" customWidth="1"/>
    <col min="21" max="22" width="4.5546875" style="972" bestFit="1" customWidth="1"/>
    <col min="23" max="24" width="9.109375" style="972"/>
    <col min="25" max="25" width="11.44140625" style="972" bestFit="1" customWidth="1"/>
    <col min="26" max="28" width="9.109375" style="972"/>
    <col min="29" max="29" width="11.44140625" style="972" bestFit="1" customWidth="1"/>
    <col min="30" max="31" width="9.109375" style="972"/>
    <col min="32" max="32" width="10.109375" style="972" bestFit="1" customWidth="1"/>
    <col min="33" max="33" width="11.44140625" style="972" bestFit="1" customWidth="1"/>
    <col min="34" max="254" width="9.109375" style="972"/>
    <col min="255" max="255" width="4.33203125" style="972" customWidth="1"/>
    <col min="256" max="256" width="9.109375" style="972" bestFit="1" customWidth="1"/>
    <col min="257" max="257" width="12" style="972" customWidth="1"/>
    <col min="258" max="258" width="14.6640625" style="972" customWidth="1"/>
    <col min="259" max="259" width="13.109375" style="972" customWidth="1"/>
    <col min="260" max="260" width="9.5546875" style="972" customWidth="1"/>
    <col min="261" max="261" width="13.33203125" style="972" customWidth="1"/>
    <col min="262" max="262" width="16.5546875" style="972" bestFit="1" customWidth="1"/>
    <col min="263" max="263" width="10.88671875" style="972" bestFit="1" customWidth="1"/>
    <col min="264" max="264" width="8.33203125" style="972" bestFit="1" customWidth="1"/>
    <col min="265" max="265" width="16" style="972" customWidth="1"/>
    <col min="266" max="266" width="15.44140625" style="972" bestFit="1" customWidth="1"/>
    <col min="267" max="267" width="16" style="972" customWidth="1"/>
    <col min="268" max="268" width="11.44140625" style="972" bestFit="1" customWidth="1"/>
    <col min="269" max="269" width="14.109375" style="972" customWidth="1"/>
    <col min="270" max="270" width="15" style="972" bestFit="1" customWidth="1"/>
    <col min="271" max="271" width="13.33203125" style="972" bestFit="1" customWidth="1"/>
    <col min="272" max="272" width="15" style="972" bestFit="1" customWidth="1"/>
    <col min="273" max="273" width="13" style="972" customWidth="1"/>
    <col min="274" max="274" width="26.44140625" style="972" bestFit="1" customWidth="1"/>
    <col min="275" max="275" width="8.33203125" style="972" customWidth="1"/>
    <col min="276" max="276" width="9.109375" style="972"/>
    <col min="277" max="277" width="11.44140625" style="972" bestFit="1" customWidth="1"/>
    <col min="278" max="280" width="9.109375" style="972"/>
    <col min="281" max="281" width="11.44140625" style="972" bestFit="1" customWidth="1"/>
    <col min="282" max="284" width="9.109375" style="972"/>
    <col min="285" max="285" width="11.44140625" style="972" bestFit="1" customWidth="1"/>
    <col min="286" max="287" width="9.109375" style="972"/>
    <col min="288" max="288" width="10.109375" style="972" bestFit="1" customWidth="1"/>
    <col min="289" max="289" width="11.44140625" style="972" bestFit="1" customWidth="1"/>
    <col min="290" max="510" width="9.109375" style="972"/>
    <col min="511" max="511" width="4.33203125" style="972" customWidth="1"/>
    <col min="512" max="512" width="9.109375" style="972" bestFit="1" customWidth="1"/>
    <col min="513" max="513" width="12" style="972" customWidth="1"/>
    <col min="514" max="514" width="14.6640625" style="972" customWidth="1"/>
    <col min="515" max="515" width="13.109375" style="972" customWidth="1"/>
    <col min="516" max="516" width="9.5546875" style="972" customWidth="1"/>
    <col min="517" max="517" width="13.33203125" style="972" customWidth="1"/>
    <col min="518" max="518" width="16.5546875" style="972" bestFit="1" customWidth="1"/>
    <col min="519" max="519" width="10.88671875" style="972" bestFit="1" customWidth="1"/>
    <col min="520" max="520" width="8.33203125" style="972" bestFit="1" customWidth="1"/>
    <col min="521" max="521" width="16" style="972" customWidth="1"/>
    <col min="522" max="522" width="15.44140625" style="972" bestFit="1" customWidth="1"/>
    <col min="523" max="523" width="16" style="972" customWidth="1"/>
    <col min="524" max="524" width="11.44140625" style="972" bestFit="1" customWidth="1"/>
    <col min="525" max="525" width="14.109375" style="972" customWidth="1"/>
    <col min="526" max="526" width="15" style="972" bestFit="1" customWidth="1"/>
    <col min="527" max="527" width="13.33203125" style="972" bestFit="1" customWidth="1"/>
    <col min="528" max="528" width="15" style="972" bestFit="1" customWidth="1"/>
    <col min="529" max="529" width="13" style="972" customWidth="1"/>
    <col min="530" max="530" width="26.44140625" style="972" bestFit="1" customWidth="1"/>
    <col min="531" max="531" width="8.33203125" style="972" customWidth="1"/>
    <col min="532" max="532" width="9.109375" style="972"/>
    <col min="533" max="533" width="11.44140625" style="972" bestFit="1" customWidth="1"/>
    <col min="534" max="536" width="9.109375" style="972"/>
    <col min="537" max="537" width="11.44140625" style="972" bestFit="1" customWidth="1"/>
    <col min="538" max="540" width="9.109375" style="972"/>
    <col min="541" max="541" width="11.44140625" style="972" bestFit="1" customWidth="1"/>
    <col min="542" max="543" width="9.109375" style="972"/>
    <col min="544" max="544" width="10.109375" style="972" bestFit="1" customWidth="1"/>
    <col min="545" max="545" width="11.44140625" style="972" bestFit="1" customWidth="1"/>
    <col min="546" max="766" width="9.109375" style="972"/>
    <col min="767" max="767" width="4.33203125" style="972" customWidth="1"/>
    <col min="768" max="768" width="9.109375" style="972" bestFit="1" customWidth="1"/>
    <col min="769" max="769" width="12" style="972" customWidth="1"/>
    <col min="770" max="770" width="14.6640625" style="972" customWidth="1"/>
    <col min="771" max="771" width="13.109375" style="972" customWidth="1"/>
    <col min="772" max="772" width="9.5546875" style="972" customWidth="1"/>
    <col min="773" max="773" width="13.33203125" style="972" customWidth="1"/>
    <col min="774" max="774" width="16.5546875" style="972" bestFit="1" customWidth="1"/>
    <col min="775" max="775" width="10.88671875" style="972" bestFit="1" customWidth="1"/>
    <col min="776" max="776" width="8.33203125" style="972" bestFit="1" customWidth="1"/>
    <col min="777" max="777" width="16" style="972" customWidth="1"/>
    <col min="778" max="778" width="15.44140625" style="972" bestFit="1" customWidth="1"/>
    <col min="779" max="779" width="16" style="972" customWidth="1"/>
    <col min="780" max="780" width="11.44140625" style="972" bestFit="1" customWidth="1"/>
    <col min="781" max="781" width="14.109375" style="972" customWidth="1"/>
    <col min="782" max="782" width="15" style="972" bestFit="1" customWidth="1"/>
    <col min="783" max="783" width="13.33203125" style="972" bestFit="1" customWidth="1"/>
    <col min="784" max="784" width="15" style="972" bestFit="1" customWidth="1"/>
    <col min="785" max="785" width="13" style="972" customWidth="1"/>
    <col min="786" max="786" width="26.44140625" style="972" bestFit="1" customWidth="1"/>
    <col min="787" max="787" width="8.33203125" style="972" customWidth="1"/>
    <col min="788" max="788" width="9.109375" style="972"/>
    <col min="789" max="789" width="11.44140625" style="972" bestFit="1" customWidth="1"/>
    <col min="790" max="792" width="9.109375" style="972"/>
    <col min="793" max="793" width="11.44140625" style="972" bestFit="1" customWidth="1"/>
    <col min="794" max="796" width="9.109375" style="972"/>
    <col min="797" max="797" width="11.44140625" style="972" bestFit="1" customWidth="1"/>
    <col min="798" max="799" width="9.109375" style="972"/>
    <col min="800" max="800" width="10.109375" style="972" bestFit="1" customWidth="1"/>
    <col min="801" max="801" width="11.44140625" style="972" bestFit="1" customWidth="1"/>
    <col min="802" max="1022" width="9.109375" style="972"/>
    <col min="1023" max="1023" width="4.33203125" style="972" customWidth="1"/>
    <col min="1024" max="1024" width="9.109375" style="972" bestFit="1" customWidth="1"/>
    <col min="1025" max="1025" width="12" style="972" customWidth="1"/>
    <col min="1026" max="1026" width="14.6640625" style="972" customWidth="1"/>
    <col min="1027" max="1027" width="13.109375" style="972" customWidth="1"/>
    <col min="1028" max="1028" width="9.5546875" style="972" customWidth="1"/>
    <col min="1029" max="1029" width="13.33203125" style="972" customWidth="1"/>
    <col min="1030" max="1030" width="16.5546875" style="972" bestFit="1" customWidth="1"/>
    <col min="1031" max="1031" width="10.88671875" style="972" bestFit="1" customWidth="1"/>
    <col min="1032" max="1032" width="8.33203125" style="972" bestFit="1" customWidth="1"/>
    <col min="1033" max="1033" width="16" style="972" customWidth="1"/>
    <col min="1034" max="1034" width="15.44140625" style="972" bestFit="1" customWidth="1"/>
    <col min="1035" max="1035" width="16" style="972" customWidth="1"/>
    <col min="1036" max="1036" width="11.44140625" style="972" bestFit="1" customWidth="1"/>
    <col min="1037" max="1037" width="14.109375" style="972" customWidth="1"/>
    <col min="1038" max="1038" width="15" style="972" bestFit="1" customWidth="1"/>
    <col min="1039" max="1039" width="13.33203125" style="972" bestFit="1" customWidth="1"/>
    <col min="1040" max="1040" width="15" style="972" bestFit="1" customWidth="1"/>
    <col min="1041" max="1041" width="13" style="972" customWidth="1"/>
    <col min="1042" max="1042" width="26.44140625" style="972" bestFit="1" customWidth="1"/>
    <col min="1043" max="1043" width="8.33203125" style="972" customWidth="1"/>
    <col min="1044" max="1044" width="9.109375" style="972"/>
    <col min="1045" max="1045" width="11.44140625" style="972" bestFit="1" customWidth="1"/>
    <col min="1046" max="1048" width="9.109375" style="972"/>
    <col min="1049" max="1049" width="11.44140625" style="972" bestFit="1" customWidth="1"/>
    <col min="1050" max="1052" width="9.109375" style="972"/>
    <col min="1053" max="1053" width="11.44140625" style="972" bestFit="1" customWidth="1"/>
    <col min="1054" max="1055" width="9.109375" style="972"/>
    <col min="1056" max="1056" width="10.109375" style="972" bestFit="1" customWidth="1"/>
    <col min="1057" max="1057" width="11.44140625" style="972" bestFit="1" customWidth="1"/>
    <col min="1058" max="1278" width="9.109375" style="972"/>
    <col min="1279" max="1279" width="4.33203125" style="972" customWidth="1"/>
    <col min="1280" max="1280" width="9.109375" style="972" bestFit="1" customWidth="1"/>
    <col min="1281" max="1281" width="12" style="972" customWidth="1"/>
    <col min="1282" max="1282" width="14.6640625" style="972" customWidth="1"/>
    <col min="1283" max="1283" width="13.109375" style="972" customWidth="1"/>
    <col min="1284" max="1284" width="9.5546875" style="972" customWidth="1"/>
    <col min="1285" max="1285" width="13.33203125" style="972" customWidth="1"/>
    <col min="1286" max="1286" width="16.5546875" style="972" bestFit="1" customWidth="1"/>
    <col min="1287" max="1287" width="10.88671875" style="972" bestFit="1" customWidth="1"/>
    <col min="1288" max="1288" width="8.33203125" style="972" bestFit="1" customWidth="1"/>
    <col min="1289" max="1289" width="16" style="972" customWidth="1"/>
    <col min="1290" max="1290" width="15.44140625" style="972" bestFit="1" customWidth="1"/>
    <col min="1291" max="1291" width="16" style="972" customWidth="1"/>
    <col min="1292" max="1292" width="11.44140625" style="972" bestFit="1" customWidth="1"/>
    <col min="1293" max="1293" width="14.109375" style="972" customWidth="1"/>
    <col min="1294" max="1294" width="15" style="972" bestFit="1" customWidth="1"/>
    <col min="1295" max="1295" width="13.33203125" style="972" bestFit="1" customWidth="1"/>
    <col min="1296" max="1296" width="15" style="972" bestFit="1" customWidth="1"/>
    <col min="1297" max="1297" width="13" style="972" customWidth="1"/>
    <col min="1298" max="1298" width="26.44140625" style="972" bestFit="1" customWidth="1"/>
    <col min="1299" max="1299" width="8.33203125" style="972" customWidth="1"/>
    <col min="1300" max="1300" width="9.109375" style="972"/>
    <col min="1301" max="1301" width="11.44140625" style="972" bestFit="1" customWidth="1"/>
    <col min="1302" max="1304" width="9.109375" style="972"/>
    <col min="1305" max="1305" width="11.44140625" style="972" bestFit="1" customWidth="1"/>
    <col min="1306" max="1308" width="9.109375" style="972"/>
    <col min="1309" max="1309" width="11.44140625" style="972" bestFit="1" customWidth="1"/>
    <col min="1310" max="1311" width="9.109375" style="972"/>
    <col min="1312" max="1312" width="10.109375" style="972" bestFit="1" customWidth="1"/>
    <col min="1313" max="1313" width="11.44140625" style="972" bestFit="1" customWidth="1"/>
    <col min="1314" max="1534" width="9.109375" style="972"/>
    <col min="1535" max="1535" width="4.33203125" style="972" customWidth="1"/>
    <col min="1536" max="1536" width="9.109375" style="972" bestFit="1" customWidth="1"/>
    <col min="1537" max="1537" width="12" style="972" customWidth="1"/>
    <col min="1538" max="1538" width="14.6640625" style="972" customWidth="1"/>
    <col min="1539" max="1539" width="13.109375" style="972" customWidth="1"/>
    <col min="1540" max="1540" width="9.5546875" style="972" customWidth="1"/>
    <col min="1541" max="1541" width="13.33203125" style="972" customWidth="1"/>
    <col min="1542" max="1542" width="16.5546875" style="972" bestFit="1" customWidth="1"/>
    <col min="1543" max="1543" width="10.88671875" style="972" bestFit="1" customWidth="1"/>
    <col min="1544" max="1544" width="8.33203125" style="972" bestFit="1" customWidth="1"/>
    <col min="1545" max="1545" width="16" style="972" customWidth="1"/>
    <col min="1546" max="1546" width="15.44140625" style="972" bestFit="1" customWidth="1"/>
    <col min="1547" max="1547" width="16" style="972" customWidth="1"/>
    <col min="1548" max="1548" width="11.44140625" style="972" bestFit="1" customWidth="1"/>
    <col min="1549" max="1549" width="14.109375" style="972" customWidth="1"/>
    <col min="1550" max="1550" width="15" style="972" bestFit="1" customWidth="1"/>
    <col min="1551" max="1551" width="13.33203125" style="972" bestFit="1" customWidth="1"/>
    <col min="1552" max="1552" width="15" style="972" bestFit="1" customWidth="1"/>
    <col min="1553" max="1553" width="13" style="972" customWidth="1"/>
    <col min="1554" max="1554" width="26.44140625" style="972" bestFit="1" customWidth="1"/>
    <col min="1555" max="1555" width="8.33203125" style="972" customWidth="1"/>
    <col min="1556" max="1556" width="9.109375" style="972"/>
    <col min="1557" max="1557" width="11.44140625" style="972" bestFit="1" customWidth="1"/>
    <col min="1558" max="1560" width="9.109375" style="972"/>
    <col min="1561" max="1561" width="11.44140625" style="972" bestFit="1" customWidth="1"/>
    <col min="1562" max="1564" width="9.109375" style="972"/>
    <col min="1565" max="1565" width="11.44140625" style="972" bestFit="1" customWidth="1"/>
    <col min="1566" max="1567" width="9.109375" style="972"/>
    <col min="1568" max="1568" width="10.109375" style="972" bestFit="1" customWidth="1"/>
    <col min="1569" max="1569" width="11.44140625" style="972" bestFit="1" customWidth="1"/>
    <col min="1570" max="1790" width="9.109375" style="972"/>
    <col min="1791" max="1791" width="4.33203125" style="972" customWidth="1"/>
    <col min="1792" max="1792" width="9.109375" style="972" bestFit="1" customWidth="1"/>
    <col min="1793" max="1793" width="12" style="972" customWidth="1"/>
    <col min="1794" max="1794" width="14.6640625" style="972" customWidth="1"/>
    <col min="1795" max="1795" width="13.109375" style="972" customWidth="1"/>
    <col min="1796" max="1796" width="9.5546875" style="972" customWidth="1"/>
    <col min="1797" max="1797" width="13.33203125" style="972" customWidth="1"/>
    <col min="1798" max="1798" width="16.5546875" style="972" bestFit="1" customWidth="1"/>
    <col min="1799" max="1799" width="10.88671875" style="972" bestFit="1" customWidth="1"/>
    <col min="1800" max="1800" width="8.33203125" style="972" bestFit="1" customWidth="1"/>
    <col min="1801" max="1801" width="16" style="972" customWidth="1"/>
    <col min="1802" max="1802" width="15.44140625" style="972" bestFit="1" customWidth="1"/>
    <col min="1803" max="1803" width="16" style="972" customWidth="1"/>
    <col min="1804" max="1804" width="11.44140625" style="972" bestFit="1" customWidth="1"/>
    <col min="1805" max="1805" width="14.109375" style="972" customWidth="1"/>
    <col min="1806" max="1806" width="15" style="972" bestFit="1" customWidth="1"/>
    <col min="1807" max="1807" width="13.33203125" style="972" bestFit="1" customWidth="1"/>
    <col min="1808" max="1808" width="15" style="972" bestFit="1" customWidth="1"/>
    <col min="1809" max="1809" width="13" style="972" customWidth="1"/>
    <col min="1810" max="1810" width="26.44140625" style="972" bestFit="1" customWidth="1"/>
    <col min="1811" max="1811" width="8.33203125" style="972" customWidth="1"/>
    <col min="1812" max="1812" width="9.109375" style="972"/>
    <col min="1813" max="1813" width="11.44140625" style="972" bestFit="1" customWidth="1"/>
    <col min="1814" max="1816" width="9.109375" style="972"/>
    <col min="1817" max="1817" width="11.44140625" style="972" bestFit="1" customWidth="1"/>
    <col min="1818" max="1820" width="9.109375" style="972"/>
    <col min="1821" max="1821" width="11.44140625" style="972" bestFit="1" customWidth="1"/>
    <col min="1822" max="1823" width="9.109375" style="972"/>
    <col min="1824" max="1824" width="10.109375" style="972" bestFit="1" customWidth="1"/>
    <col min="1825" max="1825" width="11.44140625" style="972" bestFit="1" customWidth="1"/>
    <col min="1826" max="2046" width="9.109375" style="972"/>
    <col min="2047" max="2047" width="4.33203125" style="972" customWidth="1"/>
    <col min="2048" max="2048" width="9.109375" style="972" bestFit="1" customWidth="1"/>
    <col min="2049" max="2049" width="12" style="972" customWidth="1"/>
    <col min="2050" max="2050" width="14.6640625" style="972" customWidth="1"/>
    <col min="2051" max="2051" width="13.109375" style="972" customWidth="1"/>
    <col min="2052" max="2052" width="9.5546875" style="972" customWidth="1"/>
    <col min="2053" max="2053" width="13.33203125" style="972" customWidth="1"/>
    <col min="2054" max="2054" width="16.5546875" style="972" bestFit="1" customWidth="1"/>
    <col min="2055" max="2055" width="10.88671875" style="972" bestFit="1" customWidth="1"/>
    <col min="2056" max="2056" width="8.33203125" style="972" bestFit="1" customWidth="1"/>
    <col min="2057" max="2057" width="16" style="972" customWidth="1"/>
    <col min="2058" max="2058" width="15.44140625" style="972" bestFit="1" customWidth="1"/>
    <col min="2059" max="2059" width="16" style="972" customWidth="1"/>
    <col min="2060" max="2060" width="11.44140625" style="972" bestFit="1" customWidth="1"/>
    <col min="2061" max="2061" width="14.109375" style="972" customWidth="1"/>
    <col min="2062" max="2062" width="15" style="972" bestFit="1" customWidth="1"/>
    <col min="2063" max="2063" width="13.33203125" style="972" bestFit="1" customWidth="1"/>
    <col min="2064" max="2064" width="15" style="972" bestFit="1" customWidth="1"/>
    <col min="2065" max="2065" width="13" style="972" customWidth="1"/>
    <col min="2066" max="2066" width="26.44140625" style="972" bestFit="1" customWidth="1"/>
    <col min="2067" max="2067" width="8.33203125" style="972" customWidth="1"/>
    <col min="2068" max="2068" width="9.109375" style="972"/>
    <col min="2069" max="2069" width="11.44140625" style="972" bestFit="1" customWidth="1"/>
    <col min="2070" max="2072" width="9.109375" style="972"/>
    <col min="2073" max="2073" width="11.44140625" style="972" bestFit="1" customWidth="1"/>
    <col min="2074" max="2076" width="9.109375" style="972"/>
    <col min="2077" max="2077" width="11.44140625" style="972" bestFit="1" customWidth="1"/>
    <col min="2078" max="2079" width="9.109375" style="972"/>
    <col min="2080" max="2080" width="10.109375" style="972" bestFit="1" customWidth="1"/>
    <col min="2081" max="2081" width="11.44140625" style="972" bestFit="1" customWidth="1"/>
    <col min="2082" max="2302" width="9.109375" style="972"/>
    <col min="2303" max="2303" width="4.33203125" style="972" customWidth="1"/>
    <col min="2304" max="2304" width="9.109375" style="972" bestFit="1" customWidth="1"/>
    <col min="2305" max="2305" width="12" style="972" customWidth="1"/>
    <col min="2306" max="2306" width="14.6640625" style="972" customWidth="1"/>
    <col min="2307" max="2307" width="13.109375" style="972" customWidth="1"/>
    <col min="2308" max="2308" width="9.5546875" style="972" customWidth="1"/>
    <col min="2309" max="2309" width="13.33203125" style="972" customWidth="1"/>
    <col min="2310" max="2310" width="16.5546875" style="972" bestFit="1" customWidth="1"/>
    <col min="2311" max="2311" width="10.88671875" style="972" bestFit="1" customWidth="1"/>
    <col min="2312" max="2312" width="8.33203125" style="972" bestFit="1" customWidth="1"/>
    <col min="2313" max="2313" width="16" style="972" customWidth="1"/>
    <col min="2314" max="2314" width="15.44140625" style="972" bestFit="1" customWidth="1"/>
    <col min="2315" max="2315" width="16" style="972" customWidth="1"/>
    <col min="2316" max="2316" width="11.44140625" style="972" bestFit="1" customWidth="1"/>
    <col min="2317" max="2317" width="14.109375" style="972" customWidth="1"/>
    <col min="2318" max="2318" width="15" style="972" bestFit="1" customWidth="1"/>
    <col min="2319" max="2319" width="13.33203125" style="972" bestFit="1" customWidth="1"/>
    <col min="2320" max="2320" width="15" style="972" bestFit="1" customWidth="1"/>
    <col min="2321" max="2321" width="13" style="972" customWidth="1"/>
    <col min="2322" max="2322" width="26.44140625" style="972" bestFit="1" customWidth="1"/>
    <col min="2323" max="2323" width="8.33203125" style="972" customWidth="1"/>
    <col min="2324" max="2324" width="9.109375" style="972"/>
    <col min="2325" max="2325" width="11.44140625" style="972" bestFit="1" customWidth="1"/>
    <col min="2326" max="2328" width="9.109375" style="972"/>
    <col min="2329" max="2329" width="11.44140625" style="972" bestFit="1" customWidth="1"/>
    <col min="2330" max="2332" width="9.109375" style="972"/>
    <col min="2333" max="2333" width="11.44140625" style="972" bestFit="1" customWidth="1"/>
    <col min="2334" max="2335" width="9.109375" style="972"/>
    <col min="2336" max="2336" width="10.109375" style="972" bestFit="1" customWidth="1"/>
    <col min="2337" max="2337" width="11.44140625" style="972" bestFit="1" customWidth="1"/>
    <col min="2338" max="2558" width="9.109375" style="972"/>
    <col min="2559" max="2559" width="4.33203125" style="972" customWidth="1"/>
    <col min="2560" max="2560" width="9.109375" style="972" bestFit="1" customWidth="1"/>
    <col min="2561" max="2561" width="12" style="972" customWidth="1"/>
    <col min="2562" max="2562" width="14.6640625" style="972" customWidth="1"/>
    <col min="2563" max="2563" width="13.109375" style="972" customWidth="1"/>
    <col min="2564" max="2564" width="9.5546875" style="972" customWidth="1"/>
    <col min="2565" max="2565" width="13.33203125" style="972" customWidth="1"/>
    <col min="2566" max="2566" width="16.5546875" style="972" bestFit="1" customWidth="1"/>
    <col min="2567" max="2567" width="10.88671875" style="972" bestFit="1" customWidth="1"/>
    <col min="2568" max="2568" width="8.33203125" style="972" bestFit="1" customWidth="1"/>
    <col min="2569" max="2569" width="16" style="972" customWidth="1"/>
    <col min="2570" max="2570" width="15.44140625" style="972" bestFit="1" customWidth="1"/>
    <col min="2571" max="2571" width="16" style="972" customWidth="1"/>
    <col min="2572" max="2572" width="11.44140625" style="972" bestFit="1" customWidth="1"/>
    <col min="2573" max="2573" width="14.109375" style="972" customWidth="1"/>
    <col min="2574" max="2574" width="15" style="972" bestFit="1" customWidth="1"/>
    <col min="2575" max="2575" width="13.33203125" style="972" bestFit="1" customWidth="1"/>
    <col min="2576" max="2576" width="15" style="972" bestFit="1" customWidth="1"/>
    <col min="2577" max="2577" width="13" style="972" customWidth="1"/>
    <col min="2578" max="2578" width="26.44140625" style="972" bestFit="1" customWidth="1"/>
    <col min="2579" max="2579" width="8.33203125" style="972" customWidth="1"/>
    <col min="2580" max="2580" width="9.109375" style="972"/>
    <col min="2581" max="2581" width="11.44140625" style="972" bestFit="1" customWidth="1"/>
    <col min="2582" max="2584" width="9.109375" style="972"/>
    <col min="2585" max="2585" width="11.44140625" style="972" bestFit="1" customWidth="1"/>
    <col min="2586" max="2588" width="9.109375" style="972"/>
    <col min="2589" max="2589" width="11.44140625" style="972" bestFit="1" customWidth="1"/>
    <col min="2590" max="2591" width="9.109375" style="972"/>
    <col min="2592" max="2592" width="10.109375" style="972" bestFit="1" customWidth="1"/>
    <col min="2593" max="2593" width="11.44140625" style="972" bestFit="1" customWidth="1"/>
    <col min="2594" max="2814" width="9.109375" style="972"/>
    <col min="2815" max="2815" width="4.33203125" style="972" customWidth="1"/>
    <col min="2816" max="2816" width="9.109375" style="972" bestFit="1" customWidth="1"/>
    <col min="2817" max="2817" width="12" style="972" customWidth="1"/>
    <col min="2818" max="2818" width="14.6640625" style="972" customWidth="1"/>
    <col min="2819" max="2819" width="13.109375" style="972" customWidth="1"/>
    <col min="2820" max="2820" width="9.5546875" style="972" customWidth="1"/>
    <col min="2821" max="2821" width="13.33203125" style="972" customWidth="1"/>
    <col min="2822" max="2822" width="16.5546875" style="972" bestFit="1" customWidth="1"/>
    <col min="2823" max="2823" width="10.88671875" style="972" bestFit="1" customWidth="1"/>
    <col min="2824" max="2824" width="8.33203125" style="972" bestFit="1" customWidth="1"/>
    <col min="2825" max="2825" width="16" style="972" customWidth="1"/>
    <col min="2826" max="2826" width="15.44140625" style="972" bestFit="1" customWidth="1"/>
    <col min="2827" max="2827" width="16" style="972" customWidth="1"/>
    <col min="2828" max="2828" width="11.44140625" style="972" bestFit="1" customWidth="1"/>
    <col min="2829" max="2829" width="14.109375" style="972" customWidth="1"/>
    <col min="2830" max="2830" width="15" style="972" bestFit="1" customWidth="1"/>
    <col min="2831" max="2831" width="13.33203125" style="972" bestFit="1" customWidth="1"/>
    <col min="2832" max="2832" width="15" style="972" bestFit="1" customWidth="1"/>
    <col min="2833" max="2833" width="13" style="972" customWidth="1"/>
    <col min="2834" max="2834" width="26.44140625" style="972" bestFit="1" customWidth="1"/>
    <col min="2835" max="2835" width="8.33203125" style="972" customWidth="1"/>
    <col min="2836" max="2836" width="9.109375" style="972"/>
    <col min="2837" max="2837" width="11.44140625" style="972" bestFit="1" customWidth="1"/>
    <col min="2838" max="2840" width="9.109375" style="972"/>
    <col min="2841" max="2841" width="11.44140625" style="972" bestFit="1" customWidth="1"/>
    <col min="2842" max="2844" width="9.109375" style="972"/>
    <col min="2845" max="2845" width="11.44140625" style="972" bestFit="1" customWidth="1"/>
    <col min="2846" max="2847" width="9.109375" style="972"/>
    <col min="2848" max="2848" width="10.109375" style="972" bestFit="1" customWidth="1"/>
    <col min="2849" max="2849" width="11.44140625" style="972" bestFit="1" customWidth="1"/>
    <col min="2850" max="3070" width="9.109375" style="972"/>
    <col min="3071" max="3071" width="4.33203125" style="972" customWidth="1"/>
    <col min="3072" max="3072" width="9.109375" style="972" bestFit="1" customWidth="1"/>
    <col min="3073" max="3073" width="12" style="972" customWidth="1"/>
    <col min="3074" max="3074" width="14.6640625" style="972" customWidth="1"/>
    <col min="3075" max="3075" width="13.109375" style="972" customWidth="1"/>
    <col min="3076" max="3076" width="9.5546875" style="972" customWidth="1"/>
    <col min="3077" max="3077" width="13.33203125" style="972" customWidth="1"/>
    <col min="3078" max="3078" width="16.5546875" style="972" bestFit="1" customWidth="1"/>
    <col min="3079" max="3079" width="10.88671875" style="972" bestFit="1" customWidth="1"/>
    <col min="3080" max="3080" width="8.33203125" style="972" bestFit="1" customWidth="1"/>
    <col min="3081" max="3081" width="16" style="972" customWidth="1"/>
    <col min="3082" max="3082" width="15.44140625" style="972" bestFit="1" customWidth="1"/>
    <col min="3083" max="3083" width="16" style="972" customWidth="1"/>
    <col min="3084" max="3084" width="11.44140625" style="972" bestFit="1" customWidth="1"/>
    <col min="3085" max="3085" width="14.109375" style="972" customWidth="1"/>
    <col min="3086" max="3086" width="15" style="972" bestFit="1" customWidth="1"/>
    <col min="3087" max="3087" width="13.33203125" style="972" bestFit="1" customWidth="1"/>
    <col min="3088" max="3088" width="15" style="972" bestFit="1" customWidth="1"/>
    <col min="3089" max="3089" width="13" style="972" customWidth="1"/>
    <col min="3090" max="3090" width="26.44140625" style="972" bestFit="1" customWidth="1"/>
    <col min="3091" max="3091" width="8.33203125" style="972" customWidth="1"/>
    <col min="3092" max="3092" width="9.109375" style="972"/>
    <col min="3093" max="3093" width="11.44140625" style="972" bestFit="1" customWidth="1"/>
    <col min="3094" max="3096" width="9.109375" style="972"/>
    <col min="3097" max="3097" width="11.44140625" style="972" bestFit="1" customWidth="1"/>
    <col min="3098" max="3100" width="9.109375" style="972"/>
    <col min="3101" max="3101" width="11.44140625" style="972" bestFit="1" customWidth="1"/>
    <col min="3102" max="3103" width="9.109375" style="972"/>
    <col min="3104" max="3104" width="10.109375" style="972" bestFit="1" customWidth="1"/>
    <col min="3105" max="3105" width="11.44140625" style="972" bestFit="1" customWidth="1"/>
    <col min="3106" max="3326" width="9.109375" style="972"/>
    <col min="3327" max="3327" width="4.33203125" style="972" customWidth="1"/>
    <col min="3328" max="3328" width="9.109375" style="972" bestFit="1" customWidth="1"/>
    <col min="3329" max="3329" width="12" style="972" customWidth="1"/>
    <col min="3330" max="3330" width="14.6640625" style="972" customWidth="1"/>
    <col min="3331" max="3331" width="13.109375" style="972" customWidth="1"/>
    <col min="3332" max="3332" width="9.5546875" style="972" customWidth="1"/>
    <col min="3333" max="3333" width="13.33203125" style="972" customWidth="1"/>
    <col min="3334" max="3334" width="16.5546875" style="972" bestFit="1" customWidth="1"/>
    <col min="3335" max="3335" width="10.88671875" style="972" bestFit="1" customWidth="1"/>
    <col min="3336" max="3336" width="8.33203125" style="972" bestFit="1" customWidth="1"/>
    <col min="3337" max="3337" width="16" style="972" customWidth="1"/>
    <col min="3338" max="3338" width="15.44140625" style="972" bestFit="1" customWidth="1"/>
    <col min="3339" max="3339" width="16" style="972" customWidth="1"/>
    <col min="3340" max="3340" width="11.44140625" style="972" bestFit="1" customWidth="1"/>
    <col min="3341" max="3341" width="14.109375" style="972" customWidth="1"/>
    <col min="3342" max="3342" width="15" style="972" bestFit="1" customWidth="1"/>
    <col min="3343" max="3343" width="13.33203125" style="972" bestFit="1" customWidth="1"/>
    <col min="3344" max="3344" width="15" style="972" bestFit="1" customWidth="1"/>
    <col min="3345" max="3345" width="13" style="972" customWidth="1"/>
    <col min="3346" max="3346" width="26.44140625" style="972" bestFit="1" customWidth="1"/>
    <col min="3347" max="3347" width="8.33203125" style="972" customWidth="1"/>
    <col min="3348" max="3348" width="9.109375" style="972"/>
    <col min="3349" max="3349" width="11.44140625" style="972" bestFit="1" customWidth="1"/>
    <col min="3350" max="3352" width="9.109375" style="972"/>
    <col min="3353" max="3353" width="11.44140625" style="972" bestFit="1" customWidth="1"/>
    <col min="3354" max="3356" width="9.109375" style="972"/>
    <col min="3357" max="3357" width="11.44140625" style="972" bestFit="1" customWidth="1"/>
    <col min="3358" max="3359" width="9.109375" style="972"/>
    <col min="3360" max="3360" width="10.109375" style="972" bestFit="1" customWidth="1"/>
    <col min="3361" max="3361" width="11.44140625" style="972" bestFit="1" customWidth="1"/>
    <col min="3362" max="3582" width="9.109375" style="972"/>
    <col min="3583" max="3583" width="4.33203125" style="972" customWidth="1"/>
    <col min="3584" max="3584" width="9.109375" style="972" bestFit="1" customWidth="1"/>
    <col min="3585" max="3585" width="12" style="972" customWidth="1"/>
    <col min="3586" max="3586" width="14.6640625" style="972" customWidth="1"/>
    <col min="3587" max="3587" width="13.109375" style="972" customWidth="1"/>
    <col min="3588" max="3588" width="9.5546875" style="972" customWidth="1"/>
    <col min="3589" max="3589" width="13.33203125" style="972" customWidth="1"/>
    <col min="3590" max="3590" width="16.5546875" style="972" bestFit="1" customWidth="1"/>
    <col min="3591" max="3591" width="10.88671875" style="972" bestFit="1" customWidth="1"/>
    <col min="3592" max="3592" width="8.33203125" style="972" bestFit="1" customWidth="1"/>
    <col min="3593" max="3593" width="16" style="972" customWidth="1"/>
    <col min="3594" max="3594" width="15.44140625" style="972" bestFit="1" customWidth="1"/>
    <col min="3595" max="3595" width="16" style="972" customWidth="1"/>
    <col min="3596" max="3596" width="11.44140625" style="972" bestFit="1" customWidth="1"/>
    <col min="3597" max="3597" width="14.109375" style="972" customWidth="1"/>
    <col min="3598" max="3598" width="15" style="972" bestFit="1" customWidth="1"/>
    <col min="3599" max="3599" width="13.33203125" style="972" bestFit="1" customWidth="1"/>
    <col min="3600" max="3600" width="15" style="972" bestFit="1" customWidth="1"/>
    <col min="3601" max="3601" width="13" style="972" customWidth="1"/>
    <col min="3602" max="3602" width="26.44140625" style="972" bestFit="1" customWidth="1"/>
    <col min="3603" max="3603" width="8.33203125" style="972" customWidth="1"/>
    <col min="3604" max="3604" width="9.109375" style="972"/>
    <col min="3605" max="3605" width="11.44140625" style="972" bestFit="1" customWidth="1"/>
    <col min="3606" max="3608" width="9.109375" style="972"/>
    <col min="3609" max="3609" width="11.44140625" style="972" bestFit="1" customWidth="1"/>
    <col min="3610" max="3612" width="9.109375" style="972"/>
    <col min="3613" max="3613" width="11.44140625" style="972" bestFit="1" customWidth="1"/>
    <col min="3614" max="3615" width="9.109375" style="972"/>
    <col min="3616" max="3616" width="10.109375" style="972" bestFit="1" customWidth="1"/>
    <col min="3617" max="3617" width="11.44140625" style="972" bestFit="1" customWidth="1"/>
    <col min="3618" max="3838" width="9.109375" style="972"/>
    <col min="3839" max="3839" width="4.33203125" style="972" customWidth="1"/>
    <col min="3840" max="3840" width="9.109375" style="972" bestFit="1" customWidth="1"/>
    <col min="3841" max="3841" width="12" style="972" customWidth="1"/>
    <col min="3842" max="3842" width="14.6640625" style="972" customWidth="1"/>
    <col min="3843" max="3843" width="13.109375" style="972" customWidth="1"/>
    <col min="3844" max="3844" width="9.5546875" style="972" customWidth="1"/>
    <col min="3845" max="3845" width="13.33203125" style="972" customWidth="1"/>
    <col min="3846" max="3846" width="16.5546875" style="972" bestFit="1" customWidth="1"/>
    <col min="3847" max="3847" width="10.88671875" style="972" bestFit="1" customWidth="1"/>
    <col min="3848" max="3848" width="8.33203125" style="972" bestFit="1" customWidth="1"/>
    <col min="3849" max="3849" width="16" style="972" customWidth="1"/>
    <col min="3850" max="3850" width="15.44140625" style="972" bestFit="1" customWidth="1"/>
    <col min="3851" max="3851" width="16" style="972" customWidth="1"/>
    <col min="3852" max="3852" width="11.44140625" style="972" bestFit="1" customWidth="1"/>
    <col min="3853" max="3853" width="14.109375" style="972" customWidth="1"/>
    <col min="3854" max="3854" width="15" style="972" bestFit="1" customWidth="1"/>
    <col min="3855" max="3855" width="13.33203125" style="972" bestFit="1" customWidth="1"/>
    <col min="3856" max="3856" width="15" style="972" bestFit="1" customWidth="1"/>
    <col min="3857" max="3857" width="13" style="972" customWidth="1"/>
    <col min="3858" max="3858" width="26.44140625" style="972" bestFit="1" customWidth="1"/>
    <col min="3859" max="3859" width="8.33203125" style="972" customWidth="1"/>
    <col min="3860" max="3860" width="9.109375" style="972"/>
    <col min="3861" max="3861" width="11.44140625" style="972" bestFit="1" customWidth="1"/>
    <col min="3862" max="3864" width="9.109375" style="972"/>
    <col min="3865" max="3865" width="11.44140625" style="972" bestFit="1" customWidth="1"/>
    <col min="3866" max="3868" width="9.109375" style="972"/>
    <col min="3869" max="3869" width="11.44140625" style="972" bestFit="1" customWidth="1"/>
    <col min="3870" max="3871" width="9.109375" style="972"/>
    <col min="3872" max="3872" width="10.109375" style="972" bestFit="1" customWidth="1"/>
    <col min="3873" max="3873" width="11.44140625" style="972" bestFit="1" customWidth="1"/>
    <col min="3874" max="4094" width="9.109375" style="972"/>
    <col min="4095" max="4095" width="4.33203125" style="972" customWidth="1"/>
    <col min="4096" max="4096" width="9.109375" style="972" bestFit="1" customWidth="1"/>
    <col min="4097" max="4097" width="12" style="972" customWidth="1"/>
    <col min="4098" max="4098" width="14.6640625" style="972" customWidth="1"/>
    <col min="4099" max="4099" width="13.109375" style="972" customWidth="1"/>
    <col min="4100" max="4100" width="9.5546875" style="972" customWidth="1"/>
    <col min="4101" max="4101" width="13.33203125" style="972" customWidth="1"/>
    <col min="4102" max="4102" width="16.5546875" style="972" bestFit="1" customWidth="1"/>
    <col min="4103" max="4103" width="10.88671875" style="972" bestFit="1" customWidth="1"/>
    <col min="4104" max="4104" width="8.33203125" style="972" bestFit="1" customWidth="1"/>
    <col min="4105" max="4105" width="16" style="972" customWidth="1"/>
    <col min="4106" max="4106" width="15.44140625" style="972" bestFit="1" customWidth="1"/>
    <col min="4107" max="4107" width="16" style="972" customWidth="1"/>
    <col min="4108" max="4108" width="11.44140625" style="972" bestFit="1" customWidth="1"/>
    <col min="4109" max="4109" width="14.109375" style="972" customWidth="1"/>
    <col min="4110" max="4110" width="15" style="972" bestFit="1" customWidth="1"/>
    <col min="4111" max="4111" width="13.33203125" style="972" bestFit="1" customWidth="1"/>
    <col min="4112" max="4112" width="15" style="972" bestFit="1" customWidth="1"/>
    <col min="4113" max="4113" width="13" style="972" customWidth="1"/>
    <col min="4114" max="4114" width="26.44140625" style="972" bestFit="1" customWidth="1"/>
    <col min="4115" max="4115" width="8.33203125" style="972" customWidth="1"/>
    <col min="4116" max="4116" width="9.109375" style="972"/>
    <col min="4117" max="4117" width="11.44140625" style="972" bestFit="1" customWidth="1"/>
    <col min="4118" max="4120" width="9.109375" style="972"/>
    <col min="4121" max="4121" width="11.44140625" style="972" bestFit="1" customWidth="1"/>
    <col min="4122" max="4124" width="9.109375" style="972"/>
    <col min="4125" max="4125" width="11.44140625" style="972" bestFit="1" customWidth="1"/>
    <col min="4126" max="4127" width="9.109375" style="972"/>
    <col min="4128" max="4128" width="10.109375" style="972" bestFit="1" customWidth="1"/>
    <col min="4129" max="4129" width="11.44140625" style="972" bestFit="1" customWidth="1"/>
    <col min="4130" max="4350" width="9.109375" style="972"/>
    <col min="4351" max="4351" width="4.33203125" style="972" customWidth="1"/>
    <col min="4352" max="4352" width="9.109375" style="972" bestFit="1" customWidth="1"/>
    <col min="4353" max="4353" width="12" style="972" customWidth="1"/>
    <col min="4354" max="4354" width="14.6640625" style="972" customWidth="1"/>
    <col min="4355" max="4355" width="13.109375" style="972" customWidth="1"/>
    <col min="4356" max="4356" width="9.5546875" style="972" customWidth="1"/>
    <col min="4357" max="4357" width="13.33203125" style="972" customWidth="1"/>
    <col min="4358" max="4358" width="16.5546875" style="972" bestFit="1" customWidth="1"/>
    <col min="4359" max="4359" width="10.88671875" style="972" bestFit="1" customWidth="1"/>
    <col min="4360" max="4360" width="8.33203125" style="972" bestFit="1" customWidth="1"/>
    <col min="4361" max="4361" width="16" style="972" customWidth="1"/>
    <col min="4362" max="4362" width="15.44140625" style="972" bestFit="1" customWidth="1"/>
    <col min="4363" max="4363" width="16" style="972" customWidth="1"/>
    <col min="4364" max="4364" width="11.44140625" style="972" bestFit="1" customWidth="1"/>
    <col min="4365" max="4365" width="14.109375" style="972" customWidth="1"/>
    <col min="4366" max="4366" width="15" style="972" bestFit="1" customWidth="1"/>
    <col min="4367" max="4367" width="13.33203125" style="972" bestFit="1" customWidth="1"/>
    <col min="4368" max="4368" width="15" style="972" bestFit="1" customWidth="1"/>
    <col min="4369" max="4369" width="13" style="972" customWidth="1"/>
    <col min="4370" max="4370" width="26.44140625" style="972" bestFit="1" customWidth="1"/>
    <col min="4371" max="4371" width="8.33203125" style="972" customWidth="1"/>
    <col min="4372" max="4372" width="9.109375" style="972"/>
    <col min="4373" max="4373" width="11.44140625" style="972" bestFit="1" customWidth="1"/>
    <col min="4374" max="4376" width="9.109375" style="972"/>
    <col min="4377" max="4377" width="11.44140625" style="972" bestFit="1" customWidth="1"/>
    <col min="4378" max="4380" width="9.109375" style="972"/>
    <col min="4381" max="4381" width="11.44140625" style="972" bestFit="1" customWidth="1"/>
    <col min="4382" max="4383" width="9.109375" style="972"/>
    <col min="4384" max="4384" width="10.109375" style="972" bestFit="1" customWidth="1"/>
    <col min="4385" max="4385" width="11.44140625" style="972" bestFit="1" customWidth="1"/>
    <col min="4386" max="4606" width="9.109375" style="972"/>
    <col min="4607" max="4607" width="4.33203125" style="972" customWidth="1"/>
    <col min="4608" max="4608" width="9.109375" style="972" bestFit="1" customWidth="1"/>
    <col min="4609" max="4609" width="12" style="972" customWidth="1"/>
    <col min="4610" max="4610" width="14.6640625" style="972" customWidth="1"/>
    <col min="4611" max="4611" width="13.109375" style="972" customWidth="1"/>
    <col min="4612" max="4612" width="9.5546875" style="972" customWidth="1"/>
    <col min="4613" max="4613" width="13.33203125" style="972" customWidth="1"/>
    <col min="4614" max="4614" width="16.5546875" style="972" bestFit="1" customWidth="1"/>
    <col min="4615" max="4615" width="10.88671875" style="972" bestFit="1" customWidth="1"/>
    <col min="4616" max="4616" width="8.33203125" style="972" bestFit="1" customWidth="1"/>
    <col min="4617" max="4617" width="16" style="972" customWidth="1"/>
    <col min="4618" max="4618" width="15.44140625" style="972" bestFit="1" customWidth="1"/>
    <col min="4619" max="4619" width="16" style="972" customWidth="1"/>
    <col min="4620" max="4620" width="11.44140625" style="972" bestFit="1" customWidth="1"/>
    <col min="4621" max="4621" width="14.109375" style="972" customWidth="1"/>
    <col min="4622" max="4622" width="15" style="972" bestFit="1" customWidth="1"/>
    <col min="4623" max="4623" width="13.33203125" style="972" bestFit="1" customWidth="1"/>
    <col min="4624" max="4624" width="15" style="972" bestFit="1" customWidth="1"/>
    <col min="4625" max="4625" width="13" style="972" customWidth="1"/>
    <col min="4626" max="4626" width="26.44140625" style="972" bestFit="1" customWidth="1"/>
    <col min="4627" max="4627" width="8.33203125" style="972" customWidth="1"/>
    <col min="4628" max="4628" width="9.109375" style="972"/>
    <col min="4629" max="4629" width="11.44140625" style="972" bestFit="1" customWidth="1"/>
    <col min="4630" max="4632" width="9.109375" style="972"/>
    <col min="4633" max="4633" width="11.44140625" style="972" bestFit="1" customWidth="1"/>
    <col min="4634" max="4636" width="9.109375" style="972"/>
    <col min="4637" max="4637" width="11.44140625" style="972" bestFit="1" customWidth="1"/>
    <col min="4638" max="4639" width="9.109375" style="972"/>
    <col min="4640" max="4640" width="10.109375" style="972" bestFit="1" customWidth="1"/>
    <col min="4641" max="4641" width="11.44140625" style="972" bestFit="1" customWidth="1"/>
    <col min="4642" max="4862" width="9.109375" style="972"/>
    <col min="4863" max="4863" width="4.33203125" style="972" customWidth="1"/>
    <col min="4864" max="4864" width="9.109375" style="972" bestFit="1" customWidth="1"/>
    <col min="4865" max="4865" width="12" style="972" customWidth="1"/>
    <col min="4866" max="4866" width="14.6640625" style="972" customWidth="1"/>
    <col min="4867" max="4867" width="13.109375" style="972" customWidth="1"/>
    <col min="4868" max="4868" width="9.5546875" style="972" customWidth="1"/>
    <col min="4869" max="4869" width="13.33203125" style="972" customWidth="1"/>
    <col min="4870" max="4870" width="16.5546875" style="972" bestFit="1" customWidth="1"/>
    <col min="4871" max="4871" width="10.88671875" style="972" bestFit="1" customWidth="1"/>
    <col min="4872" max="4872" width="8.33203125" style="972" bestFit="1" customWidth="1"/>
    <col min="4873" max="4873" width="16" style="972" customWidth="1"/>
    <col min="4874" max="4874" width="15.44140625" style="972" bestFit="1" customWidth="1"/>
    <col min="4875" max="4875" width="16" style="972" customWidth="1"/>
    <col min="4876" max="4876" width="11.44140625" style="972" bestFit="1" customWidth="1"/>
    <col min="4877" max="4877" width="14.109375" style="972" customWidth="1"/>
    <col min="4878" max="4878" width="15" style="972" bestFit="1" customWidth="1"/>
    <col min="4879" max="4879" width="13.33203125" style="972" bestFit="1" customWidth="1"/>
    <col min="4880" max="4880" width="15" style="972" bestFit="1" customWidth="1"/>
    <col min="4881" max="4881" width="13" style="972" customWidth="1"/>
    <col min="4882" max="4882" width="26.44140625" style="972" bestFit="1" customWidth="1"/>
    <col min="4883" max="4883" width="8.33203125" style="972" customWidth="1"/>
    <col min="4884" max="4884" width="9.109375" style="972"/>
    <col min="4885" max="4885" width="11.44140625" style="972" bestFit="1" customWidth="1"/>
    <col min="4886" max="4888" width="9.109375" style="972"/>
    <col min="4889" max="4889" width="11.44140625" style="972" bestFit="1" customWidth="1"/>
    <col min="4890" max="4892" width="9.109375" style="972"/>
    <col min="4893" max="4893" width="11.44140625" style="972" bestFit="1" customWidth="1"/>
    <col min="4894" max="4895" width="9.109375" style="972"/>
    <col min="4896" max="4896" width="10.109375" style="972" bestFit="1" customWidth="1"/>
    <col min="4897" max="4897" width="11.44140625" style="972" bestFit="1" customWidth="1"/>
    <col min="4898" max="5118" width="9.109375" style="972"/>
    <col min="5119" max="5119" width="4.33203125" style="972" customWidth="1"/>
    <col min="5120" max="5120" width="9.109375" style="972" bestFit="1" customWidth="1"/>
    <col min="5121" max="5121" width="12" style="972" customWidth="1"/>
    <col min="5122" max="5122" width="14.6640625" style="972" customWidth="1"/>
    <col min="5123" max="5123" width="13.109375" style="972" customWidth="1"/>
    <col min="5124" max="5124" width="9.5546875" style="972" customWidth="1"/>
    <col min="5125" max="5125" width="13.33203125" style="972" customWidth="1"/>
    <col min="5126" max="5126" width="16.5546875" style="972" bestFit="1" customWidth="1"/>
    <col min="5127" max="5127" width="10.88671875" style="972" bestFit="1" customWidth="1"/>
    <col min="5128" max="5128" width="8.33203125" style="972" bestFit="1" customWidth="1"/>
    <col min="5129" max="5129" width="16" style="972" customWidth="1"/>
    <col min="5130" max="5130" width="15.44140625" style="972" bestFit="1" customWidth="1"/>
    <col min="5131" max="5131" width="16" style="972" customWidth="1"/>
    <col min="5132" max="5132" width="11.44140625" style="972" bestFit="1" customWidth="1"/>
    <col min="5133" max="5133" width="14.109375" style="972" customWidth="1"/>
    <col min="5134" max="5134" width="15" style="972" bestFit="1" customWidth="1"/>
    <col min="5135" max="5135" width="13.33203125" style="972" bestFit="1" customWidth="1"/>
    <col min="5136" max="5136" width="15" style="972" bestFit="1" customWidth="1"/>
    <col min="5137" max="5137" width="13" style="972" customWidth="1"/>
    <col min="5138" max="5138" width="26.44140625" style="972" bestFit="1" customWidth="1"/>
    <col min="5139" max="5139" width="8.33203125" style="972" customWidth="1"/>
    <col min="5140" max="5140" width="9.109375" style="972"/>
    <col min="5141" max="5141" width="11.44140625" style="972" bestFit="1" customWidth="1"/>
    <col min="5142" max="5144" width="9.109375" style="972"/>
    <col min="5145" max="5145" width="11.44140625" style="972" bestFit="1" customWidth="1"/>
    <col min="5146" max="5148" width="9.109375" style="972"/>
    <col min="5149" max="5149" width="11.44140625" style="972" bestFit="1" customWidth="1"/>
    <col min="5150" max="5151" width="9.109375" style="972"/>
    <col min="5152" max="5152" width="10.109375" style="972" bestFit="1" customWidth="1"/>
    <col min="5153" max="5153" width="11.44140625" style="972" bestFit="1" customWidth="1"/>
    <col min="5154" max="5374" width="9.109375" style="972"/>
    <col min="5375" max="5375" width="4.33203125" style="972" customWidth="1"/>
    <col min="5376" max="5376" width="9.109375" style="972" bestFit="1" customWidth="1"/>
    <col min="5377" max="5377" width="12" style="972" customWidth="1"/>
    <col min="5378" max="5378" width="14.6640625" style="972" customWidth="1"/>
    <col min="5379" max="5379" width="13.109375" style="972" customWidth="1"/>
    <col min="5380" max="5380" width="9.5546875" style="972" customWidth="1"/>
    <col min="5381" max="5381" width="13.33203125" style="972" customWidth="1"/>
    <col min="5382" max="5382" width="16.5546875" style="972" bestFit="1" customWidth="1"/>
    <col min="5383" max="5383" width="10.88671875" style="972" bestFit="1" customWidth="1"/>
    <col min="5384" max="5384" width="8.33203125" style="972" bestFit="1" customWidth="1"/>
    <col min="5385" max="5385" width="16" style="972" customWidth="1"/>
    <col min="5386" max="5386" width="15.44140625" style="972" bestFit="1" customWidth="1"/>
    <col min="5387" max="5387" width="16" style="972" customWidth="1"/>
    <col min="5388" max="5388" width="11.44140625" style="972" bestFit="1" customWidth="1"/>
    <col min="5389" max="5389" width="14.109375" style="972" customWidth="1"/>
    <col min="5390" max="5390" width="15" style="972" bestFit="1" customWidth="1"/>
    <col min="5391" max="5391" width="13.33203125" style="972" bestFit="1" customWidth="1"/>
    <col min="5392" max="5392" width="15" style="972" bestFit="1" customWidth="1"/>
    <col min="5393" max="5393" width="13" style="972" customWidth="1"/>
    <col min="5394" max="5394" width="26.44140625" style="972" bestFit="1" customWidth="1"/>
    <col min="5395" max="5395" width="8.33203125" style="972" customWidth="1"/>
    <col min="5396" max="5396" width="9.109375" style="972"/>
    <col min="5397" max="5397" width="11.44140625" style="972" bestFit="1" customWidth="1"/>
    <col min="5398" max="5400" width="9.109375" style="972"/>
    <col min="5401" max="5401" width="11.44140625" style="972" bestFit="1" customWidth="1"/>
    <col min="5402" max="5404" width="9.109375" style="972"/>
    <col min="5405" max="5405" width="11.44140625" style="972" bestFit="1" customWidth="1"/>
    <col min="5406" max="5407" width="9.109375" style="972"/>
    <col min="5408" max="5408" width="10.109375" style="972" bestFit="1" customWidth="1"/>
    <col min="5409" max="5409" width="11.44140625" style="972" bestFit="1" customWidth="1"/>
    <col min="5410" max="5630" width="9.109375" style="972"/>
    <col min="5631" max="5631" width="4.33203125" style="972" customWidth="1"/>
    <col min="5632" max="5632" width="9.109375" style="972" bestFit="1" customWidth="1"/>
    <col min="5633" max="5633" width="12" style="972" customWidth="1"/>
    <col min="5634" max="5634" width="14.6640625" style="972" customWidth="1"/>
    <col min="5635" max="5635" width="13.109375" style="972" customWidth="1"/>
    <col min="5636" max="5636" width="9.5546875" style="972" customWidth="1"/>
    <col min="5637" max="5637" width="13.33203125" style="972" customWidth="1"/>
    <col min="5638" max="5638" width="16.5546875" style="972" bestFit="1" customWidth="1"/>
    <col min="5639" max="5639" width="10.88671875" style="972" bestFit="1" customWidth="1"/>
    <col min="5640" max="5640" width="8.33203125" style="972" bestFit="1" customWidth="1"/>
    <col min="5641" max="5641" width="16" style="972" customWidth="1"/>
    <col min="5642" max="5642" width="15.44140625" style="972" bestFit="1" customWidth="1"/>
    <col min="5643" max="5643" width="16" style="972" customWidth="1"/>
    <col min="5644" max="5644" width="11.44140625" style="972" bestFit="1" customWidth="1"/>
    <col min="5645" max="5645" width="14.109375" style="972" customWidth="1"/>
    <col min="5646" max="5646" width="15" style="972" bestFit="1" customWidth="1"/>
    <col min="5647" max="5647" width="13.33203125" style="972" bestFit="1" customWidth="1"/>
    <col min="5648" max="5648" width="15" style="972" bestFit="1" customWidth="1"/>
    <col min="5649" max="5649" width="13" style="972" customWidth="1"/>
    <col min="5650" max="5650" width="26.44140625" style="972" bestFit="1" customWidth="1"/>
    <col min="5651" max="5651" width="8.33203125" style="972" customWidth="1"/>
    <col min="5652" max="5652" width="9.109375" style="972"/>
    <col min="5653" max="5653" width="11.44140625" style="972" bestFit="1" customWidth="1"/>
    <col min="5654" max="5656" width="9.109375" style="972"/>
    <col min="5657" max="5657" width="11.44140625" style="972" bestFit="1" customWidth="1"/>
    <col min="5658" max="5660" width="9.109375" style="972"/>
    <col min="5661" max="5661" width="11.44140625" style="972" bestFit="1" customWidth="1"/>
    <col min="5662" max="5663" width="9.109375" style="972"/>
    <col min="5664" max="5664" width="10.109375" style="972" bestFit="1" customWidth="1"/>
    <col min="5665" max="5665" width="11.44140625" style="972" bestFit="1" customWidth="1"/>
    <col min="5666" max="5886" width="9.109375" style="972"/>
    <col min="5887" max="5887" width="4.33203125" style="972" customWidth="1"/>
    <col min="5888" max="5888" width="9.109375" style="972" bestFit="1" customWidth="1"/>
    <col min="5889" max="5889" width="12" style="972" customWidth="1"/>
    <col min="5890" max="5890" width="14.6640625" style="972" customWidth="1"/>
    <col min="5891" max="5891" width="13.109375" style="972" customWidth="1"/>
    <col min="5892" max="5892" width="9.5546875" style="972" customWidth="1"/>
    <col min="5893" max="5893" width="13.33203125" style="972" customWidth="1"/>
    <col min="5894" max="5894" width="16.5546875" style="972" bestFit="1" customWidth="1"/>
    <col min="5895" max="5895" width="10.88671875" style="972" bestFit="1" customWidth="1"/>
    <col min="5896" max="5896" width="8.33203125" style="972" bestFit="1" customWidth="1"/>
    <col min="5897" max="5897" width="16" style="972" customWidth="1"/>
    <col min="5898" max="5898" width="15.44140625" style="972" bestFit="1" customWidth="1"/>
    <col min="5899" max="5899" width="16" style="972" customWidth="1"/>
    <col min="5900" max="5900" width="11.44140625" style="972" bestFit="1" customWidth="1"/>
    <col min="5901" max="5901" width="14.109375" style="972" customWidth="1"/>
    <col min="5902" max="5902" width="15" style="972" bestFit="1" customWidth="1"/>
    <col min="5903" max="5903" width="13.33203125" style="972" bestFit="1" customWidth="1"/>
    <col min="5904" max="5904" width="15" style="972" bestFit="1" customWidth="1"/>
    <col min="5905" max="5905" width="13" style="972" customWidth="1"/>
    <col min="5906" max="5906" width="26.44140625" style="972" bestFit="1" customWidth="1"/>
    <col min="5907" max="5907" width="8.33203125" style="972" customWidth="1"/>
    <col min="5908" max="5908" width="9.109375" style="972"/>
    <col min="5909" max="5909" width="11.44140625" style="972" bestFit="1" customWidth="1"/>
    <col min="5910" max="5912" width="9.109375" style="972"/>
    <col min="5913" max="5913" width="11.44140625" style="972" bestFit="1" customWidth="1"/>
    <col min="5914" max="5916" width="9.109375" style="972"/>
    <col min="5917" max="5917" width="11.44140625" style="972" bestFit="1" customWidth="1"/>
    <col min="5918" max="5919" width="9.109375" style="972"/>
    <col min="5920" max="5920" width="10.109375" style="972" bestFit="1" customWidth="1"/>
    <col min="5921" max="5921" width="11.44140625" style="972" bestFit="1" customWidth="1"/>
    <col min="5922" max="6142" width="9.109375" style="972"/>
    <col min="6143" max="6143" width="4.33203125" style="972" customWidth="1"/>
    <col min="6144" max="6144" width="9.109375" style="972" bestFit="1" customWidth="1"/>
    <col min="6145" max="6145" width="12" style="972" customWidth="1"/>
    <col min="6146" max="6146" width="14.6640625" style="972" customWidth="1"/>
    <col min="6147" max="6147" width="13.109375" style="972" customWidth="1"/>
    <col min="6148" max="6148" width="9.5546875" style="972" customWidth="1"/>
    <col min="6149" max="6149" width="13.33203125" style="972" customWidth="1"/>
    <col min="6150" max="6150" width="16.5546875" style="972" bestFit="1" customWidth="1"/>
    <col min="6151" max="6151" width="10.88671875" style="972" bestFit="1" customWidth="1"/>
    <col min="6152" max="6152" width="8.33203125" style="972" bestFit="1" customWidth="1"/>
    <col min="6153" max="6153" width="16" style="972" customWidth="1"/>
    <col min="6154" max="6154" width="15.44140625" style="972" bestFit="1" customWidth="1"/>
    <col min="6155" max="6155" width="16" style="972" customWidth="1"/>
    <col min="6156" max="6156" width="11.44140625" style="972" bestFit="1" customWidth="1"/>
    <col min="6157" max="6157" width="14.109375" style="972" customWidth="1"/>
    <col min="6158" max="6158" width="15" style="972" bestFit="1" customWidth="1"/>
    <col min="6159" max="6159" width="13.33203125" style="972" bestFit="1" customWidth="1"/>
    <col min="6160" max="6160" width="15" style="972" bestFit="1" customWidth="1"/>
    <col min="6161" max="6161" width="13" style="972" customWidth="1"/>
    <col min="6162" max="6162" width="26.44140625" style="972" bestFit="1" customWidth="1"/>
    <col min="6163" max="6163" width="8.33203125" style="972" customWidth="1"/>
    <col min="6164" max="6164" width="9.109375" style="972"/>
    <col min="6165" max="6165" width="11.44140625" style="972" bestFit="1" customWidth="1"/>
    <col min="6166" max="6168" width="9.109375" style="972"/>
    <col min="6169" max="6169" width="11.44140625" style="972" bestFit="1" customWidth="1"/>
    <col min="6170" max="6172" width="9.109375" style="972"/>
    <col min="6173" max="6173" width="11.44140625" style="972" bestFit="1" customWidth="1"/>
    <col min="6174" max="6175" width="9.109375" style="972"/>
    <col min="6176" max="6176" width="10.109375" style="972" bestFit="1" customWidth="1"/>
    <col min="6177" max="6177" width="11.44140625" style="972" bestFit="1" customWidth="1"/>
    <col min="6178" max="6398" width="9.109375" style="972"/>
    <col min="6399" max="6399" width="4.33203125" style="972" customWidth="1"/>
    <col min="6400" max="6400" width="9.109375" style="972" bestFit="1" customWidth="1"/>
    <col min="6401" max="6401" width="12" style="972" customWidth="1"/>
    <col min="6402" max="6402" width="14.6640625" style="972" customWidth="1"/>
    <col min="6403" max="6403" width="13.109375" style="972" customWidth="1"/>
    <col min="6404" max="6404" width="9.5546875" style="972" customWidth="1"/>
    <col min="6405" max="6405" width="13.33203125" style="972" customWidth="1"/>
    <col min="6406" max="6406" width="16.5546875" style="972" bestFit="1" customWidth="1"/>
    <col min="6407" max="6407" width="10.88671875" style="972" bestFit="1" customWidth="1"/>
    <col min="6408" max="6408" width="8.33203125" style="972" bestFit="1" customWidth="1"/>
    <col min="6409" max="6409" width="16" style="972" customWidth="1"/>
    <col min="6410" max="6410" width="15.44140625" style="972" bestFit="1" customWidth="1"/>
    <col min="6411" max="6411" width="16" style="972" customWidth="1"/>
    <col min="6412" max="6412" width="11.44140625" style="972" bestFit="1" customWidth="1"/>
    <col min="6413" max="6413" width="14.109375" style="972" customWidth="1"/>
    <col min="6414" max="6414" width="15" style="972" bestFit="1" customWidth="1"/>
    <col min="6415" max="6415" width="13.33203125" style="972" bestFit="1" customWidth="1"/>
    <col min="6416" max="6416" width="15" style="972" bestFit="1" customWidth="1"/>
    <col min="6417" max="6417" width="13" style="972" customWidth="1"/>
    <col min="6418" max="6418" width="26.44140625" style="972" bestFit="1" customWidth="1"/>
    <col min="6419" max="6419" width="8.33203125" style="972" customWidth="1"/>
    <col min="6420" max="6420" width="9.109375" style="972"/>
    <col min="6421" max="6421" width="11.44140625" style="972" bestFit="1" customWidth="1"/>
    <col min="6422" max="6424" width="9.109375" style="972"/>
    <col min="6425" max="6425" width="11.44140625" style="972" bestFit="1" customWidth="1"/>
    <col min="6426" max="6428" width="9.109375" style="972"/>
    <col min="6429" max="6429" width="11.44140625" style="972" bestFit="1" customWidth="1"/>
    <col min="6430" max="6431" width="9.109375" style="972"/>
    <col min="6432" max="6432" width="10.109375" style="972" bestFit="1" customWidth="1"/>
    <col min="6433" max="6433" width="11.44140625" style="972" bestFit="1" customWidth="1"/>
    <col min="6434" max="6654" width="9.109375" style="972"/>
    <col min="6655" max="6655" width="4.33203125" style="972" customWidth="1"/>
    <col min="6656" max="6656" width="9.109375" style="972" bestFit="1" customWidth="1"/>
    <col min="6657" max="6657" width="12" style="972" customWidth="1"/>
    <col min="6658" max="6658" width="14.6640625" style="972" customWidth="1"/>
    <col min="6659" max="6659" width="13.109375" style="972" customWidth="1"/>
    <col min="6660" max="6660" width="9.5546875" style="972" customWidth="1"/>
    <col min="6661" max="6661" width="13.33203125" style="972" customWidth="1"/>
    <col min="6662" max="6662" width="16.5546875" style="972" bestFit="1" customWidth="1"/>
    <col min="6663" max="6663" width="10.88671875" style="972" bestFit="1" customWidth="1"/>
    <col min="6664" max="6664" width="8.33203125" style="972" bestFit="1" customWidth="1"/>
    <col min="6665" max="6665" width="16" style="972" customWidth="1"/>
    <col min="6666" max="6666" width="15.44140625" style="972" bestFit="1" customWidth="1"/>
    <col min="6667" max="6667" width="16" style="972" customWidth="1"/>
    <col min="6668" max="6668" width="11.44140625" style="972" bestFit="1" customWidth="1"/>
    <col min="6669" max="6669" width="14.109375" style="972" customWidth="1"/>
    <col min="6670" max="6670" width="15" style="972" bestFit="1" customWidth="1"/>
    <col min="6671" max="6671" width="13.33203125" style="972" bestFit="1" customWidth="1"/>
    <col min="6672" max="6672" width="15" style="972" bestFit="1" customWidth="1"/>
    <col min="6673" max="6673" width="13" style="972" customWidth="1"/>
    <col min="6674" max="6674" width="26.44140625" style="972" bestFit="1" customWidth="1"/>
    <col min="6675" max="6675" width="8.33203125" style="972" customWidth="1"/>
    <col min="6676" max="6676" width="9.109375" style="972"/>
    <col min="6677" max="6677" width="11.44140625" style="972" bestFit="1" customWidth="1"/>
    <col min="6678" max="6680" width="9.109375" style="972"/>
    <col min="6681" max="6681" width="11.44140625" style="972" bestFit="1" customWidth="1"/>
    <col min="6682" max="6684" width="9.109375" style="972"/>
    <col min="6685" max="6685" width="11.44140625" style="972" bestFit="1" customWidth="1"/>
    <col min="6686" max="6687" width="9.109375" style="972"/>
    <col min="6688" max="6688" width="10.109375" style="972" bestFit="1" customWidth="1"/>
    <col min="6689" max="6689" width="11.44140625" style="972" bestFit="1" customWidth="1"/>
    <col min="6690" max="6910" width="9.109375" style="972"/>
    <col min="6911" max="6911" width="4.33203125" style="972" customWidth="1"/>
    <col min="6912" max="6912" width="9.109375" style="972" bestFit="1" customWidth="1"/>
    <col min="6913" max="6913" width="12" style="972" customWidth="1"/>
    <col min="6914" max="6914" width="14.6640625" style="972" customWidth="1"/>
    <col min="6915" max="6915" width="13.109375" style="972" customWidth="1"/>
    <col min="6916" max="6916" width="9.5546875" style="972" customWidth="1"/>
    <col min="6917" max="6917" width="13.33203125" style="972" customWidth="1"/>
    <col min="6918" max="6918" width="16.5546875" style="972" bestFit="1" customWidth="1"/>
    <col min="6919" max="6919" width="10.88671875" style="972" bestFit="1" customWidth="1"/>
    <col min="6920" max="6920" width="8.33203125" style="972" bestFit="1" customWidth="1"/>
    <col min="6921" max="6921" width="16" style="972" customWidth="1"/>
    <col min="6922" max="6922" width="15.44140625" style="972" bestFit="1" customWidth="1"/>
    <col min="6923" max="6923" width="16" style="972" customWidth="1"/>
    <col min="6924" max="6924" width="11.44140625" style="972" bestFit="1" customWidth="1"/>
    <col min="6925" max="6925" width="14.109375" style="972" customWidth="1"/>
    <col min="6926" max="6926" width="15" style="972" bestFit="1" customWidth="1"/>
    <col min="6927" max="6927" width="13.33203125" style="972" bestFit="1" customWidth="1"/>
    <col min="6928" max="6928" width="15" style="972" bestFit="1" customWidth="1"/>
    <col min="6929" max="6929" width="13" style="972" customWidth="1"/>
    <col min="6930" max="6930" width="26.44140625" style="972" bestFit="1" customWidth="1"/>
    <col min="6931" max="6931" width="8.33203125" style="972" customWidth="1"/>
    <col min="6932" max="6932" width="9.109375" style="972"/>
    <col min="6933" max="6933" width="11.44140625" style="972" bestFit="1" customWidth="1"/>
    <col min="6934" max="6936" width="9.109375" style="972"/>
    <col min="6937" max="6937" width="11.44140625" style="972" bestFit="1" customWidth="1"/>
    <col min="6938" max="6940" width="9.109375" style="972"/>
    <col min="6941" max="6941" width="11.44140625" style="972" bestFit="1" customWidth="1"/>
    <col min="6942" max="6943" width="9.109375" style="972"/>
    <col min="6944" max="6944" width="10.109375" style="972" bestFit="1" customWidth="1"/>
    <col min="6945" max="6945" width="11.44140625" style="972" bestFit="1" customWidth="1"/>
    <col min="6946" max="7166" width="9.109375" style="972"/>
    <col min="7167" max="7167" width="4.33203125" style="972" customWidth="1"/>
    <col min="7168" max="7168" width="9.109375" style="972" bestFit="1" customWidth="1"/>
    <col min="7169" max="7169" width="12" style="972" customWidth="1"/>
    <col min="7170" max="7170" width="14.6640625" style="972" customWidth="1"/>
    <col min="7171" max="7171" width="13.109375" style="972" customWidth="1"/>
    <col min="7172" max="7172" width="9.5546875" style="972" customWidth="1"/>
    <col min="7173" max="7173" width="13.33203125" style="972" customWidth="1"/>
    <col min="7174" max="7174" width="16.5546875" style="972" bestFit="1" customWidth="1"/>
    <col min="7175" max="7175" width="10.88671875" style="972" bestFit="1" customWidth="1"/>
    <col min="7176" max="7176" width="8.33203125" style="972" bestFit="1" customWidth="1"/>
    <col min="7177" max="7177" width="16" style="972" customWidth="1"/>
    <col min="7178" max="7178" width="15.44140625" style="972" bestFit="1" customWidth="1"/>
    <col min="7179" max="7179" width="16" style="972" customWidth="1"/>
    <col min="7180" max="7180" width="11.44140625" style="972" bestFit="1" customWidth="1"/>
    <col min="7181" max="7181" width="14.109375" style="972" customWidth="1"/>
    <col min="7182" max="7182" width="15" style="972" bestFit="1" customWidth="1"/>
    <col min="7183" max="7183" width="13.33203125" style="972" bestFit="1" customWidth="1"/>
    <col min="7184" max="7184" width="15" style="972" bestFit="1" customWidth="1"/>
    <col min="7185" max="7185" width="13" style="972" customWidth="1"/>
    <col min="7186" max="7186" width="26.44140625" style="972" bestFit="1" customWidth="1"/>
    <col min="7187" max="7187" width="8.33203125" style="972" customWidth="1"/>
    <col min="7188" max="7188" width="9.109375" style="972"/>
    <col min="7189" max="7189" width="11.44140625" style="972" bestFit="1" customWidth="1"/>
    <col min="7190" max="7192" width="9.109375" style="972"/>
    <col min="7193" max="7193" width="11.44140625" style="972" bestFit="1" customWidth="1"/>
    <col min="7194" max="7196" width="9.109375" style="972"/>
    <col min="7197" max="7197" width="11.44140625" style="972" bestFit="1" customWidth="1"/>
    <col min="7198" max="7199" width="9.109375" style="972"/>
    <col min="7200" max="7200" width="10.109375" style="972" bestFit="1" customWidth="1"/>
    <col min="7201" max="7201" width="11.44140625" style="972" bestFit="1" customWidth="1"/>
    <col min="7202" max="7422" width="9.109375" style="972"/>
    <col min="7423" max="7423" width="4.33203125" style="972" customWidth="1"/>
    <col min="7424" max="7424" width="9.109375" style="972" bestFit="1" customWidth="1"/>
    <col min="7425" max="7425" width="12" style="972" customWidth="1"/>
    <col min="7426" max="7426" width="14.6640625" style="972" customWidth="1"/>
    <col min="7427" max="7427" width="13.109375" style="972" customWidth="1"/>
    <col min="7428" max="7428" width="9.5546875" style="972" customWidth="1"/>
    <col min="7429" max="7429" width="13.33203125" style="972" customWidth="1"/>
    <col min="7430" max="7430" width="16.5546875" style="972" bestFit="1" customWidth="1"/>
    <col min="7431" max="7431" width="10.88671875" style="972" bestFit="1" customWidth="1"/>
    <col min="7432" max="7432" width="8.33203125" style="972" bestFit="1" customWidth="1"/>
    <col min="7433" max="7433" width="16" style="972" customWidth="1"/>
    <col min="7434" max="7434" width="15.44140625" style="972" bestFit="1" customWidth="1"/>
    <col min="7435" max="7435" width="16" style="972" customWidth="1"/>
    <col min="7436" max="7436" width="11.44140625" style="972" bestFit="1" customWidth="1"/>
    <col min="7437" max="7437" width="14.109375" style="972" customWidth="1"/>
    <col min="7438" max="7438" width="15" style="972" bestFit="1" customWidth="1"/>
    <col min="7439" max="7439" width="13.33203125" style="972" bestFit="1" customWidth="1"/>
    <col min="7440" max="7440" width="15" style="972" bestFit="1" customWidth="1"/>
    <col min="7441" max="7441" width="13" style="972" customWidth="1"/>
    <col min="7442" max="7442" width="26.44140625" style="972" bestFit="1" customWidth="1"/>
    <col min="7443" max="7443" width="8.33203125" style="972" customWidth="1"/>
    <col min="7444" max="7444" width="9.109375" style="972"/>
    <col min="7445" max="7445" width="11.44140625" style="972" bestFit="1" customWidth="1"/>
    <col min="7446" max="7448" width="9.109375" style="972"/>
    <col min="7449" max="7449" width="11.44140625" style="972" bestFit="1" customWidth="1"/>
    <col min="7450" max="7452" width="9.109375" style="972"/>
    <col min="7453" max="7453" width="11.44140625" style="972" bestFit="1" customWidth="1"/>
    <col min="7454" max="7455" width="9.109375" style="972"/>
    <col min="7456" max="7456" width="10.109375" style="972" bestFit="1" customWidth="1"/>
    <col min="7457" max="7457" width="11.44140625" style="972" bestFit="1" customWidth="1"/>
    <col min="7458" max="7678" width="9.109375" style="972"/>
    <col min="7679" max="7679" width="4.33203125" style="972" customWidth="1"/>
    <col min="7680" max="7680" width="9.109375" style="972" bestFit="1" customWidth="1"/>
    <col min="7681" max="7681" width="12" style="972" customWidth="1"/>
    <col min="7682" max="7682" width="14.6640625" style="972" customWidth="1"/>
    <col min="7683" max="7683" width="13.109375" style="972" customWidth="1"/>
    <col min="7684" max="7684" width="9.5546875" style="972" customWidth="1"/>
    <col min="7685" max="7685" width="13.33203125" style="972" customWidth="1"/>
    <col min="7686" max="7686" width="16.5546875" style="972" bestFit="1" customWidth="1"/>
    <col min="7687" max="7687" width="10.88671875" style="972" bestFit="1" customWidth="1"/>
    <col min="7688" max="7688" width="8.33203125" style="972" bestFit="1" customWidth="1"/>
    <col min="7689" max="7689" width="16" style="972" customWidth="1"/>
    <col min="7690" max="7690" width="15.44140625" style="972" bestFit="1" customWidth="1"/>
    <col min="7691" max="7691" width="16" style="972" customWidth="1"/>
    <col min="7692" max="7692" width="11.44140625" style="972" bestFit="1" customWidth="1"/>
    <col min="7693" max="7693" width="14.109375" style="972" customWidth="1"/>
    <col min="7694" max="7694" width="15" style="972" bestFit="1" customWidth="1"/>
    <col min="7695" max="7695" width="13.33203125" style="972" bestFit="1" customWidth="1"/>
    <col min="7696" max="7696" width="15" style="972" bestFit="1" customWidth="1"/>
    <col min="7697" max="7697" width="13" style="972" customWidth="1"/>
    <col min="7698" max="7698" width="26.44140625" style="972" bestFit="1" customWidth="1"/>
    <col min="7699" max="7699" width="8.33203125" style="972" customWidth="1"/>
    <col min="7700" max="7700" width="9.109375" style="972"/>
    <col min="7701" max="7701" width="11.44140625" style="972" bestFit="1" customWidth="1"/>
    <col min="7702" max="7704" width="9.109375" style="972"/>
    <col min="7705" max="7705" width="11.44140625" style="972" bestFit="1" customWidth="1"/>
    <col min="7706" max="7708" width="9.109375" style="972"/>
    <col min="7709" max="7709" width="11.44140625" style="972" bestFit="1" customWidth="1"/>
    <col min="7710" max="7711" width="9.109375" style="972"/>
    <col min="7712" max="7712" width="10.109375" style="972" bestFit="1" customWidth="1"/>
    <col min="7713" max="7713" width="11.44140625" style="972" bestFit="1" customWidth="1"/>
    <col min="7714" max="7934" width="9.109375" style="972"/>
    <col min="7935" max="7935" width="4.33203125" style="972" customWidth="1"/>
    <col min="7936" max="7936" width="9.109375" style="972" bestFit="1" customWidth="1"/>
    <col min="7937" max="7937" width="12" style="972" customWidth="1"/>
    <col min="7938" max="7938" width="14.6640625" style="972" customWidth="1"/>
    <col min="7939" max="7939" width="13.109375" style="972" customWidth="1"/>
    <col min="7940" max="7940" width="9.5546875" style="972" customWidth="1"/>
    <col min="7941" max="7941" width="13.33203125" style="972" customWidth="1"/>
    <col min="7942" max="7942" width="16.5546875" style="972" bestFit="1" customWidth="1"/>
    <col min="7943" max="7943" width="10.88671875" style="972" bestFit="1" customWidth="1"/>
    <col min="7944" max="7944" width="8.33203125" style="972" bestFit="1" customWidth="1"/>
    <col min="7945" max="7945" width="16" style="972" customWidth="1"/>
    <col min="7946" max="7946" width="15.44140625" style="972" bestFit="1" customWidth="1"/>
    <col min="7947" max="7947" width="16" style="972" customWidth="1"/>
    <col min="7948" max="7948" width="11.44140625" style="972" bestFit="1" customWidth="1"/>
    <col min="7949" max="7949" width="14.109375" style="972" customWidth="1"/>
    <col min="7950" max="7950" width="15" style="972" bestFit="1" customWidth="1"/>
    <col min="7951" max="7951" width="13.33203125" style="972" bestFit="1" customWidth="1"/>
    <col min="7952" max="7952" width="15" style="972" bestFit="1" customWidth="1"/>
    <col min="7953" max="7953" width="13" style="972" customWidth="1"/>
    <col min="7954" max="7954" width="26.44140625" style="972" bestFit="1" customWidth="1"/>
    <col min="7955" max="7955" width="8.33203125" style="972" customWidth="1"/>
    <col min="7956" max="7956" width="9.109375" style="972"/>
    <col min="7957" max="7957" width="11.44140625" style="972" bestFit="1" customWidth="1"/>
    <col min="7958" max="7960" width="9.109375" style="972"/>
    <col min="7961" max="7961" width="11.44140625" style="972" bestFit="1" customWidth="1"/>
    <col min="7962" max="7964" width="9.109375" style="972"/>
    <col min="7965" max="7965" width="11.44140625" style="972" bestFit="1" customWidth="1"/>
    <col min="7966" max="7967" width="9.109375" style="972"/>
    <col min="7968" max="7968" width="10.109375" style="972" bestFit="1" customWidth="1"/>
    <col min="7969" max="7969" width="11.44140625" style="972" bestFit="1" customWidth="1"/>
    <col min="7970" max="8190" width="9.109375" style="972"/>
    <col min="8191" max="8191" width="4.33203125" style="972" customWidth="1"/>
    <col min="8192" max="8192" width="9.109375" style="972" bestFit="1" customWidth="1"/>
    <col min="8193" max="8193" width="12" style="972" customWidth="1"/>
    <col min="8194" max="8194" width="14.6640625" style="972" customWidth="1"/>
    <col min="8195" max="8195" width="13.109375" style="972" customWidth="1"/>
    <col min="8196" max="8196" width="9.5546875" style="972" customWidth="1"/>
    <col min="8197" max="8197" width="13.33203125" style="972" customWidth="1"/>
    <col min="8198" max="8198" width="16.5546875" style="972" bestFit="1" customWidth="1"/>
    <col min="8199" max="8199" width="10.88671875" style="972" bestFit="1" customWidth="1"/>
    <col min="8200" max="8200" width="8.33203125" style="972" bestFit="1" customWidth="1"/>
    <col min="8201" max="8201" width="16" style="972" customWidth="1"/>
    <col min="8202" max="8202" width="15.44140625" style="972" bestFit="1" customWidth="1"/>
    <col min="8203" max="8203" width="16" style="972" customWidth="1"/>
    <col min="8204" max="8204" width="11.44140625" style="972" bestFit="1" customWidth="1"/>
    <col min="8205" max="8205" width="14.109375" style="972" customWidth="1"/>
    <col min="8206" max="8206" width="15" style="972" bestFit="1" customWidth="1"/>
    <col min="8207" max="8207" width="13.33203125" style="972" bestFit="1" customWidth="1"/>
    <col min="8208" max="8208" width="15" style="972" bestFit="1" customWidth="1"/>
    <col min="8209" max="8209" width="13" style="972" customWidth="1"/>
    <col min="8210" max="8210" width="26.44140625" style="972" bestFit="1" customWidth="1"/>
    <col min="8211" max="8211" width="8.33203125" style="972" customWidth="1"/>
    <col min="8212" max="8212" width="9.109375" style="972"/>
    <col min="8213" max="8213" width="11.44140625" style="972" bestFit="1" customWidth="1"/>
    <col min="8214" max="8216" width="9.109375" style="972"/>
    <col min="8217" max="8217" width="11.44140625" style="972" bestFit="1" customWidth="1"/>
    <col min="8218" max="8220" width="9.109375" style="972"/>
    <col min="8221" max="8221" width="11.44140625" style="972" bestFit="1" customWidth="1"/>
    <col min="8222" max="8223" width="9.109375" style="972"/>
    <col min="8224" max="8224" width="10.109375" style="972" bestFit="1" customWidth="1"/>
    <col min="8225" max="8225" width="11.44140625" style="972" bestFit="1" customWidth="1"/>
    <col min="8226" max="8446" width="9.109375" style="972"/>
    <col min="8447" max="8447" width="4.33203125" style="972" customWidth="1"/>
    <col min="8448" max="8448" width="9.109375" style="972" bestFit="1" customWidth="1"/>
    <col min="8449" max="8449" width="12" style="972" customWidth="1"/>
    <col min="8450" max="8450" width="14.6640625" style="972" customWidth="1"/>
    <col min="8451" max="8451" width="13.109375" style="972" customWidth="1"/>
    <col min="8452" max="8452" width="9.5546875" style="972" customWidth="1"/>
    <col min="8453" max="8453" width="13.33203125" style="972" customWidth="1"/>
    <col min="8454" max="8454" width="16.5546875" style="972" bestFit="1" customWidth="1"/>
    <col min="8455" max="8455" width="10.88671875" style="972" bestFit="1" customWidth="1"/>
    <col min="8456" max="8456" width="8.33203125" style="972" bestFit="1" customWidth="1"/>
    <col min="8457" max="8457" width="16" style="972" customWidth="1"/>
    <col min="8458" max="8458" width="15.44140625" style="972" bestFit="1" customWidth="1"/>
    <col min="8459" max="8459" width="16" style="972" customWidth="1"/>
    <col min="8460" max="8460" width="11.44140625" style="972" bestFit="1" customWidth="1"/>
    <col min="8461" max="8461" width="14.109375" style="972" customWidth="1"/>
    <col min="8462" max="8462" width="15" style="972" bestFit="1" customWidth="1"/>
    <col min="8463" max="8463" width="13.33203125" style="972" bestFit="1" customWidth="1"/>
    <col min="8464" max="8464" width="15" style="972" bestFit="1" customWidth="1"/>
    <col min="8465" max="8465" width="13" style="972" customWidth="1"/>
    <col min="8466" max="8466" width="26.44140625" style="972" bestFit="1" customWidth="1"/>
    <col min="8467" max="8467" width="8.33203125" style="972" customWidth="1"/>
    <col min="8468" max="8468" width="9.109375" style="972"/>
    <col min="8469" max="8469" width="11.44140625" style="972" bestFit="1" customWidth="1"/>
    <col min="8470" max="8472" width="9.109375" style="972"/>
    <col min="8473" max="8473" width="11.44140625" style="972" bestFit="1" customWidth="1"/>
    <col min="8474" max="8476" width="9.109375" style="972"/>
    <col min="8477" max="8477" width="11.44140625" style="972" bestFit="1" customWidth="1"/>
    <col min="8478" max="8479" width="9.109375" style="972"/>
    <col min="8480" max="8480" width="10.109375" style="972" bestFit="1" customWidth="1"/>
    <col min="8481" max="8481" width="11.44140625" style="972" bestFit="1" customWidth="1"/>
    <col min="8482" max="8702" width="9.109375" style="972"/>
    <col min="8703" max="8703" width="4.33203125" style="972" customWidth="1"/>
    <col min="8704" max="8704" width="9.109375" style="972" bestFit="1" customWidth="1"/>
    <col min="8705" max="8705" width="12" style="972" customWidth="1"/>
    <col min="8706" max="8706" width="14.6640625" style="972" customWidth="1"/>
    <col min="8707" max="8707" width="13.109375" style="972" customWidth="1"/>
    <col min="8708" max="8708" width="9.5546875" style="972" customWidth="1"/>
    <col min="8709" max="8709" width="13.33203125" style="972" customWidth="1"/>
    <col min="8710" max="8710" width="16.5546875" style="972" bestFit="1" customWidth="1"/>
    <col min="8711" max="8711" width="10.88671875" style="972" bestFit="1" customWidth="1"/>
    <col min="8712" max="8712" width="8.33203125" style="972" bestFit="1" customWidth="1"/>
    <col min="8713" max="8713" width="16" style="972" customWidth="1"/>
    <col min="8714" max="8714" width="15.44140625" style="972" bestFit="1" customWidth="1"/>
    <col min="8715" max="8715" width="16" style="972" customWidth="1"/>
    <col min="8716" max="8716" width="11.44140625" style="972" bestFit="1" customWidth="1"/>
    <col min="8717" max="8717" width="14.109375" style="972" customWidth="1"/>
    <col min="8718" max="8718" width="15" style="972" bestFit="1" customWidth="1"/>
    <col min="8719" max="8719" width="13.33203125" style="972" bestFit="1" customWidth="1"/>
    <col min="8720" max="8720" width="15" style="972" bestFit="1" customWidth="1"/>
    <col min="8721" max="8721" width="13" style="972" customWidth="1"/>
    <col min="8722" max="8722" width="26.44140625" style="972" bestFit="1" customWidth="1"/>
    <col min="8723" max="8723" width="8.33203125" style="972" customWidth="1"/>
    <col min="8724" max="8724" width="9.109375" style="972"/>
    <col min="8725" max="8725" width="11.44140625" style="972" bestFit="1" customWidth="1"/>
    <col min="8726" max="8728" width="9.109375" style="972"/>
    <col min="8729" max="8729" width="11.44140625" style="972" bestFit="1" customWidth="1"/>
    <col min="8730" max="8732" width="9.109375" style="972"/>
    <col min="8733" max="8733" width="11.44140625" style="972" bestFit="1" customWidth="1"/>
    <col min="8734" max="8735" width="9.109375" style="972"/>
    <col min="8736" max="8736" width="10.109375" style="972" bestFit="1" customWidth="1"/>
    <col min="8737" max="8737" width="11.44140625" style="972" bestFit="1" customWidth="1"/>
    <col min="8738" max="8958" width="9.109375" style="972"/>
    <col min="8959" max="8959" width="4.33203125" style="972" customWidth="1"/>
    <col min="8960" max="8960" width="9.109375" style="972" bestFit="1" customWidth="1"/>
    <col min="8961" max="8961" width="12" style="972" customWidth="1"/>
    <col min="8962" max="8962" width="14.6640625" style="972" customWidth="1"/>
    <col min="8963" max="8963" width="13.109375" style="972" customWidth="1"/>
    <col min="8964" max="8964" width="9.5546875" style="972" customWidth="1"/>
    <col min="8965" max="8965" width="13.33203125" style="972" customWidth="1"/>
    <col min="8966" max="8966" width="16.5546875" style="972" bestFit="1" customWidth="1"/>
    <col min="8967" max="8967" width="10.88671875" style="972" bestFit="1" customWidth="1"/>
    <col min="8968" max="8968" width="8.33203125" style="972" bestFit="1" customWidth="1"/>
    <col min="8969" max="8969" width="16" style="972" customWidth="1"/>
    <col min="8970" max="8970" width="15.44140625" style="972" bestFit="1" customWidth="1"/>
    <col min="8971" max="8971" width="16" style="972" customWidth="1"/>
    <col min="8972" max="8972" width="11.44140625" style="972" bestFit="1" customWidth="1"/>
    <col min="8973" max="8973" width="14.109375" style="972" customWidth="1"/>
    <col min="8974" max="8974" width="15" style="972" bestFit="1" customWidth="1"/>
    <col min="8975" max="8975" width="13.33203125" style="972" bestFit="1" customWidth="1"/>
    <col min="8976" max="8976" width="15" style="972" bestFit="1" customWidth="1"/>
    <col min="8977" max="8977" width="13" style="972" customWidth="1"/>
    <col min="8978" max="8978" width="26.44140625" style="972" bestFit="1" customWidth="1"/>
    <col min="8979" max="8979" width="8.33203125" style="972" customWidth="1"/>
    <col min="8980" max="8980" width="9.109375" style="972"/>
    <col min="8981" max="8981" width="11.44140625" style="972" bestFit="1" customWidth="1"/>
    <col min="8982" max="8984" width="9.109375" style="972"/>
    <col min="8985" max="8985" width="11.44140625" style="972" bestFit="1" customWidth="1"/>
    <col min="8986" max="8988" width="9.109375" style="972"/>
    <col min="8989" max="8989" width="11.44140625" style="972" bestFit="1" customWidth="1"/>
    <col min="8990" max="8991" width="9.109375" style="972"/>
    <col min="8992" max="8992" width="10.109375" style="972" bestFit="1" customWidth="1"/>
    <col min="8993" max="8993" width="11.44140625" style="972" bestFit="1" customWidth="1"/>
    <col min="8994" max="9214" width="9.109375" style="972"/>
    <col min="9215" max="9215" width="4.33203125" style="972" customWidth="1"/>
    <col min="9216" max="9216" width="9.109375" style="972" bestFit="1" customWidth="1"/>
    <col min="9217" max="9217" width="12" style="972" customWidth="1"/>
    <col min="9218" max="9218" width="14.6640625" style="972" customWidth="1"/>
    <col min="9219" max="9219" width="13.109375" style="972" customWidth="1"/>
    <col min="9220" max="9220" width="9.5546875" style="972" customWidth="1"/>
    <col min="9221" max="9221" width="13.33203125" style="972" customWidth="1"/>
    <col min="9222" max="9222" width="16.5546875" style="972" bestFit="1" customWidth="1"/>
    <col min="9223" max="9223" width="10.88671875" style="972" bestFit="1" customWidth="1"/>
    <col min="9224" max="9224" width="8.33203125" style="972" bestFit="1" customWidth="1"/>
    <col min="9225" max="9225" width="16" style="972" customWidth="1"/>
    <col min="9226" max="9226" width="15.44140625" style="972" bestFit="1" customWidth="1"/>
    <col min="9227" max="9227" width="16" style="972" customWidth="1"/>
    <col min="9228" max="9228" width="11.44140625" style="972" bestFit="1" customWidth="1"/>
    <col min="9229" max="9229" width="14.109375" style="972" customWidth="1"/>
    <col min="9230" max="9230" width="15" style="972" bestFit="1" customWidth="1"/>
    <col min="9231" max="9231" width="13.33203125" style="972" bestFit="1" customWidth="1"/>
    <col min="9232" max="9232" width="15" style="972" bestFit="1" customWidth="1"/>
    <col min="9233" max="9233" width="13" style="972" customWidth="1"/>
    <col min="9234" max="9234" width="26.44140625" style="972" bestFit="1" customWidth="1"/>
    <col min="9235" max="9235" width="8.33203125" style="972" customWidth="1"/>
    <col min="9236" max="9236" width="9.109375" style="972"/>
    <col min="9237" max="9237" width="11.44140625" style="972" bestFit="1" customWidth="1"/>
    <col min="9238" max="9240" width="9.109375" style="972"/>
    <col min="9241" max="9241" width="11.44140625" style="972" bestFit="1" customWidth="1"/>
    <col min="9242" max="9244" width="9.109375" style="972"/>
    <col min="9245" max="9245" width="11.44140625" style="972" bestFit="1" customWidth="1"/>
    <col min="9246" max="9247" width="9.109375" style="972"/>
    <col min="9248" max="9248" width="10.109375" style="972" bestFit="1" customWidth="1"/>
    <col min="9249" max="9249" width="11.44140625" style="972" bestFit="1" customWidth="1"/>
    <col min="9250" max="9470" width="9.109375" style="972"/>
    <col min="9471" max="9471" width="4.33203125" style="972" customWidth="1"/>
    <col min="9472" max="9472" width="9.109375" style="972" bestFit="1" customWidth="1"/>
    <col min="9473" max="9473" width="12" style="972" customWidth="1"/>
    <col min="9474" max="9474" width="14.6640625" style="972" customWidth="1"/>
    <col min="9475" max="9475" width="13.109375" style="972" customWidth="1"/>
    <col min="9476" max="9476" width="9.5546875" style="972" customWidth="1"/>
    <col min="9477" max="9477" width="13.33203125" style="972" customWidth="1"/>
    <col min="9478" max="9478" width="16.5546875" style="972" bestFit="1" customWidth="1"/>
    <col min="9479" max="9479" width="10.88671875" style="972" bestFit="1" customWidth="1"/>
    <col min="9480" max="9480" width="8.33203125" style="972" bestFit="1" customWidth="1"/>
    <col min="9481" max="9481" width="16" style="972" customWidth="1"/>
    <col min="9482" max="9482" width="15.44140625" style="972" bestFit="1" customWidth="1"/>
    <col min="9483" max="9483" width="16" style="972" customWidth="1"/>
    <col min="9484" max="9484" width="11.44140625" style="972" bestFit="1" customWidth="1"/>
    <col min="9485" max="9485" width="14.109375" style="972" customWidth="1"/>
    <col min="9486" max="9486" width="15" style="972" bestFit="1" customWidth="1"/>
    <col min="9487" max="9487" width="13.33203125" style="972" bestFit="1" customWidth="1"/>
    <col min="9488" max="9488" width="15" style="972" bestFit="1" customWidth="1"/>
    <col min="9489" max="9489" width="13" style="972" customWidth="1"/>
    <col min="9490" max="9490" width="26.44140625" style="972" bestFit="1" customWidth="1"/>
    <col min="9491" max="9491" width="8.33203125" style="972" customWidth="1"/>
    <col min="9492" max="9492" width="9.109375" style="972"/>
    <col min="9493" max="9493" width="11.44140625" style="972" bestFit="1" customWidth="1"/>
    <col min="9494" max="9496" width="9.109375" style="972"/>
    <col min="9497" max="9497" width="11.44140625" style="972" bestFit="1" customWidth="1"/>
    <col min="9498" max="9500" width="9.109375" style="972"/>
    <col min="9501" max="9501" width="11.44140625" style="972" bestFit="1" customWidth="1"/>
    <col min="9502" max="9503" width="9.109375" style="972"/>
    <col min="9504" max="9504" width="10.109375" style="972" bestFit="1" customWidth="1"/>
    <col min="9505" max="9505" width="11.44140625" style="972" bestFit="1" customWidth="1"/>
    <col min="9506" max="9726" width="9.109375" style="972"/>
    <col min="9727" max="9727" width="4.33203125" style="972" customWidth="1"/>
    <col min="9728" max="9728" width="9.109375" style="972" bestFit="1" customWidth="1"/>
    <col min="9729" max="9729" width="12" style="972" customWidth="1"/>
    <col min="9730" max="9730" width="14.6640625" style="972" customWidth="1"/>
    <col min="9731" max="9731" width="13.109375" style="972" customWidth="1"/>
    <col min="9732" max="9732" width="9.5546875" style="972" customWidth="1"/>
    <col min="9733" max="9733" width="13.33203125" style="972" customWidth="1"/>
    <col min="9734" max="9734" width="16.5546875" style="972" bestFit="1" customWidth="1"/>
    <col min="9735" max="9735" width="10.88671875" style="972" bestFit="1" customWidth="1"/>
    <col min="9736" max="9736" width="8.33203125" style="972" bestFit="1" customWidth="1"/>
    <col min="9737" max="9737" width="16" style="972" customWidth="1"/>
    <col min="9738" max="9738" width="15.44140625" style="972" bestFit="1" customWidth="1"/>
    <col min="9739" max="9739" width="16" style="972" customWidth="1"/>
    <col min="9740" max="9740" width="11.44140625" style="972" bestFit="1" customWidth="1"/>
    <col min="9741" max="9741" width="14.109375" style="972" customWidth="1"/>
    <col min="9742" max="9742" width="15" style="972" bestFit="1" customWidth="1"/>
    <col min="9743" max="9743" width="13.33203125" style="972" bestFit="1" customWidth="1"/>
    <col min="9744" max="9744" width="15" style="972" bestFit="1" customWidth="1"/>
    <col min="9745" max="9745" width="13" style="972" customWidth="1"/>
    <col min="9746" max="9746" width="26.44140625" style="972" bestFit="1" customWidth="1"/>
    <col min="9747" max="9747" width="8.33203125" style="972" customWidth="1"/>
    <col min="9748" max="9748" width="9.109375" style="972"/>
    <col min="9749" max="9749" width="11.44140625" style="972" bestFit="1" customWidth="1"/>
    <col min="9750" max="9752" width="9.109375" style="972"/>
    <col min="9753" max="9753" width="11.44140625" style="972" bestFit="1" customWidth="1"/>
    <col min="9754" max="9756" width="9.109375" style="972"/>
    <col min="9757" max="9757" width="11.44140625" style="972" bestFit="1" customWidth="1"/>
    <col min="9758" max="9759" width="9.109375" style="972"/>
    <col min="9760" max="9760" width="10.109375" style="972" bestFit="1" customWidth="1"/>
    <col min="9761" max="9761" width="11.44140625" style="972" bestFit="1" customWidth="1"/>
    <col min="9762" max="9982" width="9.109375" style="972"/>
    <col min="9983" max="9983" width="4.33203125" style="972" customWidth="1"/>
    <col min="9984" max="9984" width="9.109375" style="972" bestFit="1" customWidth="1"/>
    <col min="9985" max="9985" width="12" style="972" customWidth="1"/>
    <col min="9986" max="9986" width="14.6640625" style="972" customWidth="1"/>
    <col min="9987" max="9987" width="13.109375" style="972" customWidth="1"/>
    <col min="9988" max="9988" width="9.5546875" style="972" customWidth="1"/>
    <col min="9989" max="9989" width="13.33203125" style="972" customWidth="1"/>
    <col min="9990" max="9990" width="16.5546875" style="972" bestFit="1" customWidth="1"/>
    <col min="9991" max="9991" width="10.88671875" style="972" bestFit="1" customWidth="1"/>
    <col min="9992" max="9992" width="8.33203125" style="972" bestFit="1" customWidth="1"/>
    <col min="9993" max="9993" width="16" style="972" customWidth="1"/>
    <col min="9994" max="9994" width="15.44140625" style="972" bestFit="1" customWidth="1"/>
    <col min="9995" max="9995" width="16" style="972" customWidth="1"/>
    <col min="9996" max="9996" width="11.44140625" style="972" bestFit="1" customWidth="1"/>
    <col min="9997" max="9997" width="14.109375" style="972" customWidth="1"/>
    <col min="9998" max="9998" width="15" style="972" bestFit="1" customWidth="1"/>
    <col min="9999" max="9999" width="13.33203125" style="972" bestFit="1" customWidth="1"/>
    <col min="10000" max="10000" width="15" style="972" bestFit="1" customWidth="1"/>
    <col min="10001" max="10001" width="13" style="972" customWidth="1"/>
    <col min="10002" max="10002" width="26.44140625" style="972" bestFit="1" customWidth="1"/>
    <col min="10003" max="10003" width="8.33203125" style="972" customWidth="1"/>
    <col min="10004" max="10004" width="9.109375" style="972"/>
    <col min="10005" max="10005" width="11.44140625" style="972" bestFit="1" customWidth="1"/>
    <col min="10006" max="10008" width="9.109375" style="972"/>
    <col min="10009" max="10009" width="11.44140625" style="972" bestFit="1" customWidth="1"/>
    <col min="10010" max="10012" width="9.109375" style="972"/>
    <col min="10013" max="10013" width="11.44140625" style="972" bestFit="1" customWidth="1"/>
    <col min="10014" max="10015" width="9.109375" style="972"/>
    <col min="10016" max="10016" width="10.109375" style="972" bestFit="1" customWidth="1"/>
    <col min="10017" max="10017" width="11.44140625" style="972" bestFit="1" customWidth="1"/>
    <col min="10018" max="10238" width="9.109375" style="972"/>
    <col min="10239" max="10239" width="4.33203125" style="972" customWidth="1"/>
    <col min="10240" max="10240" width="9.109375" style="972" bestFit="1" customWidth="1"/>
    <col min="10241" max="10241" width="12" style="972" customWidth="1"/>
    <col min="10242" max="10242" width="14.6640625" style="972" customWidth="1"/>
    <col min="10243" max="10243" width="13.109375" style="972" customWidth="1"/>
    <col min="10244" max="10244" width="9.5546875" style="972" customWidth="1"/>
    <col min="10245" max="10245" width="13.33203125" style="972" customWidth="1"/>
    <col min="10246" max="10246" width="16.5546875" style="972" bestFit="1" customWidth="1"/>
    <col min="10247" max="10247" width="10.88671875" style="972" bestFit="1" customWidth="1"/>
    <col min="10248" max="10248" width="8.33203125" style="972" bestFit="1" customWidth="1"/>
    <col min="10249" max="10249" width="16" style="972" customWidth="1"/>
    <col min="10250" max="10250" width="15.44140625" style="972" bestFit="1" customWidth="1"/>
    <col min="10251" max="10251" width="16" style="972" customWidth="1"/>
    <col min="10252" max="10252" width="11.44140625" style="972" bestFit="1" customWidth="1"/>
    <col min="10253" max="10253" width="14.109375" style="972" customWidth="1"/>
    <col min="10254" max="10254" width="15" style="972" bestFit="1" customWidth="1"/>
    <col min="10255" max="10255" width="13.33203125" style="972" bestFit="1" customWidth="1"/>
    <col min="10256" max="10256" width="15" style="972" bestFit="1" customWidth="1"/>
    <col min="10257" max="10257" width="13" style="972" customWidth="1"/>
    <col min="10258" max="10258" width="26.44140625" style="972" bestFit="1" customWidth="1"/>
    <col min="10259" max="10259" width="8.33203125" style="972" customWidth="1"/>
    <col min="10260" max="10260" width="9.109375" style="972"/>
    <col min="10261" max="10261" width="11.44140625" style="972" bestFit="1" customWidth="1"/>
    <col min="10262" max="10264" width="9.109375" style="972"/>
    <col min="10265" max="10265" width="11.44140625" style="972" bestFit="1" customWidth="1"/>
    <col min="10266" max="10268" width="9.109375" style="972"/>
    <col min="10269" max="10269" width="11.44140625" style="972" bestFit="1" customWidth="1"/>
    <col min="10270" max="10271" width="9.109375" style="972"/>
    <col min="10272" max="10272" width="10.109375" style="972" bestFit="1" customWidth="1"/>
    <col min="10273" max="10273" width="11.44140625" style="972" bestFit="1" customWidth="1"/>
    <col min="10274" max="10494" width="9.109375" style="972"/>
    <col min="10495" max="10495" width="4.33203125" style="972" customWidth="1"/>
    <col min="10496" max="10496" width="9.109375" style="972" bestFit="1" customWidth="1"/>
    <col min="10497" max="10497" width="12" style="972" customWidth="1"/>
    <col min="10498" max="10498" width="14.6640625" style="972" customWidth="1"/>
    <col min="10499" max="10499" width="13.109375" style="972" customWidth="1"/>
    <col min="10500" max="10500" width="9.5546875" style="972" customWidth="1"/>
    <col min="10501" max="10501" width="13.33203125" style="972" customWidth="1"/>
    <col min="10502" max="10502" width="16.5546875" style="972" bestFit="1" customWidth="1"/>
    <col min="10503" max="10503" width="10.88671875" style="972" bestFit="1" customWidth="1"/>
    <col min="10504" max="10504" width="8.33203125" style="972" bestFit="1" customWidth="1"/>
    <col min="10505" max="10505" width="16" style="972" customWidth="1"/>
    <col min="10506" max="10506" width="15.44140625" style="972" bestFit="1" customWidth="1"/>
    <col min="10507" max="10507" width="16" style="972" customWidth="1"/>
    <col min="10508" max="10508" width="11.44140625" style="972" bestFit="1" customWidth="1"/>
    <col min="10509" max="10509" width="14.109375" style="972" customWidth="1"/>
    <col min="10510" max="10510" width="15" style="972" bestFit="1" customWidth="1"/>
    <col min="10511" max="10511" width="13.33203125" style="972" bestFit="1" customWidth="1"/>
    <col min="10512" max="10512" width="15" style="972" bestFit="1" customWidth="1"/>
    <col min="10513" max="10513" width="13" style="972" customWidth="1"/>
    <col min="10514" max="10514" width="26.44140625" style="972" bestFit="1" customWidth="1"/>
    <col min="10515" max="10515" width="8.33203125" style="972" customWidth="1"/>
    <col min="10516" max="10516" width="9.109375" style="972"/>
    <col min="10517" max="10517" width="11.44140625" style="972" bestFit="1" customWidth="1"/>
    <col min="10518" max="10520" width="9.109375" style="972"/>
    <col min="10521" max="10521" width="11.44140625" style="972" bestFit="1" customWidth="1"/>
    <col min="10522" max="10524" width="9.109375" style="972"/>
    <col min="10525" max="10525" width="11.44140625" style="972" bestFit="1" customWidth="1"/>
    <col min="10526" max="10527" width="9.109375" style="972"/>
    <col min="10528" max="10528" width="10.109375" style="972" bestFit="1" customWidth="1"/>
    <col min="10529" max="10529" width="11.44140625" style="972" bestFit="1" customWidth="1"/>
    <col min="10530" max="10750" width="9.109375" style="972"/>
    <col min="10751" max="10751" width="4.33203125" style="972" customWidth="1"/>
    <col min="10752" max="10752" width="9.109375" style="972" bestFit="1" customWidth="1"/>
    <col min="10753" max="10753" width="12" style="972" customWidth="1"/>
    <col min="10754" max="10754" width="14.6640625" style="972" customWidth="1"/>
    <col min="10755" max="10755" width="13.109375" style="972" customWidth="1"/>
    <col min="10756" max="10756" width="9.5546875" style="972" customWidth="1"/>
    <col min="10757" max="10757" width="13.33203125" style="972" customWidth="1"/>
    <col min="10758" max="10758" width="16.5546875" style="972" bestFit="1" customWidth="1"/>
    <col min="10759" max="10759" width="10.88671875" style="972" bestFit="1" customWidth="1"/>
    <col min="10760" max="10760" width="8.33203125" style="972" bestFit="1" customWidth="1"/>
    <col min="10761" max="10761" width="16" style="972" customWidth="1"/>
    <col min="10762" max="10762" width="15.44140625" style="972" bestFit="1" customWidth="1"/>
    <col min="10763" max="10763" width="16" style="972" customWidth="1"/>
    <col min="10764" max="10764" width="11.44140625" style="972" bestFit="1" customWidth="1"/>
    <col min="10765" max="10765" width="14.109375" style="972" customWidth="1"/>
    <col min="10766" max="10766" width="15" style="972" bestFit="1" customWidth="1"/>
    <col min="10767" max="10767" width="13.33203125" style="972" bestFit="1" customWidth="1"/>
    <col min="10768" max="10768" width="15" style="972" bestFit="1" customWidth="1"/>
    <col min="10769" max="10769" width="13" style="972" customWidth="1"/>
    <col min="10770" max="10770" width="26.44140625" style="972" bestFit="1" customWidth="1"/>
    <col min="10771" max="10771" width="8.33203125" style="972" customWidth="1"/>
    <col min="10772" max="10772" width="9.109375" style="972"/>
    <col min="10773" max="10773" width="11.44140625" style="972" bestFit="1" customWidth="1"/>
    <col min="10774" max="10776" width="9.109375" style="972"/>
    <col min="10777" max="10777" width="11.44140625" style="972" bestFit="1" customWidth="1"/>
    <col min="10778" max="10780" width="9.109375" style="972"/>
    <col min="10781" max="10781" width="11.44140625" style="972" bestFit="1" customWidth="1"/>
    <col min="10782" max="10783" width="9.109375" style="972"/>
    <col min="10784" max="10784" width="10.109375" style="972" bestFit="1" customWidth="1"/>
    <col min="10785" max="10785" width="11.44140625" style="972" bestFit="1" customWidth="1"/>
    <col min="10786" max="11006" width="9.109375" style="972"/>
    <col min="11007" max="11007" width="4.33203125" style="972" customWidth="1"/>
    <col min="11008" max="11008" width="9.109375" style="972" bestFit="1" customWidth="1"/>
    <col min="11009" max="11009" width="12" style="972" customWidth="1"/>
    <col min="11010" max="11010" width="14.6640625" style="972" customWidth="1"/>
    <col min="11011" max="11011" width="13.109375" style="972" customWidth="1"/>
    <col min="11012" max="11012" width="9.5546875" style="972" customWidth="1"/>
    <col min="11013" max="11013" width="13.33203125" style="972" customWidth="1"/>
    <col min="11014" max="11014" width="16.5546875" style="972" bestFit="1" customWidth="1"/>
    <col min="11015" max="11015" width="10.88671875" style="972" bestFit="1" customWidth="1"/>
    <col min="11016" max="11016" width="8.33203125" style="972" bestFit="1" customWidth="1"/>
    <col min="11017" max="11017" width="16" style="972" customWidth="1"/>
    <col min="11018" max="11018" width="15.44140625" style="972" bestFit="1" customWidth="1"/>
    <col min="11019" max="11019" width="16" style="972" customWidth="1"/>
    <col min="11020" max="11020" width="11.44140625" style="972" bestFit="1" customWidth="1"/>
    <col min="11021" max="11021" width="14.109375" style="972" customWidth="1"/>
    <col min="11022" max="11022" width="15" style="972" bestFit="1" customWidth="1"/>
    <col min="11023" max="11023" width="13.33203125" style="972" bestFit="1" customWidth="1"/>
    <col min="11024" max="11024" width="15" style="972" bestFit="1" customWidth="1"/>
    <col min="11025" max="11025" width="13" style="972" customWidth="1"/>
    <col min="11026" max="11026" width="26.44140625" style="972" bestFit="1" customWidth="1"/>
    <col min="11027" max="11027" width="8.33203125" style="972" customWidth="1"/>
    <col min="11028" max="11028" width="9.109375" style="972"/>
    <col min="11029" max="11029" width="11.44140625" style="972" bestFit="1" customWidth="1"/>
    <col min="11030" max="11032" width="9.109375" style="972"/>
    <col min="11033" max="11033" width="11.44140625" style="972" bestFit="1" customWidth="1"/>
    <col min="11034" max="11036" width="9.109375" style="972"/>
    <col min="11037" max="11037" width="11.44140625" style="972" bestFit="1" customWidth="1"/>
    <col min="11038" max="11039" width="9.109375" style="972"/>
    <col min="11040" max="11040" width="10.109375" style="972" bestFit="1" customWidth="1"/>
    <col min="11041" max="11041" width="11.44140625" style="972" bestFit="1" customWidth="1"/>
    <col min="11042" max="11262" width="9.109375" style="972"/>
    <col min="11263" max="11263" width="4.33203125" style="972" customWidth="1"/>
    <col min="11264" max="11264" width="9.109375" style="972" bestFit="1" customWidth="1"/>
    <col min="11265" max="11265" width="12" style="972" customWidth="1"/>
    <col min="11266" max="11266" width="14.6640625" style="972" customWidth="1"/>
    <col min="11267" max="11267" width="13.109375" style="972" customWidth="1"/>
    <col min="11268" max="11268" width="9.5546875" style="972" customWidth="1"/>
    <col min="11269" max="11269" width="13.33203125" style="972" customWidth="1"/>
    <col min="11270" max="11270" width="16.5546875" style="972" bestFit="1" customWidth="1"/>
    <col min="11271" max="11271" width="10.88671875" style="972" bestFit="1" customWidth="1"/>
    <col min="11272" max="11272" width="8.33203125" style="972" bestFit="1" customWidth="1"/>
    <col min="11273" max="11273" width="16" style="972" customWidth="1"/>
    <col min="11274" max="11274" width="15.44140625" style="972" bestFit="1" customWidth="1"/>
    <col min="11275" max="11275" width="16" style="972" customWidth="1"/>
    <col min="11276" max="11276" width="11.44140625" style="972" bestFit="1" customWidth="1"/>
    <col min="11277" max="11277" width="14.109375" style="972" customWidth="1"/>
    <col min="11278" max="11278" width="15" style="972" bestFit="1" customWidth="1"/>
    <col min="11279" max="11279" width="13.33203125" style="972" bestFit="1" customWidth="1"/>
    <col min="11280" max="11280" width="15" style="972" bestFit="1" customWidth="1"/>
    <col min="11281" max="11281" width="13" style="972" customWidth="1"/>
    <col min="11282" max="11282" width="26.44140625" style="972" bestFit="1" customWidth="1"/>
    <col min="11283" max="11283" width="8.33203125" style="972" customWidth="1"/>
    <col min="11284" max="11284" width="9.109375" style="972"/>
    <col min="11285" max="11285" width="11.44140625" style="972" bestFit="1" customWidth="1"/>
    <col min="11286" max="11288" width="9.109375" style="972"/>
    <col min="11289" max="11289" width="11.44140625" style="972" bestFit="1" customWidth="1"/>
    <col min="11290" max="11292" width="9.109375" style="972"/>
    <col min="11293" max="11293" width="11.44140625" style="972" bestFit="1" customWidth="1"/>
    <col min="11294" max="11295" width="9.109375" style="972"/>
    <col min="11296" max="11296" width="10.109375" style="972" bestFit="1" customWidth="1"/>
    <col min="11297" max="11297" width="11.44140625" style="972" bestFit="1" customWidth="1"/>
    <col min="11298" max="11518" width="9.109375" style="972"/>
    <col min="11519" max="11519" width="4.33203125" style="972" customWidth="1"/>
    <col min="11520" max="11520" width="9.109375" style="972" bestFit="1" customWidth="1"/>
    <col min="11521" max="11521" width="12" style="972" customWidth="1"/>
    <col min="11522" max="11522" width="14.6640625" style="972" customWidth="1"/>
    <col min="11523" max="11523" width="13.109375" style="972" customWidth="1"/>
    <col min="11524" max="11524" width="9.5546875" style="972" customWidth="1"/>
    <col min="11525" max="11525" width="13.33203125" style="972" customWidth="1"/>
    <col min="11526" max="11526" width="16.5546875" style="972" bestFit="1" customWidth="1"/>
    <col min="11527" max="11527" width="10.88671875" style="972" bestFit="1" customWidth="1"/>
    <col min="11528" max="11528" width="8.33203125" style="972" bestFit="1" customWidth="1"/>
    <col min="11529" max="11529" width="16" style="972" customWidth="1"/>
    <col min="11530" max="11530" width="15.44140625" style="972" bestFit="1" customWidth="1"/>
    <col min="11531" max="11531" width="16" style="972" customWidth="1"/>
    <col min="11532" max="11532" width="11.44140625" style="972" bestFit="1" customWidth="1"/>
    <col min="11533" max="11533" width="14.109375" style="972" customWidth="1"/>
    <col min="11534" max="11534" width="15" style="972" bestFit="1" customWidth="1"/>
    <col min="11535" max="11535" width="13.33203125" style="972" bestFit="1" customWidth="1"/>
    <col min="11536" max="11536" width="15" style="972" bestFit="1" customWidth="1"/>
    <col min="11537" max="11537" width="13" style="972" customWidth="1"/>
    <col min="11538" max="11538" width="26.44140625" style="972" bestFit="1" customWidth="1"/>
    <col min="11539" max="11539" width="8.33203125" style="972" customWidth="1"/>
    <col min="11540" max="11540" width="9.109375" style="972"/>
    <col min="11541" max="11541" width="11.44140625" style="972" bestFit="1" customWidth="1"/>
    <col min="11542" max="11544" width="9.109375" style="972"/>
    <col min="11545" max="11545" width="11.44140625" style="972" bestFit="1" customWidth="1"/>
    <col min="11546" max="11548" width="9.109375" style="972"/>
    <col min="11549" max="11549" width="11.44140625" style="972" bestFit="1" customWidth="1"/>
    <col min="11550" max="11551" width="9.109375" style="972"/>
    <col min="11552" max="11552" width="10.109375" style="972" bestFit="1" customWidth="1"/>
    <col min="11553" max="11553" width="11.44140625" style="972" bestFit="1" customWidth="1"/>
    <col min="11554" max="11774" width="9.109375" style="972"/>
    <col min="11775" max="11775" width="4.33203125" style="972" customWidth="1"/>
    <col min="11776" max="11776" width="9.109375" style="972" bestFit="1" customWidth="1"/>
    <col min="11777" max="11777" width="12" style="972" customWidth="1"/>
    <col min="11778" max="11778" width="14.6640625" style="972" customWidth="1"/>
    <col min="11779" max="11779" width="13.109375" style="972" customWidth="1"/>
    <col min="11780" max="11780" width="9.5546875" style="972" customWidth="1"/>
    <col min="11781" max="11781" width="13.33203125" style="972" customWidth="1"/>
    <col min="11782" max="11782" width="16.5546875" style="972" bestFit="1" customWidth="1"/>
    <col min="11783" max="11783" width="10.88671875" style="972" bestFit="1" customWidth="1"/>
    <col min="11784" max="11784" width="8.33203125" style="972" bestFit="1" customWidth="1"/>
    <col min="11785" max="11785" width="16" style="972" customWidth="1"/>
    <col min="11786" max="11786" width="15.44140625" style="972" bestFit="1" customWidth="1"/>
    <col min="11787" max="11787" width="16" style="972" customWidth="1"/>
    <col min="11788" max="11788" width="11.44140625" style="972" bestFit="1" customWidth="1"/>
    <col min="11789" max="11789" width="14.109375" style="972" customWidth="1"/>
    <col min="11790" max="11790" width="15" style="972" bestFit="1" customWidth="1"/>
    <col min="11791" max="11791" width="13.33203125" style="972" bestFit="1" customWidth="1"/>
    <col min="11792" max="11792" width="15" style="972" bestFit="1" customWidth="1"/>
    <col min="11793" max="11793" width="13" style="972" customWidth="1"/>
    <col min="11794" max="11794" width="26.44140625" style="972" bestFit="1" customWidth="1"/>
    <col min="11795" max="11795" width="8.33203125" style="972" customWidth="1"/>
    <col min="11796" max="11796" width="9.109375" style="972"/>
    <col min="11797" max="11797" width="11.44140625" style="972" bestFit="1" customWidth="1"/>
    <col min="11798" max="11800" width="9.109375" style="972"/>
    <col min="11801" max="11801" width="11.44140625" style="972" bestFit="1" customWidth="1"/>
    <col min="11802" max="11804" width="9.109375" style="972"/>
    <col min="11805" max="11805" width="11.44140625" style="972" bestFit="1" customWidth="1"/>
    <col min="11806" max="11807" width="9.109375" style="972"/>
    <col min="11808" max="11808" width="10.109375" style="972" bestFit="1" customWidth="1"/>
    <col min="11809" max="11809" width="11.44140625" style="972" bestFit="1" customWidth="1"/>
    <col min="11810" max="12030" width="9.109375" style="972"/>
    <col min="12031" max="12031" width="4.33203125" style="972" customWidth="1"/>
    <col min="12032" max="12032" width="9.109375" style="972" bestFit="1" customWidth="1"/>
    <col min="12033" max="12033" width="12" style="972" customWidth="1"/>
    <col min="12034" max="12034" width="14.6640625" style="972" customWidth="1"/>
    <col min="12035" max="12035" width="13.109375" style="972" customWidth="1"/>
    <col min="12036" max="12036" width="9.5546875" style="972" customWidth="1"/>
    <col min="12037" max="12037" width="13.33203125" style="972" customWidth="1"/>
    <col min="12038" max="12038" width="16.5546875" style="972" bestFit="1" customWidth="1"/>
    <col min="12039" max="12039" width="10.88671875" style="972" bestFit="1" customWidth="1"/>
    <col min="12040" max="12040" width="8.33203125" style="972" bestFit="1" customWidth="1"/>
    <col min="12041" max="12041" width="16" style="972" customWidth="1"/>
    <col min="12042" max="12042" width="15.44140625" style="972" bestFit="1" customWidth="1"/>
    <col min="12043" max="12043" width="16" style="972" customWidth="1"/>
    <col min="12044" max="12044" width="11.44140625" style="972" bestFit="1" customWidth="1"/>
    <col min="12045" max="12045" width="14.109375" style="972" customWidth="1"/>
    <col min="12046" max="12046" width="15" style="972" bestFit="1" customWidth="1"/>
    <col min="12047" max="12047" width="13.33203125" style="972" bestFit="1" customWidth="1"/>
    <col min="12048" max="12048" width="15" style="972" bestFit="1" customWidth="1"/>
    <col min="12049" max="12049" width="13" style="972" customWidth="1"/>
    <col min="12050" max="12050" width="26.44140625" style="972" bestFit="1" customWidth="1"/>
    <col min="12051" max="12051" width="8.33203125" style="972" customWidth="1"/>
    <col min="12052" max="12052" width="9.109375" style="972"/>
    <col min="12053" max="12053" width="11.44140625" style="972" bestFit="1" customWidth="1"/>
    <col min="12054" max="12056" width="9.109375" style="972"/>
    <col min="12057" max="12057" width="11.44140625" style="972" bestFit="1" customWidth="1"/>
    <col min="12058" max="12060" width="9.109375" style="972"/>
    <col min="12061" max="12061" width="11.44140625" style="972" bestFit="1" customWidth="1"/>
    <col min="12062" max="12063" width="9.109375" style="972"/>
    <col min="12064" max="12064" width="10.109375" style="972" bestFit="1" customWidth="1"/>
    <col min="12065" max="12065" width="11.44140625" style="972" bestFit="1" customWidth="1"/>
    <col min="12066" max="12286" width="9.109375" style="972"/>
    <col min="12287" max="12287" width="4.33203125" style="972" customWidth="1"/>
    <col min="12288" max="12288" width="9.109375" style="972" bestFit="1" customWidth="1"/>
    <col min="12289" max="12289" width="12" style="972" customWidth="1"/>
    <col min="12290" max="12290" width="14.6640625" style="972" customWidth="1"/>
    <col min="12291" max="12291" width="13.109375" style="972" customWidth="1"/>
    <col min="12292" max="12292" width="9.5546875" style="972" customWidth="1"/>
    <col min="12293" max="12293" width="13.33203125" style="972" customWidth="1"/>
    <col min="12294" max="12294" width="16.5546875" style="972" bestFit="1" customWidth="1"/>
    <col min="12295" max="12295" width="10.88671875" style="972" bestFit="1" customWidth="1"/>
    <col min="12296" max="12296" width="8.33203125" style="972" bestFit="1" customWidth="1"/>
    <col min="12297" max="12297" width="16" style="972" customWidth="1"/>
    <col min="12298" max="12298" width="15.44140625" style="972" bestFit="1" customWidth="1"/>
    <col min="12299" max="12299" width="16" style="972" customWidth="1"/>
    <col min="12300" max="12300" width="11.44140625" style="972" bestFit="1" customWidth="1"/>
    <col min="12301" max="12301" width="14.109375" style="972" customWidth="1"/>
    <col min="12302" max="12302" width="15" style="972" bestFit="1" customWidth="1"/>
    <col min="12303" max="12303" width="13.33203125" style="972" bestFit="1" customWidth="1"/>
    <col min="12304" max="12304" width="15" style="972" bestFit="1" customWidth="1"/>
    <col min="12305" max="12305" width="13" style="972" customWidth="1"/>
    <col min="12306" max="12306" width="26.44140625" style="972" bestFit="1" customWidth="1"/>
    <col min="12307" max="12307" width="8.33203125" style="972" customWidth="1"/>
    <col min="12308" max="12308" width="9.109375" style="972"/>
    <col min="12309" max="12309" width="11.44140625" style="972" bestFit="1" customWidth="1"/>
    <col min="12310" max="12312" width="9.109375" style="972"/>
    <col min="12313" max="12313" width="11.44140625" style="972" bestFit="1" customWidth="1"/>
    <col min="12314" max="12316" width="9.109375" style="972"/>
    <col min="12317" max="12317" width="11.44140625" style="972" bestFit="1" customWidth="1"/>
    <col min="12318" max="12319" width="9.109375" style="972"/>
    <col min="12320" max="12320" width="10.109375" style="972" bestFit="1" customWidth="1"/>
    <col min="12321" max="12321" width="11.44140625" style="972" bestFit="1" customWidth="1"/>
    <col min="12322" max="12542" width="9.109375" style="972"/>
    <col min="12543" max="12543" width="4.33203125" style="972" customWidth="1"/>
    <col min="12544" max="12544" width="9.109375" style="972" bestFit="1" customWidth="1"/>
    <col min="12545" max="12545" width="12" style="972" customWidth="1"/>
    <col min="12546" max="12546" width="14.6640625" style="972" customWidth="1"/>
    <col min="12547" max="12547" width="13.109375" style="972" customWidth="1"/>
    <col min="12548" max="12548" width="9.5546875" style="972" customWidth="1"/>
    <col min="12549" max="12549" width="13.33203125" style="972" customWidth="1"/>
    <col min="12550" max="12550" width="16.5546875" style="972" bestFit="1" customWidth="1"/>
    <col min="12551" max="12551" width="10.88671875" style="972" bestFit="1" customWidth="1"/>
    <col min="12552" max="12552" width="8.33203125" style="972" bestFit="1" customWidth="1"/>
    <col min="12553" max="12553" width="16" style="972" customWidth="1"/>
    <col min="12554" max="12554" width="15.44140625" style="972" bestFit="1" customWidth="1"/>
    <col min="12555" max="12555" width="16" style="972" customWidth="1"/>
    <col min="12556" max="12556" width="11.44140625" style="972" bestFit="1" customWidth="1"/>
    <col min="12557" max="12557" width="14.109375" style="972" customWidth="1"/>
    <col min="12558" max="12558" width="15" style="972" bestFit="1" customWidth="1"/>
    <col min="12559" max="12559" width="13.33203125" style="972" bestFit="1" customWidth="1"/>
    <col min="12560" max="12560" width="15" style="972" bestFit="1" customWidth="1"/>
    <col min="12561" max="12561" width="13" style="972" customWidth="1"/>
    <col min="12562" max="12562" width="26.44140625" style="972" bestFit="1" customWidth="1"/>
    <col min="12563" max="12563" width="8.33203125" style="972" customWidth="1"/>
    <col min="12564" max="12564" width="9.109375" style="972"/>
    <col min="12565" max="12565" width="11.44140625" style="972" bestFit="1" customWidth="1"/>
    <col min="12566" max="12568" width="9.109375" style="972"/>
    <col min="12569" max="12569" width="11.44140625" style="972" bestFit="1" customWidth="1"/>
    <col min="12570" max="12572" width="9.109375" style="972"/>
    <col min="12573" max="12573" width="11.44140625" style="972" bestFit="1" customWidth="1"/>
    <col min="12574" max="12575" width="9.109375" style="972"/>
    <col min="12576" max="12576" width="10.109375" style="972" bestFit="1" customWidth="1"/>
    <col min="12577" max="12577" width="11.44140625" style="972" bestFit="1" customWidth="1"/>
    <col min="12578" max="12798" width="9.109375" style="972"/>
    <col min="12799" max="12799" width="4.33203125" style="972" customWidth="1"/>
    <col min="12800" max="12800" width="9.109375" style="972" bestFit="1" customWidth="1"/>
    <col min="12801" max="12801" width="12" style="972" customWidth="1"/>
    <col min="12802" max="12802" width="14.6640625" style="972" customWidth="1"/>
    <col min="12803" max="12803" width="13.109375" style="972" customWidth="1"/>
    <col min="12804" max="12804" width="9.5546875" style="972" customWidth="1"/>
    <col min="12805" max="12805" width="13.33203125" style="972" customWidth="1"/>
    <col min="12806" max="12806" width="16.5546875" style="972" bestFit="1" customWidth="1"/>
    <col min="12807" max="12807" width="10.88671875" style="972" bestFit="1" customWidth="1"/>
    <col min="12808" max="12808" width="8.33203125" style="972" bestFit="1" customWidth="1"/>
    <col min="12809" max="12809" width="16" style="972" customWidth="1"/>
    <col min="12810" max="12810" width="15.44140625" style="972" bestFit="1" customWidth="1"/>
    <col min="12811" max="12811" width="16" style="972" customWidth="1"/>
    <col min="12812" max="12812" width="11.44140625" style="972" bestFit="1" customWidth="1"/>
    <col min="12813" max="12813" width="14.109375" style="972" customWidth="1"/>
    <col min="12814" max="12814" width="15" style="972" bestFit="1" customWidth="1"/>
    <col min="12815" max="12815" width="13.33203125" style="972" bestFit="1" customWidth="1"/>
    <col min="12816" max="12816" width="15" style="972" bestFit="1" customWidth="1"/>
    <col min="12817" max="12817" width="13" style="972" customWidth="1"/>
    <col min="12818" max="12818" width="26.44140625" style="972" bestFit="1" customWidth="1"/>
    <col min="12819" max="12819" width="8.33203125" style="972" customWidth="1"/>
    <col min="12820" max="12820" width="9.109375" style="972"/>
    <col min="12821" max="12821" width="11.44140625" style="972" bestFit="1" customWidth="1"/>
    <col min="12822" max="12824" width="9.109375" style="972"/>
    <col min="12825" max="12825" width="11.44140625" style="972" bestFit="1" customWidth="1"/>
    <col min="12826" max="12828" width="9.109375" style="972"/>
    <col min="12829" max="12829" width="11.44140625" style="972" bestFit="1" customWidth="1"/>
    <col min="12830" max="12831" width="9.109375" style="972"/>
    <col min="12832" max="12832" width="10.109375" style="972" bestFit="1" customWidth="1"/>
    <col min="12833" max="12833" width="11.44140625" style="972" bestFit="1" customWidth="1"/>
    <col min="12834" max="13054" width="9.109375" style="972"/>
    <col min="13055" max="13055" width="4.33203125" style="972" customWidth="1"/>
    <col min="13056" max="13056" width="9.109375" style="972" bestFit="1" customWidth="1"/>
    <col min="13057" max="13057" width="12" style="972" customWidth="1"/>
    <col min="13058" max="13058" width="14.6640625" style="972" customWidth="1"/>
    <col min="13059" max="13059" width="13.109375" style="972" customWidth="1"/>
    <col min="13060" max="13060" width="9.5546875" style="972" customWidth="1"/>
    <col min="13061" max="13061" width="13.33203125" style="972" customWidth="1"/>
    <col min="13062" max="13062" width="16.5546875" style="972" bestFit="1" customWidth="1"/>
    <col min="13063" max="13063" width="10.88671875" style="972" bestFit="1" customWidth="1"/>
    <col min="13064" max="13064" width="8.33203125" style="972" bestFit="1" customWidth="1"/>
    <col min="13065" max="13065" width="16" style="972" customWidth="1"/>
    <col min="13066" max="13066" width="15.44140625" style="972" bestFit="1" customWidth="1"/>
    <col min="13067" max="13067" width="16" style="972" customWidth="1"/>
    <col min="13068" max="13068" width="11.44140625" style="972" bestFit="1" customWidth="1"/>
    <col min="13069" max="13069" width="14.109375" style="972" customWidth="1"/>
    <col min="13070" max="13070" width="15" style="972" bestFit="1" customWidth="1"/>
    <col min="13071" max="13071" width="13.33203125" style="972" bestFit="1" customWidth="1"/>
    <col min="13072" max="13072" width="15" style="972" bestFit="1" customWidth="1"/>
    <col min="13073" max="13073" width="13" style="972" customWidth="1"/>
    <col min="13074" max="13074" width="26.44140625" style="972" bestFit="1" customWidth="1"/>
    <col min="13075" max="13075" width="8.33203125" style="972" customWidth="1"/>
    <col min="13076" max="13076" width="9.109375" style="972"/>
    <col min="13077" max="13077" width="11.44140625" style="972" bestFit="1" customWidth="1"/>
    <col min="13078" max="13080" width="9.109375" style="972"/>
    <col min="13081" max="13081" width="11.44140625" style="972" bestFit="1" customWidth="1"/>
    <col min="13082" max="13084" width="9.109375" style="972"/>
    <col min="13085" max="13085" width="11.44140625" style="972" bestFit="1" customWidth="1"/>
    <col min="13086" max="13087" width="9.109375" style="972"/>
    <col min="13088" max="13088" width="10.109375" style="972" bestFit="1" customWidth="1"/>
    <col min="13089" max="13089" width="11.44140625" style="972" bestFit="1" customWidth="1"/>
    <col min="13090" max="13310" width="9.109375" style="972"/>
    <col min="13311" max="13311" width="4.33203125" style="972" customWidth="1"/>
    <col min="13312" max="13312" width="9.109375" style="972" bestFit="1" customWidth="1"/>
    <col min="13313" max="13313" width="12" style="972" customWidth="1"/>
    <col min="13314" max="13314" width="14.6640625" style="972" customWidth="1"/>
    <col min="13315" max="13315" width="13.109375" style="972" customWidth="1"/>
    <col min="13316" max="13316" width="9.5546875" style="972" customWidth="1"/>
    <col min="13317" max="13317" width="13.33203125" style="972" customWidth="1"/>
    <col min="13318" max="13318" width="16.5546875" style="972" bestFit="1" customWidth="1"/>
    <col min="13319" max="13319" width="10.88671875" style="972" bestFit="1" customWidth="1"/>
    <col min="13320" max="13320" width="8.33203125" style="972" bestFit="1" customWidth="1"/>
    <col min="13321" max="13321" width="16" style="972" customWidth="1"/>
    <col min="13322" max="13322" width="15.44140625" style="972" bestFit="1" customWidth="1"/>
    <col min="13323" max="13323" width="16" style="972" customWidth="1"/>
    <col min="13324" max="13324" width="11.44140625" style="972" bestFit="1" customWidth="1"/>
    <col min="13325" max="13325" width="14.109375" style="972" customWidth="1"/>
    <col min="13326" max="13326" width="15" style="972" bestFit="1" customWidth="1"/>
    <col min="13327" max="13327" width="13.33203125" style="972" bestFit="1" customWidth="1"/>
    <col min="13328" max="13328" width="15" style="972" bestFit="1" customWidth="1"/>
    <col min="13329" max="13329" width="13" style="972" customWidth="1"/>
    <col min="13330" max="13330" width="26.44140625" style="972" bestFit="1" customWidth="1"/>
    <col min="13331" max="13331" width="8.33203125" style="972" customWidth="1"/>
    <col min="13332" max="13332" width="9.109375" style="972"/>
    <col min="13333" max="13333" width="11.44140625" style="972" bestFit="1" customWidth="1"/>
    <col min="13334" max="13336" width="9.109375" style="972"/>
    <col min="13337" max="13337" width="11.44140625" style="972" bestFit="1" customWidth="1"/>
    <col min="13338" max="13340" width="9.109375" style="972"/>
    <col min="13341" max="13341" width="11.44140625" style="972" bestFit="1" customWidth="1"/>
    <col min="13342" max="13343" width="9.109375" style="972"/>
    <col min="13344" max="13344" width="10.109375" style="972" bestFit="1" customWidth="1"/>
    <col min="13345" max="13345" width="11.44140625" style="972" bestFit="1" customWidth="1"/>
    <col min="13346" max="13566" width="9.109375" style="972"/>
    <col min="13567" max="13567" width="4.33203125" style="972" customWidth="1"/>
    <col min="13568" max="13568" width="9.109375" style="972" bestFit="1" customWidth="1"/>
    <col min="13569" max="13569" width="12" style="972" customWidth="1"/>
    <col min="13570" max="13570" width="14.6640625" style="972" customWidth="1"/>
    <col min="13571" max="13571" width="13.109375" style="972" customWidth="1"/>
    <col min="13572" max="13572" width="9.5546875" style="972" customWidth="1"/>
    <col min="13573" max="13573" width="13.33203125" style="972" customWidth="1"/>
    <col min="13574" max="13574" width="16.5546875" style="972" bestFit="1" customWidth="1"/>
    <col min="13575" max="13575" width="10.88671875" style="972" bestFit="1" customWidth="1"/>
    <col min="13576" max="13576" width="8.33203125" style="972" bestFit="1" customWidth="1"/>
    <col min="13577" max="13577" width="16" style="972" customWidth="1"/>
    <col min="13578" max="13578" width="15.44140625" style="972" bestFit="1" customWidth="1"/>
    <col min="13579" max="13579" width="16" style="972" customWidth="1"/>
    <col min="13580" max="13580" width="11.44140625" style="972" bestFit="1" customWidth="1"/>
    <col min="13581" max="13581" width="14.109375" style="972" customWidth="1"/>
    <col min="13582" max="13582" width="15" style="972" bestFit="1" customWidth="1"/>
    <col min="13583" max="13583" width="13.33203125" style="972" bestFit="1" customWidth="1"/>
    <col min="13584" max="13584" width="15" style="972" bestFit="1" customWidth="1"/>
    <col min="13585" max="13585" width="13" style="972" customWidth="1"/>
    <col min="13586" max="13586" width="26.44140625" style="972" bestFit="1" customWidth="1"/>
    <col min="13587" max="13587" width="8.33203125" style="972" customWidth="1"/>
    <col min="13588" max="13588" width="9.109375" style="972"/>
    <col min="13589" max="13589" width="11.44140625" style="972" bestFit="1" customWidth="1"/>
    <col min="13590" max="13592" width="9.109375" style="972"/>
    <col min="13593" max="13593" width="11.44140625" style="972" bestFit="1" customWidth="1"/>
    <col min="13594" max="13596" width="9.109375" style="972"/>
    <col min="13597" max="13597" width="11.44140625" style="972" bestFit="1" customWidth="1"/>
    <col min="13598" max="13599" width="9.109375" style="972"/>
    <col min="13600" max="13600" width="10.109375" style="972" bestFit="1" customWidth="1"/>
    <col min="13601" max="13601" width="11.44140625" style="972" bestFit="1" customWidth="1"/>
    <col min="13602" max="13822" width="9.109375" style="972"/>
    <col min="13823" max="13823" width="4.33203125" style="972" customWidth="1"/>
    <col min="13824" max="13824" width="9.109375" style="972" bestFit="1" customWidth="1"/>
    <col min="13825" max="13825" width="12" style="972" customWidth="1"/>
    <col min="13826" max="13826" width="14.6640625" style="972" customWidth="1"/>
    <col min="13827" max="13827" width="13.109375" style="972" customWidth="1"/>
    <col min="13828" max="13828" width="9.5546875" style="972" customWidth="1"/>
    <col min="13829" max="13829" width="13.33203125" style="972" customWidth="1"/>
    <col min="13830" max="13830" width="16.5546875" style="972" bestFit="1" customWidth="1"/>
    <col min="13831" max="13831" width="10.88671875" style="972" bestFit="1" customWidth="1"/>
    <col min="13832" max="13832" width="8.33203125" style="972" bestFit="1" customWidth="1"/>
    <col min="13833" max="13833" width="16" style="972" customWidth="1"/>
    <col min="13834" max="13834" width="15.44140625" style="972" bestFit="1" customWidth="1"/>
    <col min="13835" max="13835" width="16" style="972" customWidth="1"/>
    <col min="13836" max="13836" width="11.44140625" style="972" bestFit="1" customWidth="1"/>
    <col min="13837" max="13837" width="14.109375" style="972" customWidth="1"/>
    <col min="13838" max="13838" width="15" style="972" bestFit="1" customWidth="1"/>
    <col min="13839" max="13839" width="13.33203125" style="972" bestFit="1" customWidth="1"/>
    <col min="13840" max="13840" width="15" style="972" bestFit="1" customWidth="1"/>
    <col min="13841" max="13841" width="13" style="972" customWidth="1"/>
    <col min="13842" max="13842" width="26.44140625" style="972" bestFit="1" customWidth="1"/>
    <col min="13843" max="13843" width="8.33203125" style="972" customWidth="1"/>
    <col min="13844" max="13844" width="9.109375" style="972"/>
    <col min="13845" max="13845" width="11.44140625" style="972" bestFit="1" customWidth="1"/>
    <col min="13846" max="13848" width="9.109375" style="972"/>
    <col min="13849" max="13849" width="11.44140625" style="972" bestFit="1" customWidth="1"/>
    <col min="13850" max="13852" width="9.109375" style="972"/>
    <col min="13853" max="13853" width="11.44140625" style="972" bestFit="1" customWidth="1"/>
    <col min="13854" max="13855" width="9.109375" style="972"/>
    <col min="13856" max="13856" width="10.109375" style="972" bestFit="1" customWidth="1"/>
    <col min="13857" max="13857" width="11.44140625" style="972" bestFit="1" customWidth="1"/>
    <col min="13858" max="14078" width="9.109375" style="972"/>
    <col min="14079" max="14079" width="4.33203125" style="972" customWidth="1"/>
    <col min="14080" max="14080" width="9.109375" style="972" bestFit="1" customWidth="1"/>
    <col min="14081" max="14081" width="12" style="972" customWidth="1"/>
    <col min="14082" max="14082" width="14.6640625" style="972" customWidth="1"/>
    <col min="14083" max="14083" width="13.109375" style="972" customWidth="1"/>
    <col min="14084" max="14084" width="9.5546875" style="972" customWidth="1"/>
    <col min="14085" max="14085" width="13.33203125" style="972" customWidth="1"/>
    <col min="14086" max="14086" width="16.5546875" style="972" bestFit="1" customWidth="1"/>
    <col min="14087" max="14087" width="10.88671875" style="972" bestFit="1" customWidth="1"/>
    <col min="14088" max="14088" width="8.33203125" style="972" bestFit="1" customWidth="1"/>
    <col min="14089" max="14089" width="16" style="972" customWidth="1"/>
    <col min="14090" max="14090" width="15.44140625" style="972" bestFit="1" customWidth="1"/>
    <col min="14091" max="14091" width="16" style="972" customWidth="1"/>
    <col min="14092" max="14092" width="11.44140625" style="972" bestFit="1" customWidth="1"/>
    <col min="14093" max="14093" width="14.109375" style="972" customWidth="1"/>
    <col min="14094" max="14094" width="15" style="972" bestFit="1" customWidth="1"/>
    <col min="14095" max="14095" width="13.33203125" style="972" bestFit="1" customWidth="1"/>
    <col min="14096" max="14096" width="15" style="972" bestFit="1" customWidth="1"/>
    <col min="14097" max="14097" width="13" style="972" customWidth="1"/>
    <col min="14098" max="14098" width="26.44140625" style="972" bestFit="1" customWidth="1"/>
    <col min="14099" max="14099" width="8.33203125" style="972" customWidth="1"/>
    <col min="14100" max="14100" width="9.109375" style="972"/>
    <col min="14101" max="14101" width="11.44140625" style="972" bestFit="1" customWidth="1"/>
    <col min="14102" max="14104" width="9.109375" style="972"/>
    <col min="14105" max="14105" width="11.44140625" style="972" bestFit="1" customWidth="1"/>
    <col min="14106" max="14108" width="9.109375" style="972"/>
    <col min="14109" max="14109" width="11.44140625" style="972" bestFit="1" customWidth="1"/>
    <col min="14110" max="14111" width="9.109375" style="972"/>
    <col min="14112" max="14112" width="10.109375" style="972" bestFit="1" customWidth="1"/>
    <col min="14113" max="14113" width="11.44140625" style="972" bestFit="1" customWidth="1"/>
    <col min="14114" max="14334" width="9.109375" style="972"/>
    <col min="14335" max="14335" width="4.33203125" style="972" customWidth="1"/>
    <col min="14336" max="14336" width="9.109375" style="972" bestFit="1" customWidth="1"/>
    <col min="14337" max="14337" width="12" style="972" customWidth="1"/>
    <col min="14338" max="14338" width="14.6640625" style="972" customWidth="1"/>
    <col min="14339" max="14339" width="13.109375" style="972" customWidth="1"/>
    <col min="14340" max="14340" width="9.5546875" style="972" customWidth="1"/>
    <col min="14341" max="14341" width="13.33203125" style="972" customWidth="1"/>
    <col min="14342" max="14342" width="16.5546875" style="972" bestFit="1" customWidth="1"/>
    <col min="14343" max="14343" width="10.88671875" style="972" bestFit="1" customWidth="1"/>
    <col min="14344" max="14344" width="8.33203125" style="972" bestFit="1" customWidth="1"/>
    <col min="14345" max="14345" width="16" style="972" customWidth="1"/>
    <col min="14346" max="14346" width="15.44140625" style="972" bestFit="1" customWidth="1"/>
    <col min="14347" max="14347" width="16" style="972" customWidth="1"/>
    <col min="14348" max="14348" width="11.44140625" style="972" bestFit="1" customWidth="1"/>
    <col min="14349" max="14349" width="14.109375" style="972" customWidth="1"/>
    <col min="14350" max="14350" width="15" style="972" bestFit="1" customWidth="1"/>
    <col min="14351" max="14351" width="13.33203125" style="972" bestFit="1" customWidth="1"/>
    <col min="14352" max="14352" width="15" style="972" bestFit="1" customWidth="1"/>
    <col min="14353" max="14353" width="13" style="972" customWidth="1"/>
    <col min="14354" max="14354" width="26.44140625" style="972" bestFit="1" customWidth="1"/>
    <col min="14355" max="14355" width="8.33203125" style="972" customWidth="1"/>
    <col min="14356" max="14356" width="9.109375" style="972"/>
    <col min="14357" max="14357" width="11.44140625" style="972" bestFit="1" customWidth="1"/>
    <col min="14358" max="14360" width="9.109375" style="972"/>
    <col min="14361" max="14361" width="11.44140625" style="972" bestFit="1" customWidth="1"/>
    <col min="14362" max="14364" width="9.109375" style="972"/>
    <col min="14365" max="14365" width="11.44140625" style="972" bestFit="1" customWidth="1"/>
    <col min="14366" max="14367" width="9.109375" style="972"/>
    <col min="14368" max="14368" width="10.109375" style="972" bestFit="1" customWidth="1"/>
    <col min="14369" max="14369" width="11.44140625" style="972" bestFit="1" customWidth="1"/>
    <col min="14370" max="14590" width="9.109375" style="972"/>
    <col min="14591" max="14591" width="4.33203125" style="972" customWidth="1"/>
    <col min="14592" max="14592" width="9.109375" style="972" bestFit="1" customWidth="1"/>
    <col min="14593" max="14593" width="12" style="972" customWidth="1"/>
    <col min="14594" max="14594" width="14.6640625" style="972" customWidth="1"/>
    <col min="14595" max="14595" width="13.109375" style="972" customWidth="1"/>
    <col min="14596" max="14596" width="9.5546875" style="972" customWidth="1"/>
    <col min="14597" max="14597" width="13.33203125" style="972" customWidth="1"/>
    <col min="14598" max="14598" width="16.5546875" style="972" bestFit="1" customWidth="1"/>
    <col min="14599" max="14599" width="10.88671875" style="972" bestFit="1" customWidth="1"/>
    <col min="14600" max="14600" width="8.33203125" style="972" bestFit="1" customWidth="1"/>
    <col min="14601" max="14601" width="16" style="972" customWidth="1"/>
    <col min="14602" max="14602" width="15.44140625" style="972" bestFit="1" customWidth="1"/>
    <col min="14603" max="14603" width="16" style="972" customWidth="1"/>
    <col min="14604" max="14604" width="11.44140625" style="972" bestFit="1" customWidth="1"/>
    <col min="14605" max="14605" width="14.109375" style="972" customWidth="1"/>
    <col min="14606" max="14606" width="15" style="972" bestFit="1" customWidth="1"/>
    <col min="14607" max="14607" width="13.33203125" style="972" bestFit="1" customWidth="1"/>
    <col min="14608" max="14608" width="15" style="972" bestFit="1" customWidth="1"/>
    <col min="14609" max="14609" width="13" style="972" customWidth="1"/>
    <col min="14610" max="14610" width="26.44140625" style="972" bestFit="1" customWidth="1"/>
    <col min="14611" max="14611" width="8.33203125" style="972" customWidth="1"/>
    <col min="14612" max="14612" width="9.109375" style="972"/>
    <col min="14613" max="14613" width="11.44140625" style="972" bestFit="1" customWidth="1"/>
    <col min="14614" max="14616" width="9.109375" style="972"/>
    <col min="14617" max="14617" width="11.44140625" style="972" bestFit="1" customWidth="1"/>
    <col min="14618" max="14620" width="9.109375" style="972"/>
    <col min="14621" max="14621" width="11.44140625" style="972" bestFit="1" customWidth="1"/>
    <col min="14622" max="14623" width="9.109375" style="972"/>
    <col min="14624" max="14624" width="10.109375" style="972" bestFit="1" customWidth="1"/>
    <col min="14625" max="14625" width="11.44140625" style="972" bestFit="1" customWidth="1"/>
    <col min="14626" max="14846" width="9.109375" style="972"/>
    <col min="14847" max="14847" width="4.33203125" style="972" customWidth="1"/>
    <col min="14848" max="14848" width="9.109375" style="972" bestFit="1" customWidth="1"/>
    <col min="14849" max="14849" width="12" style="972" customWidth="1"/>
    <col min="14850" max="14850" width="14.6640625" style="972" customWidth="1"/>
    <col min="14851" max="14851" width="13.109375" style="972" customWidth="1"/>
    <col min="14852" max="14852" width="9.5546875" style="972" customWidth="1"/>
    <col min="14853" max="14853" width="13.33203125" style="972" customWidth="1"/>
    <col min="14854" max="14854" width="16.5546875" style="972" bestFit="1" customWidth="1"/>
    <col min="14855" max="14855" width="10.88671875" style="972" bestFit="1" customWidth="1"/>
    <col min="14856" max="14856" width="8.33203125" style="972" bestFit="1" customWidth="1"/>
    <col min="14857" max="14857" width="16" style="972" customWidth="1"/>
    <col min="14858" max="14858" width="15.44140625" style="972" bestFit="1" customWidth="1"/>
    <col min="14859" max="14859" width="16" style="972" customWidth="1"/>
    <col min="14860" max="14860" width="11.44140625" style="972" bestFit="1" customWidth="1"/>
    <col min="14861" max="14861" width="14.109375" style="972" customWidth="1"/>
    <col min="14862" max="14862" width="15" style="972" bestFit="1" customWidth="1"/>
    <col min="14863" max="14863" width="13.33203125" style="972" bestFit="1" customWidth="1"/>
    <col min="14864" max="14864" width="15" style="972" bestFit="1" customWidth="1"/>
    <col min="14865" max="14865" width="13" style="972" customWidth="1"/>
    <col min="14866" max="14866" width="26.44140625" style="972" bestFit="1" customWidth="1"/>
    <col min="14867" max="14867" width="8.33203125" style="972" customWidth="1"/>
    <col min="14868" max="14868" width="9.109375" style="972"/>
    <col min="14869" max="14869" width="11.44140625" style="972" bestFit="1" customWidth="1"/>
    <col min="14870" max="14872" width="9.109375" style="972"/>
    <col min="14873" max="14873" width="11.44140625" style="972" bestFit="1" customWidth="1"/>
    <col min="14874" max="14876" width="9.109375" style="972"/>
    <col min="14877" max="14877" width="11.44140625" style="972" bestFit="1" customWidth="1"/>
    <col min="14878" max="14879" width="9.109375" style="972"/>
    <col min="14880" max="14880" width="10.109375" style="972" bestFit="1" customWidth="1"/>
    <col min="14881" max="14881" width="11.44140625" style="972" bestFit="1" customWidth="1"/>
    <col min="14882" max="15102" width="9.109375" style="972"/>
    <col min="15103" max="15103" width="4.33203125" style="972" customWidth="1"/>
    <col min="15104" max="15104" width="9.109375" style="972" bestFit="1" customWidth="1"/>
    <col min="15105" max="15105" width="12" style="972" customWidth="1"/>
    <col min="15106" max="15106" width="14.6640625" style="972" customWidth="1"/>
    <col min="15107" max="15107" width="13.109375" style="972" customWidth="1"/>
    <col min="15108" max="15108" width="9.5546875" style="972" customWidth="1"/>
    <col min="15109" max="15109" width="13.33203125" style="972" customWidth="1"/>
    <col min="15110" max="15110" width="16.5546875" style="972" bestFit="1" customWidth="1"/>
    <col min="15111" max="15111" width="10.88671875" style="972" bestFit="1" customWidth="1"/>
    <col min="15112" max="15112" width="8.33203125" style="972" bestFit="1" customWidth="1"/>
    <col min="15113" max="15113" width="16" style="972" customWidth="1"/>
    <col min="15114" max="15114" width="15.44140625" style="972" bestFit="1" customWidth="1"/>
    <col min="15115" max="15115" width="16" style="972" customWidth="1"/>
    <col min="15116" max="15116" width="11.44140625" style="972" bestFit="1" customWidth="1"/>
    <col min="15117" max="15117" width="14.109375" style="972" customWidth="1"/>
    <col min="15118" max="15118" width="15" style="972" bestFit="1" customWidth="1"/>
    <col min="15119" max="15119" width="13.33203125" style="972" bestFit="1" customWidth="1"/>
    <col min="15120" max="15120" width="15" style="972" bestFit="1" customWidth="1"/>
    <col min="15121" max="15121" width="13" style="972" customWidth="1"/>
    <col min="15122" max="15122" width="26.44140625" style="972" bestFit="1" customWidth="1"/>
    <col min="15123" max="15123" width="8.33203125" style="972" customWidth="1"/>
    <col min="15124" max="15124" width="9.109375" style="972"/>
    <col min="15125" max="15125" width="11.44140625" style="972" bestFit="1" customWidth="1"/>
    <col min="15126" max="15128" width="9.109375" style="972"/>
    <col min="15129" max="15129" width="11.44140625" style="972" bestFit="1" customWidth="1"/>
    <col min="15130" max="15132" width="9.109375" style="972"/>
    <col min="15133" max="15133" width="11.44140625" style="972" bestFit="1" customWidth="1"/>
    <col min="15134" max="15135" width="9.109375" style="972"/>
    <col min="15136" max="15136" width="10.109375" style="972" bestFit="1" customWidth="1"/>
    <col min="15137" max="15137" width="11.44140625" style="972" bestFit="1" customWidth="1"/>
    <col min="15138" max="15358" width="9.109375" style="972"/>
    <col min="15359" max="15359" width="4.33203125" style="972" customWidth="1"/>
    <col min="15360" max="15360" width="9.109375" style="972" bestFit="1" customWidth="1"/>
    <col min="15361" max="15361" width="12" style="972" customWidth="1"/>
    <col min="15362" max="15362" width="14.6640625" style="972" customWidth="1"/>
    <col min="15363" max="15363" width="13.109375" style="972" customWidth="1"/>
    <col min="15364" max="15364" width="9.5546875" style="972" customWidth="1"/>
    <col min="15365" max="15365" width="13.33203125" style="972" customWidth="1"/>
    <col min="15366" max="15366" width="16.5546875" style="972" bestFit="1" customWidth="1"/>
    <col min="15367" max="15367" width="10.88671875" style="972" bestFit="1" customWidth="1"/>
    <col min="15368" max="15368" width="8.33203125" style="972" bestFit="1" customWidth="1"/>
    <col min="15369" max="15369" width="16" style="972" customWidth="1"/>
    <col min="15370" max="15370" width="15.44140625" style="972" bestFit="1" customWidth="1"/>
    <col min="15371" max="15371" width="16" style="972" customWidth="1"/>
    <col min="15372" max="15372" width="11.44140625" style="972" bestFit="1" customWidth="1"/>
    <col min="15373" max="15373" width="14.109375" style="972" customWidth="1"/>
    <col min="15374" max="15374" width="15" style="972" bestFit="1" customWidth="1"/>
    <col min="15375" max="15375" width="13.33203125" style="972" bestFit="1" customWidth="1"/>
    <col min="15376" max="15376" width="15" style="972" bestFit="1" customWidth="1"/>
    <col min="15377" max="15377" width="13" style="972" customWidth="1"/>
    <col min="15378" max="15378" width="26.44140625" style="972" bestFit="1" customWidth="1"/>
    <col min="15379" max="15379" width="8.33203125" style="972" customWidth="1"/>
    <col min="15380" max="15380" width="9.109375" style="972"/>
    <col min="15381" max="15381" width="11.44140625" style="972" bestFit="1" customWidth="1"/>
    <col min="15382" max="15384" width="9.109375" style="972"/>
    <col min="15385" max="15385" width="11.44140625" style="972" bestFit="1" customWidth="1"/>
    <col min="15386" max="15388" width="9.109375" style="972"/>
    <col min="15389" max="15389" width="11.44140625" style="972" bestFit="1" customWidth="1"/>
    <col min="15390" max="15391" width="9.109375" style="972"/>
    <col min="15392" max="15392" width="10.109375" style="972" bestFit="1" customWidth="1"/>
    <col min="15393" max="15393" width="11.44140625" style="972" bestFit="1" customWidth="1"/>
    <col min="15394" max="15614" width="9.109375" style="972"/>
    <col min="15615" max="15615" width="4.33203125" style="972" customWidth="1"/>
    <col min="15616" max="15616" width="9.109375" style="972" bestFit="1" customWidth="1"/>
    <col min="15617" max="15617" width="12" style="972" customWidth="1"/>
    <col min="15618" max="15618" width="14.6640625" style="972" customWidth="1"/>
    <col min="15619" max="15619" width="13.109375" style="972" customWidth="1"/>
    <col min="15620" max="15620" width="9.5546875" style="972" customWidth="1"/>
    <col min="15621" max="15621" width="13.33203125" style="972" customWidth="1"/>
    <col min="15622" max="15622" width="16.5546875" style="972" bestFit="1" customWidth="1"/>
    <col min="15623" max="15623" width="10.88671875" style="972" bestFit="1" customWidth="1"/>
    <col min="15624" max="15624" width="8.33203125" style="972" bestFit="1" customWidth="1"/>
    <col min="15625" max="15625" width="16" style="972" customWidth="1"/>
    <col min="15626" max="15626" width="15.44140625" style="972" bestFit="1" customWidth="1"/>
    <col min="15627" max="15627" width="16" style="972" customWidth="1"/>
    <col min="15628" max="15628" width="11.44140625" style="972" bestFit="1" customWidth="1"/>
    <col min="15629" max="15629" width="14.109375" style="972" customWidth="1"/>
    <col min="15630" max="15630" width="15" style="972" bestFit="1" customWidth="1"/>
    <col min="15631" max="15631" width="13.33203125" style="972" bestFit="1" customWidth="1"/>
    <col min="15632" max="15632" width="15" style="972" bestFit="1" customWidth="1"/>
    <col min="15633" max="15633" width="13" style="972" customWidth="1"/>
    <col min="15634" max="15634" width="26.44140625" style="972" bestFit="1" customWidth="1"/>
    <col min="15635" max="15635" width="8.33203125" style="972" customWidth="1"/>
    <col min="15636" max="15636" width="9.109375" style="972"/>
    <col min="15637" max="15637" width="11.44140625" style="972" bestFit="1" customWidth="1"/>
    <col min="15638" max="15640" width="9.109375" style="972"/>
    <col min="15641" max="15641" width="11.44140625" style="972" bestFit="1" customWidth="1"/>
    <col min="15642" max="15644" width="9.109375" style="972"/>
    <col min="15645" max="15645" width="11.44140625" style="972" bestFit="1" customWidth="1"/>
    <col min="15646" max="15647" width="9.109375" style="972"/>
    <col min="15648" max="15648" width="10.109375" style="972" bestFit="1" customWidth="1"/>
    <col min="15649" max="15649" width="11.44140625" style="972" bestFit="1" customWidth="1"/>
    <col min="15650" max="15870" width="9.109375" style="972"/>
    <col min="15871" max="15871" width="4.33203125" style="972" customWidth="1"/>
    <col min="15872" max="15872" width="9.109375" style="972" bestFit="1" customWidth="1"/>
    <col min="15873" max="15873" width="12" style="972" customWidth="1"/>
    <col min="15874" max="15874" width="14.6640625" style="972" customWidth="1"/>
    <col min="15875" max="15875" width="13.109375" style="972" customWidth="1"/>
    <col min="15876" max="15876" width="9.5546875" style="972" customWidth="1"/>
    <col min="15877" max="15877" width="13.33203125" style="972" customWidth="1"/>
    <col min="15878" max="15878" width="16.5546875" style="972" bestFit="1" customWidth="1"/>
    <col min="15879" max="15879" width="10.88671875" style="972" bestFit="1" customWidth="1"/>
    <col min="15880" max="15880" width="8.33203125" style="972" bestFit="1" customWidth="1"/>
    <col min="15881" max="15881" width="16" style="972" customWidth="1"/>
    <col min="15882" max="15882" width="15.44140625" style="972" bestFit="1" customWidth="1"/>
    <col min="15883" max="15883" width="16" style="972" customWidth="1"/>
    <col min="15884" max="15884" width="11.44140625" style="972" bestFit="1" customWidth="1"/>
    <col min="15885" max="15885" width="14.109375" style="972" customWidth="1"/>
    <col min="15886" max="15886" width="15" style="972" bestFit="1" customWidth="1"/>
    <col min="15887" max="15887" width="13.33203125" style="972" bestFit="1" customWidth="1"/>
    <col min="15888" max="15888" width="15" style="972" bestFit="1" customWidth="1"/>
    <col min="15889" max="15889" width="13" style="972" customWidth="1"/>
    <col min="15890" max="15890" width="26.44140625" style="972" bestFit="1" customWidth="1"/>
    <col min="15891" max="15891" width="8.33203125" style="972" customWidth="1"/>
    <col min="15892" max="15892" width="9.109375" style="972"/>
    <col min="15893" max="15893" width="11.44140625" style="972" bestFit="1" customWidth="1"/>
    <col min="15894" max="15896" width="9.109375" style="972"/>
    <col min="15897" max="15897" width="11.44140625" style="972" bestFit="1" customWidth="1"/>
    <col min="15898" max="15900" width="9.109375" style="972"/>
    <col min="15901" max="15901" width="11.44140625" style="972" bestFit="1" customWidth="1"/>
    <col min="15902" max="15903" width="9.109375" style="972"/>
    <col min="15904" max="15904" width="10.109375" style="972" bestFit="1" customWidth="1"/>
    <col min="15905" max="15905" width="11.44140625" style="972" bestFit="1" customWidth="1"/>
    <col min="15906" max="16126" width="9.109375" style="972"/>
    <col min="16127" max="16127" width="4.33203125" style="972" customWidth="1"/>
    <col min="16128" max="16128" width="9.109375" style="972" bestFit="1" customWidth="1"/>
    <col min="16129" max="16129" width="12" style="972" customWidth="1"/>
    <col min="16130" max="16130" width="14.6640625" style="972" customWidth="1"/>
    <col min="16131" max="16131" width="13.109375" style="972" customWidth="1"/>
    <col min="16132" max="16132" width="9.5546875" style="972" customWidth="1"/>
    <col min="16133" max="16133" width="13.33203125" style="972" customWidth="1"/>
    <col min="16134" max="16134" width="16.5546875" style="972" bestFit="1" customWidth="1"/>
    <col min="16135" max="16135" width="10.88671875" style="972" bestFit="1" customWidth="1"/>
    <col min="16136" max="16136" width="8.33203125" style="972" bestFit="1" customWidth="1"/>
    <col min="16137" max="16137" width="16" style="972" customWidth="1"/>
    <col min="16138" max="16138" width="15.44140625" style="972" bestFit="1" customWidth="1"/>
    <col min="16139" max="16139" width="16" style="972" customWidth="1"/>
    <col min="16140" max="16140" width="11.44140625" style="972" bestFit="1" customWidth="1"/>
    <col min="16141" max="16141" width="14.109375" style="972" customWidth="1"/>
    <col min="16142" max="16142" width="15" style="972" bestFit="1" customWidth="1"/>
    <col min="16143" max="16143" width="13.33203125" style="972" bestFit="1" customWidth="1"/>
    <col min="16144" max="16144" width="15" style="972" bestFit="1" customWidth="1"/>
    <col min="16145" max="16145" width="13" style="972" customWidth="1"/>
    <col min="16146" max="16146" width="26.44140625" style="972" bestFit="1" customWidth="1"/>
    <col min="16147" max="16147" width="8.33203125" style="972" customWidth="1"/>
    <col min="16148" max="16148" width="9.109375" style="972"/>
    <col min="16149" max="16149" width="11.44140625" style="972" bestFit="1" customWidth="1"/>
    <col min="16150" max="16152" width="9.109375" style="972"/>
    <col min="16153" max="16153" width="11.44140625" style="972" bestFit="1" customWidth="1"/>
    <col min="16154" max="16156" width="9.109375" style="972"/>
    <col min="16157" max="16157" width="11.44140625" style="972" bestFit="1" customWidth="1"/>
    <col min="16158" max="16159" width="9.109375" style="972"/>
    <col min="16160" max="16160" width="10.109375" style="972" bestFit="1" customWidth="1"/>
    <col min="16161" max="16161" width="11.44140625" style="972" bestFit="1" customWidth="1"/>
    <col min="16162" max="16384" width="9.109375" style="972"/>
  </cols>
  <sheetData>
    <row r="1" spans="2:22" ht="24.9" customHeight="1" x14ac:dyDescent="0.25">
      <c r="B1" s="1412" t="s">
        <v>617</v>
      </c>
      <c r="C1" s="1412"/>
      <c r="D1" s="1412"/>
      <c r="E1" s="1412"/>
      <c r="F1" s="1412"/>
      <c r="G1" s="1412"/>
      <c r="H1" s="1412"/>
      <c r="I1" s="1412"/>
      <c r="J1" s="1412"/>
      <c r="K1" s="1412"/>
      <c r="L1" s="1412"/>
      <c r="M1" s="1412"/>
      <c r="N1" s="1412"/>
      <c r="O1" s="1412"/>
      <c r="P1" s="1412"/>
      <c r="Q1" s="1412"/>
      <c r="R1" s="1412"/>
      <c r="S1" s="1412"/>
    </row>
    <row r="2" spans="2:22" ht="24.9" customHeight="1" x14ac:dyDescent="0.25">
      <c r="B2" s="1412" t="s">
        <v>858</v>
      </c>
      <c r="C2" s="1412"/>
      <c r="D2" s="1412"/>
      <c r="E2" s="1412"/>
      <c r="F2" s="1412"/>
      <c r="G2" s="1412"/>
      <c r="H2" s="1412"/>
      <c r="I2" s="1412"/>
      <c r="J2" s="1412"/>
      <c r="K2" s="1412"/>
      <c r="L2" s="1412"/>
      <c r="M2" s="1412"/>
      <c r="N2" s="1412"/>
      <c r="O2" s="1412"/>
      <c r="P2" s="1412"/>
      <c r="Q2" s="1412"/>
      <c r="R2" s="1412"/>
      <c r="S2" s="1412"/>
    </row>
    <row r="3" spans="2:22" ht="41.4" x14ac:dyDescent="0.25">
      <c r="B3" s="902" t="s">
        <v>701</v>
      </c>
      <c r="C3" s="902" t="s">
        <v>859</v>
      </c>
      <c r="D3" s="902" t="s">
        <v>860</v>
      </c>
      <c r="E3" s="903" t="s">
        <v>861</v>
      </c>
      <c r="F3" s="902" t="s">
        <v>862</v>
      </c>
      <c r="G3" s="902" t="s">
        <v>703</v>
      </c>
      <c r="H3" s="903" t="s">
        <v>863</v>
      </c>
      <c r="I3" s="902" t="s">
        <v>864</v>
      </c>
      <c r="J3" s="903" t="s">
        <v>865</v>
      </c>
      <c r="K3" s="903" t="s">
        <v>866</v>
      </c>
      <c r="L3" s="903" t="s">
        <v>867</v>
      </c>
      <c r="M3" s="903" t="s">
        <v>868</v>
      </c>
      <c r="N3" s="904" t="s">
        <v>869</v>
      </c>
      <c r="O3" s="905" t="s">
        <v>870</v>
      </c>
      <c r="P3" s="905" t="s">
        <v>871</v>
      </c>
      <c r="Q3" s="905" t="s">
        <v>872</v>
      </c>
      <c r="R3" s="903" t="s">
        <v>873</v>
      </c>
      <c r="S3" s="903" t="s">
        <v>874</v>
      </c>
      <c r="U3" s="973" t="s">
        <v>656</v>
      </c>
      <c r="V3" s="973" t="s">
        <v>659</v>
      </c>
    </row>
    <row r="4" spans="2:22" ht="18" customHeight="1" x14ac:dyDescent="0.2">
      <c r="B4" s="974">
        <v>1</v>
      </c>
      <c r="C4" s="974" t="s">
        <v>875</v>
      </c>
      <c r="D4" s="974">
        <v>78.099999999999994</v>
      </c>
      <c r="E4" s="974">
        <v>3.0000000000000001E-3</v>
      </c>
      <c r="F4" s="974">
        <v>0.18099999999999999</v>
      </c>
      <c r="G4" s="974"/>
      <c r="H4" s="974">
        <v>0.6</v>
      </c>
      <c r="I4" s="974">
        <v>10</v>
      </c>
      <c r="J4" s="974">
        <v>135.9</v>
      </c>
      <c r="K4" s="974">
        <v>0</v>
      </c>
      <c r="L4" s="974"/>
      <c r="M4" s="974"/>
      <c r="N4" s="974"/>
      <c r="O4" s="974">
        <v>0</v>
      </c>
      <c r="P4" s="974">
        <v>0</v>
      </c>
      <c r="Q4" s="974">
        <v>0</v>
      </c>
      <c r="R4" s="974">
        <v>0.10970000000000001</v>
      </c>
      <c r="S4" s="974"/>
      <c r="U4" s="973"/>
      <c r="V4" s="973"/>
    </row>
    <row r="5" spans="2:22" ht="18" customHeight="1" x14ac:dyDescent="0.2">
      <c r="B5" s="974"/>
      <c r="C5" s="974"/>
      <c r="D5" s="974"/>
      <c r="E5" s="974"/>
      <c r="F5" s="974"/>
      <c r="G5" s="974">
        <v>0.18099999999999999</v>
      </c>
      <c r="H5" s="974"/>
      <c r="I5" s="974"/>
      <c r="J5" s="974"/>
      <c r="K5" s="974">
        <v>0</v>
      </c>
      <c r="L5" s="974">
        <v>4.1099999999999998E-2</v>
      </c>
      <c r="M5" s="974">
        <v>1</v>
      </c>
      <c r="N5" s="974">
        <v>7.4999999999999997E-2</v>
      </c>
      <c r="O5" s="974">
        <v>0.46</v>
      </c>
      <c r="P5" s="974">
        <v>0.09</v>
      </c>
      <c r="Q5" s="974">
        <v>2.39</v>
      </c>
      <c r="R5" s="974"/>
      <c r="S5" s="974"/>
      <c r="U5" s="973"/>
      <c r="V5" s="973"/>
    </row>
    <row r="6" spans="2:22" ht="18" customHeight="1" x14ac:dyDescent="0.2">
      <c r="B6" s="974"/>
      <c r="C6" s="974" t="s">
        <v>876</v>
      </c>
      <c r="D6" s="974">
        <v>116.22</v>
      </c>
      <c r="E6" s="974">
        <v>4.0000000000000001E-3</v>
      </c>
      <c r="F6" s="974">
        <v>0.22500000000000001</v>
      </c>
      <c r="G6" s="974"/>
      <c r="H6" s="974">
        <v>0.6</v>
      </c>
      <c r="I6" s="974">
        <v>10</v>
      </c>
      <c r="J6" s="974">
        <v>135.9</v>
      </c>
      <c r="K6" s="974">
        <v>0</v>
      </c>
      <c r="L6" s="974"/>
      <c r="M6" s="974"/>
      <c r="N6" s="974"/>
      <c r="O6" s="974">
        <v>0</v>
      </c>
      <c r="P6" s="974">
        <v>0</v>
      </c>
      <c r="Q6" s="974">
        <v>0</v>
      </c>
      <c r="R6" s="974">
        <v>0.12970000000000001</v>
      </c>
      <c r="S6" s="974"/>
      <c r="U6" s="973"/>
      <c r="V6" s="973"/>
    </row>
    <row r="7" spans="2:22" ht="18" customHeight="1" x14ac:dyDescent="0.2">
      <c r="B7" s="974"/>
      <c r="C7" s="974"/>
      <c r="D7" s="974"/>
      <c r="E7" s="974"/>
      <c r="F7" s="974"/>
      <c r="G7" s="974">
        <v>0.22500000000000001</v>
      </c>
      <c r="H7" s="974"/>
      <c r="I7" s="974"/>
      <c r="J7" s="974"/>
      <c r="K7" s="974">
        <v>0</v>
      </c>
      <c r="L7" s="974">
        <v>5.0999999999999997E-2</v>
      </c>
      <c r="M7" s="974">
        <v>1</v>
      </c>
      <c r="N7" s="974">
        <v>7.4999999999999997E-2</v>
      </c>
      <c r="O7" s="974">
        <v>0.55000000000000004</v>
      </c>
      <c r="P7" s="974">
        <v>0.09</v>
      </c>
      <c r="Q7" s="974">
        <v>2.44</v>
      </c>
      <c r="R7" s="974"/>
      <c r="S7" s="974"/>
      <c r="U7" s="973"/>
      <c r="V7" s="973"/>
    </row>
    <row r="8" spans="2:22" ht="18" customHeight="1" x14ac:dyDescent="0.2">
      <c r="B8" s="974">
        <v>2</v>
      </c>
      <c r="C8" s="974" t="s">
        <v>877</v>
      </c>
      <c r="D8" s="974">
        <v>101.52</v>
      </c>
      <c r="E8" s="974">
        <v>5.0000000000000001E-3</v>
      </c>
      <c r="F8" s="974">
        <v>0.1</v>
      </c>
      <c r="G8" s="974"/>
      <c r="H8" s="974">
        <v>0.6</v>
      </c>
      <c r="I8" s="974">
        <v>10</v>
      </c>
      <c r="J8" s="974">
        <v>135.9</v>
      </c>
      <c r="K8" s="974">
        <v>0</v>
      </c>
      <c r="L8" s="974"/>
      <c r="M8" s="974"/>
      <c r="N8" s="974"/>
      <c r="O8" s="974">
        <v>0</v>
      </c>
      <c r="P8" s="974">
        <v>0</v>
      </c>
      <c r="Q8" s="974">
        <v>0</v>
      </c>
      <c r="R8" s="974">
        <v>0.13880000000000001</v>
      </c>
      <c r="S8" s="974"/>
      <c r="U8" s="973"/>
      <c r="V8" s="973"/>
    </row>
    <row r="9" spans="2:22" ht="18" customHeight="1" x14ac:dyDescent="0.2">
      <c r="B9" s="974"/>
      <c r="C9" s="974"/>
      <c r="D9" s="974"/>
      <c r="E9" s="974"/>
      <c r="F9" s="974"/>
      <c r="G9" s="974">
        <v>0.1</v>
      </c>
      <c r="H9" s="974"/>
      <c r="I9" s="974"/>
      <c r="J9" s="974"/>
      <c r="K9" s="974">
        <v>0</v>
      </c>
      <c r="L9" s="974">
        <v>2.2700000000000001E-2</v>
      </c>
      <c r="M9" s="974">
        <v>1</v>
      </c>
      <c r="N9" s="974">
        <v>7.4999999999999997E-2</v>
      </c>
      <c r="O9" s="974">
        <v>0.48</v>
      </c>
      <c r="P9" s="974">
        <v>7.0000000000000007E-2</v>
      </c>
      <c r="Q9" s="974">
        <v>1.72</v>
      </c>
      <c r="R9" s="974"/>
      <c r="S9" s="974"/>
      <c r="U9" s="973"/>
      <c r="V9" s="973"/>
    </row>
    <row r="10" spans="2:22" ht="18" customHeight="1" x14ac:dyDescent="0.2">
      <c r="B10" s="974">
        <v>3</v>
      </c>
      <c r="C10" s="974" t="s">
        <v>878</v>
      </c>
      <c r="D10" s="974">
        <v>72.66</v>
      </c>
      <c r="E10" s="974">
        <v>1.0999999999999999E-2</v>
      </c>
      <c r="F10" s="974">
        <v>0.1</v>
      </c>
      <c r="G10" s="974"/>
      <c r="H10" s="974">
        <v>0.6</v>
      </c>
      <c r="I10" s="974">
        <v>10</v>
      </c>
      <c r="J10" s="974">
        <v>135.9</v>
      </c>
      <c r="K10" s="974">
        <v>0</v>
      </c>
      <c r="L10" s="974"/>
      <c r="M10" s="974"/>
      <c r="N10" s="974"/>
      <c r="O10" s="974">
        <v>0</v>
      </c>
      <c r="P10" s="974">
        <v>0</v>
      </c>
      <c r="Q10" s="974">
        <v>0</v>
      </c>
      <c r="R10" s="974">
        <v>0.20730000000000001</v>
      </c>
      <c r="S10" s="974"/>
      <c r="U10" s="973"/>
      <c r="V10" s="973"/>
    </row>
    <row r="11" spans="2:22" ht="18" customHeight="1" x14ac:dyDescent="0.2">
      <c r="B11" s="974"/>
      <c r="C11" s="974"/>
      <c r="D11" s="974"/>
      <c r="E11" s="974"/>
      <c r="F11" s="974"/>
      <c r="G11" s="974">
        <v>0.1</v>
      </c>
      <c r="H11" s="974"/>
      <c r="I11" s="974"/>
      <c r="J11" s="974"/>
      <c r="K11" s="974">
        <v>0</v>
      </c>
      <c r="L11" s="974">
        <v>2.2599999999999999E-2</v>
      </c>
      <c r="M11" s="974">
        <v>1</v>
      </c>
      <c r="N11" s="974">
        <v>7.4999999999999997E-2</v>
      </c>
      <c r="O11" s="974">
        <v>0.65</v>
      </c>
      <c r="P11" s="974">
        <v>0.06</v>
      </c>
      <c r="Q11" s="974">
        <v>1.45</v>
      </c>
      <c r="R11" s="974"/>
      <c r="S11" s="974"/>
      <c r="U11" s="973"/>
      <c r="V11" s="973"/>
    </row>
    <row r="12" spans="2:22" ht="18" customHeight="1" x14ac:dyDescent="0.2">
      <c r="B12" s="974">
        <v>4</v>
      </c>
      <c r="C12" s="974" t="s">
        <v>879</v>
      </c>
      <c r="D12" s="974">
        <v>100.14</v>
      </c>
      <c r="E12" s="974">
        <v>1E-3</v>
      </c>
      <c r="F12" s="974">
        <v>9.2999999999999999E-2</v>
      </c>
      <c r="G12" s="974"/>
      <c r="H12" s="974">
        <v>0.6</v>
      </c>
      <c r="I12" s="974">
        <v>10</v>
      </c>
      <c r="J12" s="974">
        <v>135.9</v>
      </c>
      <c r="K12" s="974">
        <v>0</v>
      </c>
      <c r="L12" s="974"/>
      <c r="M12" s="974"/>
      <c r="N12" s="974"/>
      <c r="O12" s="974">
        <v>0</v>
      </c>
      <c r="P12" s="974">
        <v>0</v>
      </c>
      <c r="Q12" s="974">
        <v>0</v>
      </c>
      <c r="R12" s="974">
        <v>5.4800000000000001E-2</v>
      </c>
      <c r="S12" s="974"/>
      <c r="U12" s="973"/>
      <c r="V12" s="973"/>
    </row>
    <row r="13" spans="2:22" ht="18" customHeight="1" x14ac:dyDescent="0.2">
      <c r="B13" s="974"/>
      <c r="C13" s="974"/>
      <c r="D13" s="974"/>
      <c r="E13" s="974"/>
      <c r="F13" s="974"/>
      <c r="G13" s="974">
        <v>9.2999999999999999E-2</v>
      </c>
      <c r="H13" s="974"/>
      <c r="I13" s="974"/>
      <c r="J13" s="974"/>
      <c r="K13" s="974">
        <v>0</v>
      </c>
      <c r="L13" s="974">
        <v>2.1100000000000001E-2</v>
      </c>
      <c r="M13" s="974">
        <v>1</v>
      </c>
      <c r="N13" s="974">
        <v>7.4999999999999997E-2</v>
      </c>
      <c r="O13" s="974">
        <v>0.23</v>
      </c>
      <c r="P13" s="974">
        <v>0.09</v>
      </c>
      <c r="Q13" s="974">
        <v>2.42</v>
      </c>
      <c r="R13" s="974"/>
      <c r="S13" s="974"/>
      <c r="U13" s="973"/>
      <c r="V13" s="973"/>
    </row>
    <row r="14" spans="2:22" ht="18" customHeight="1" x14ac:dyDescent="0.2">
      <c r="B14" s="974">
        <v>5</v>
      </c>
      <c r="C14" s="974" t="s">
        <v>880</v>
      </c>
      <c r="D14" s="974">
        <v>99.11</v>
      </c>
      <c r="E14" s="974">
        <v>1E-3</v>
      </c>
      <c r="F14" s="974">
        <v>0.26400000000000001</v>
      </c>
      <c r="G14" s="974"/>
      <c r="H14" s="974">
        <v>0.6</v>
      </c>
      <c r="I14" s="974">
        <v>10</v>
      </c>
      <c r="J14" s="974">
        <v>135.9</v>
      </c>
      <c r="K14" s="974">
        <v>0</v>
      </c>
      <c r="L14" s="974"/>
      <c r="M14" s="974"/>
      <c r="N14" s="974"/>
      <c r="O14" s="974">
        <v>0</v>
      </c>
      <c r="P14" s="974">
        <v>0</v>
      </c>
      <c r="Q14" s="974">
        <v>0</v>
      </c>
      <c r="R14" s="974">
        <v>5.5100000000000003E-2</v>
      </c>
      <c r="S14" s="974"/>
      <c r="U14" s="973"/>
      <c r="V14" s="973"/>
    </row>
    <row r="15" spans="2:22" ht="18" customHeight="1" x14ac:dyDescent="0.2">
      <c r="B15" s="974"/>
      <c r="C15" s="974"/>
      <c r="D15" s="974"/>
      <c r="E15" s="974"/>
      <c r="F15" s="974"/>
      <c r="G15" s="974">
        <v>0.26400000000000001</v>
      </c>
      <c r="H15" s="974"/>
      <c r="I15" s="974"/>
      <c r="J15" s="974"/>
      <c r="K15" s="974">
        <v>0</v>
      </c>
      <c r="L15" s="974">
        <v>5.9700000000000003E-2</v>
      </c>
      <c r="M15" s="974">
        <v>1</v>
      </c>
      <c r="N15" s="974">
        <v>7.4999999999999997E-2</v>
      </c>
      <c r="O15" s="974">
        <v>0.3</v>
      </c>
      <c r="P15" s="974">
        <v>0.13</v>
      </c>
      <c r="Q15" s="974">
        <v>3.61</v>
      </c>
      <c r="R15" s="974"/>
      <c r="S15" s="974"/>
      <c r="U15" s="973"/>
      <c r="V15" s="973"/>
    </row>
    <row r="16" spans="2:22" ht="18" customHeight="1" x14ac:dyDescent="0.2">
      <c r="B16" s="974">
        <v>6</v>
      </c>
      <c r="C16" s="974" t="s">
        <v>881</v>
      </c>
      <c r="D16" s="974">
        <v>74.7</v>
      </c>
      <c r="E16" s="974">
        <v>1.2E-2</v>
      </c>
      <c r="F16" s="974">
        <v>0.184</v>
      </c>
      <c r="G16" s="974"/>
      <c r="H16" s="974">
        <v>0.6</v>
      </c>
      <c r="I16" s="974">
        <v>10</v>
      </c>
      <c r="J16" s="974">
        <v>135.9</v>
      </c>
      <c r="K16" s="974">
        <v>0</v>
      </c>
      <c r="L16" s="974"/>
      <c r="M16" s="974"/>
      <c r="N16" s="974"/>
      <c r="O16" s="974">
        <v>0</v>
      </c>
      <c r="P16" s="974">
        <v>0</v>
      </c>
      <c r="Q16" s="974">
        <v>0</v>
      </c>
      <c r="R16" s="974">
        <v>0.20810000000000001</v>
      </c>
      <c r="S16" s="974"/>
      <c r="U16" s="973"/>
      <c r="V16" s="973"/>
    </row>
    <row r="17" spans="2:19" ht="18" customHeight="1" x14ac:dyDescent="0.2">
      <c r="B17" s="974"/>
      <c r="C17" s="974"/>
      <c r="D17" s="974"/>
      <c r="E17" s="974"/>
      <c r="F17" s="974"/>
      <c r="G17" s="974">
        <v>0.184</v>
      </c>
      <c r="H17" s="974"/>
      <c r="I17" s="974"/>
      <c r="J17" s="974"/>
      <c r="K17" s="974">
        <v>0</v>
      </c>
      <c r="L17" s="974">
        <v>4.1700000000000001E-2</v>
      </c>
      <c r="M17" s="974">
        <v>1</v>
      </c>
      <c r="N17" s="974">
        <v>7.4999999999999997E-2</v>
      </c>
      <c r="O17" s="974">
        <v>0.75</v>
      </c>
      <c r="P17" s="974">
        <v>0.08</v>
      </c>
      <c r="Q17" s="974">
        <v>1.87</v>
      </c>
      <c r="R17" s="974"/>
      <c r="S17" s="974"/>
    </row>
    <row r="18" spans="2:19" ht="14.25" x14ac:dyDescent="0.2">
      <c r="B18" s="974">
        <v>7</v>
      </c>
      <c r="C18" s="974" t="s">
        <v>882</v>
      </c>
      <c r="D18" s="974">
        <v>95.58</v>
      </c>
      <c r="E18" s="974">
        <v>7.0000000000000001E-3</v>
      </c>
      <c r="F18" s="974">
        <v>0.23699999999999999</v>
      </c>
      <c r="G18" s="974"/>
      <c r="H18" s="974">
        <v>0.6</v>
      </c>
      <c r="I18" s="974">
        <v>10</v>
      </c>
      <c r="J18" s="974">
        <v>135.9</v>
      </c>
      <c r="K18" s="974">
        <v>0</v>
      </c>
      <c r="L18" s="974"/>
      <c r="M18" s="974"/>
      <c r="N18" s="974"/>
      <c r="O18" s="974">
        <v>0</v>
      </c>
      <c r="P18" s="974">
        <v>0</v>
      </c>
      <c r="Q18" s="974">
        <v>0</v>
      </c>
      <c r="R18" s="974">
        <v>0.16719999999999999</v>
      </c>
      <c r="S18" s="974"/>
    </row>
    <row r="19" spans="2:19" ht="14.25" x14ac:dyDescent="0.2">
      <c r="B19" s="974"/>
      <c r="C19" s="974"/>
      <c r="D19" s="974"/>
      <c r="E19" s="974"/>
      <c r="F19" s="974"/>
      <c r="G19" s="974">
        <v>0.23699999999999999</v>
      </c>
      <c r="H19" s="974"/>
      <c r="I19" s="974"/>
      <c r="J19" s="974"/>
      <c r="K19" s="974">
        <v>0</v>
      </c>
      <c r="L19" s="974">
        <v>5.3699999999999998E-2</v>
      </c>
      <c r="M19" s="974">
        <v>1</v>
      </c>
      <c r="N19" s="974">
        <v>7.4999999999999997E-2</v>
      </c>
      <c r="O19" s="974">
        <v>0.68</v>
      </c>
      <c r="P19" s="974">
        <v>0.09</v>
      </c>
      <c r="Q19" s="974">
        <v>2.2599999999999998</v>
      </c>
      <c r="R19" s="974"/>
      <c r="S19" s="974"/>
    </row>
    <row r="20" spans="2:19" ht="14.25" x14ac:dyDescent="0.2">
      <c r="B20" s="974">
        <v>8</v>
      </c>
      <c r="C20" s="974" t="s">
        <v>883</v>
      </c>
      <c r="D20" s="974">
        <v>97.3</v>
      </c>
      <c r="E20" s="974">
        <v>7.0000000000000001E-3</v>
      </c>
      <c r="F20" s="974">
        <v>0.27300000000000002</v>
      </c>
      <c r="G20" s="974"/>
      <c r="H20" s="974">
        <v>0.6</v>
      </c>
      <c r="I20" s="974">
        <v>10</v>
      </c>
      <c r="J20" s="974">
        <v>135.9</v>
      </c>
      <c r="K20" s="974">
        <v>0</v>
      </c>
      <c r="L20" s="974"/>
      <c r="M20" s="974"/>
      <c r="N20" s="974"/>
      <c r="O20" s="974">
        <v>0</v>
      </c>
      <c r="P20" s="974">
        <v>0</v>
      </c>
      <c r="Q20" s="974">
        <v>0</v>
      </c>
      <c r="R20" s="974">
        <v>0.16569999999999999</v>
      </c>
      <c r="S20" s="974"/>
    </row>
    <row r="21" spans="2:19" ht="14.25" x14ac:dyDescent="0.2">
      <c r="B21" s="974"/>
      <c r="C21" s="974"/>
      <c r="D21" s="974"/>
      <c r="E21" s="974"/>
      <c r="F21" s="974"/>
      <c r="G21" s="974">
        <v>0.27300000000000002</v>
      </c>
      <c r="H21" s="974"/>
      <c r="I21" s="974"/>
      <c r="J21" s="974"/>
      <c r="K21" s="974">
        <v>0</v>
      </c>
      <c r="L21" s="974">
        <v>6.1899999999999997E-2</v>
      </c>
      <c r="M21" s="974">
        <v>1</v>
      </c>
      <c r="N21" s="974">
        <v>7.4999999999999997E-2</v>
      </c>
      <c r="O21" s="974">
        <v>0.69</v>
      </c>
      <c r="P21" s="974">
        <v>0.09</v>
      </c>
      <c r="Q21" s="974">
        <v>2.39</v>
      </c>
      <c r="R21" s="974"/>
      <c r="S21" s="974"/>
    </row>
    <row r="22" spans="2:19" ht="14.25" x14ac:dyDescent="0.2">
      <c r="B22" s="974">
        <v>9</v>
      </c>
      <c r="C22" s="974" t="s">
        <v>884</v>
      </c>
      <c r="D22" s="974">
        <v>73.97</v>
      </c>
      <c r="E22" s="974">
        <v>8.9999999999999993E-3</v>
      </c>
      <c r="F22" s="974">
        <v>0.189</v>
      </c>
      <c r="G22" s="974"/>
      <c r="H22" s="974">
        <v>0.6</v>
      </c>
      <c r="I22" s="974">
        <v>10</v>
      </c>
      <c r="J22" s="974">
        <v>135.9</v>
      </c>
      <c r="K22" s="974">
        <v>0</v>
      </c>
      <c r="L22" s="974"/>
      <c r="M22" s="974"/>
      <c r="N22" s="974"/>
      <c r="O22" s="974">
        <v>0</v>
      </c>
      <c r="P22" s="974">
        <v>0</v>
      </c>
      <c r="Q22" s="974">
        <v>0</v>
      </c>
      <c r="R22" s="974">
        <v>0.186</v>
      </c>
      <c r="S22" s="974"/>
    </row>
    <row r="23" spans="2:19" ht="14.25" x14ac:dyDescent="0.2">
      <c r="B23" s="974"/>
      <c r="C23" s="974"/>
      <c r="D23" s="974"/>
      <c r="E23" s="974"/>
      <c r="F23" s="974"/>
      <c r="G23" s="974">
        <v>0.189</v>
      </c>
      <c r="H23" s="974"/>
      <c r="I23" s="974"/>
      <c r="J23" s="974"/>
      <c r="K23" s="974">
        <v>0</v>
      </c>
      <c r="L23" s="974">
        <v>4.2799999999999998E-2</v>
      </c>
      <c r="M23" s="974">
        <v>1</v>
      </c>
      <c r="N23" s="974">
        <v>7.4999999999999997E-2</v>
      </c>
      <c r="O23" s="974">
        <v>0.69</v>
      </c>
      <c r="P23" s="974">
        <v>0.08</v>
      </c>
      <c r="Q23" s="974">
        <v>1.97</v>
      </c>
      <c r="R23" s="974"/>
      <c r="S23" s="974"/>
    </row>
    <row r="24" spans="2:19" ht="14.25" x14ac:dyDescent="0.2">
      <c r="B24" s="974">
        <v>10</v>
      </c>
      <c r="C24" s="974" t="s">
        <v>885</v>
      </c>
      <c r="D24" s="974">
        <v>94.46</v>
      </c>
      <c r="E24" s="974">
        <v>1.4999999999999999E-2</v>
      </c>
      <c r="F24" s="974">
        <v>0.27</v>
      </c>
      <c r="G24" s="974"/>
      <c r="H24" s="974">
        <v>0.6</v>
      </c>
      <c r="I24" s="974">
        <v>10</v>
      </c>
      <c r="J24" s="974">
        <v>135.9</v>
      </c>
      <c r="K24" s="974">
        <v>0</v>
      </c>
      <c r="L24" s="974"/>
      <c r="M24" s="974"/>
      <c r="N24" s="974"/>
      <c r="O24" s="974">
        <v>0</v>
      </c>
      <c r="P24" s="974">
        <v>0</v>
      </c>
      <c r="Q24" s="974">
        <v>0</v>
      </c>
      <c r="R24" s="974">
        <v>0.23949999999999999</v>
      </c>
      <c r="S24" s="974"/>
    </row>
    <row r="25" spans="2:19" ht="14.25" x14ac:dyDescent="0.2">
      <c r="B25" s="974"/>
      <c r="C25" s="974"/>
      <c r="D25" s="974"/>
      <c r="E25" s="974"/>
      <c r="F25" s="974"/>
      <c r="G25" s="974">
        <v>0.27</v>
      </c>
      <c r="H25" s="974"/>
      <c r="I25" s="974"/>
      <c r="J25" s="974"/>
      <c r="K25" s="974">
        <v>0</v>
      </c>
      <c r="L25" s="974">
        <v>6.1199999999999997E-2</v>
      </c>
      <c r="M25" s="974">
        <v>1</v>
      </c>
      <c r="N25" s="974">
        <v>7.4999999999999997E-2</v>
      </c>
      <c r="O25" s="974">
        <v>0.92</v>
      </c>
      <c r="P25" s="974">
        <v>0.08</v>
      </c>
      <c r="Q25" s="974">
        <v>2.06</v>
      </c>
      <c r="R25" s="974"/>
      <c r="S25" s="974"/>
    </row>
    <row r="26" spans="2:19" ht="14.25" x14ac:dyDescent="0.2">
      <c r="B26" s="974">
        <v>11</v>
      </c>
      <c r="C26" s="974" t="s">
        <v>886</v>
      </c>
      <c r="D26" s="974">
        <v>67.709999999999994</v>
      </c>
      <c r="E26" s="974">
        <v>0.01</v>
      </c>
      <c r="F26" s="974">
        <v>0.13800000000000001</v>
      </c>
      <c r="G26" s="974"/>
      <c r="H26" s="974">
        <v>0.6</v>
      </c>
      <c r="I26" s="974">
        <v>10</v>
      </c>
      <c r="J26" s="974">
        <v>135.9</v>
      </c>
      <c r="K26" s="974">
        <v>0</v>
      </c>
      <c r="L26" s="974"/>
      <c r="M26" s="974"/>
      <c r="N26" s="974"/>
      <c r="O26" s="974">
        <v>0</v>
      </c>
      <c r="P26" s="974">
        <v>0</v>
      </c>
      <c r="Q26" s="974">
        <v>0</v>
      </c>
      <c r="R26" s="974">
        <v>0.19439999999999999</v>
      </c>
      <c r="S26" s="974"/>
    </row>
    <row r="27" spans="2:19" ht="14.25" x14ac:dyDescent="0.2">
      <c r="B27" s="974"/>
      <c r="C27" s="974"/>
      <c r="D27" s="974"/>
      <c r="E27" s="974"/>
      <c r="F27" s="974"/>
      <c r="G27" s="974">
        <v>0.13800000000000001</v>
      </c>
      <c r="H27" s="974"/>
      <c r="I27" s="974"/>
      <c r="J27" s="974"/>
      <c r="K27" s="974">
        <v>0</v>
      </c>
      <c r="L27" s="974">
        <v>3.1300000000000001E-2</v>
      </c>
      <c r="M27" s="974">
        <v>1</v>
      </c>
      <c r="N27" s="974">
        <v>7.4999999999999997E-2</v>
      </c>
      <c r="O27" s="974">
        <v>0.67</v>
      </c>
      <c r="P27" s="974">
        <v>7.0000000000000007E-2</v>
      </c>
      <c r="Q27" s="974">
        <v>1.71</v>
      </c>
      <c r="R27" s="974"/>
      <c r="S27" s="974"/>
    </row>
    <row r="28" spans="2:19" ht="14.25" x14ac:dyDescent="0.2">
      <c r="B28" s="974">
        <v>12</v>
      </c>
      <c r="C28" s="974" t="s">
        <v>887</v>
      </c>
      <c r="D28" s="974">
        <v>96.49</v>
      </c>
      <c r="E28" s="974">
        <v>1.4999999999999999E-2</v>
      </c>
      <c r="F28" s="974">
        <v>0.2</v>
      </c>
      <c r="G28" s="974"/>
      <c r="H28" s="974">
        <v>0.6</v>
      </c>
      <c r="I28" s="974">
        <v>10</v>
      </c>
      <c r="J28" s="974">
        <v>135.9</v>
      </c>
      <c r="K28" s="974">
        <v>0</v>
      </c>
      <c r="L28" s="974"/>
      <c r="M28" s="974"/>
      <c r="N28" s="974"/>
      <c r="O28" s="974">
        <v>0</v>
      </c>
      <c r="P28" s="974">
        <v>0</v>
      </c>
      <c r="Q28" s="974">
        <v>0</v>
      </c>
      <c r="R28" s="974">
        <v>0.23699999999999999</v>
      </c>
      <c r="S28" s="974"/>
    </row>
    <row r="29" spans="2:19" ht="14.25" x14ac:dyDescent="0.2">
      <c r="B29" s="974"/>
      <c r="C29" s="974"/>
      <c r="D29" s="974"/>
      <c r="E29" s="974"/>
      <c r="F29" s="974"/>
      <c r="G29" s="974">
        <v>0.2</v>
      </c>
      <c r="H29" s="974"/>
      <c r="I29" s="974"/>
      <c r="J29" s="974"/>
      <c r="K29" s="974">
        <v>0</v>
      </c>
      <c r="L29" s="974">
        <v>4.53E-2</v>
      </c>
      <c r="M29" s="974">
        <v>1</v>
      </c>
      <c r="N29" s="974">
        <v>7.4999999999999997E-2</v>
      </c>
      <c r="O29" s="974">
        <v>0.85</v>
      </c>
      <c r="P29" s="974">
        <v>0.08</v>
      </c>
      <c r="Q29" s="974">
        <v>1.83</v>
      </c>
      <c r="R29" s="974"/>
      <c r="S29" s="974"/>
    </row>
    <row r="30" spans="2:19" ht="14.25" x14ac:dyDescent="0.2">
      <c r="B30" s="974">
        <v>13</v>
      </c>
      <c r="C30" s="974" t="s">
        <v>888</v>
      </c>
      <c r="D30" s="974">
        <v>66.62</v>
      </c>
      <c r="E30" s="974">
        <v>1.2E-2</v>
      </c>
      <c r="F30" s="974">
        <v>0.156</v>
      </c>
      <c r="G30" s="974"/>
      <c r="H30" s="974">
        <v>0.6</v>
      </c>
      <c r="I30" s="974">
        <v>10</v>
      </c>
      <c r="J30" s="974">
        <v>135.9</v>
      </c>
      <c r="K30" s="974">
        <v>0</v>
      </c>
      <c r="L30" s="974"/>
      <c r="M30" s="974"/>
      <c r="N30" s="974"/>
      <c r="O30" s="974">
        <v>0</v>
      </c>
      <c r="P30" s="974">
        <v>0</v>
      </c>
      <c r="Q30" s="974">
        <v>0</v>
      </c>
      <c r="R30" s="974">
        <v>0.2152</v>
      </c>
      <c r="S30" s="974" t="s">
        <v>889</v>
      </c>
    </row>
    <row r="31" spans="2:19" ht="14.25" x14ac:dyDescent="0.2">
      <c r="B31" s="974"/>
      <c r="C31" s="974"/>
      <c r="D31" s="974"/>
      <c r="E31" s="974"/>
      <c r="F31" s="974"/>
      <c r="G31" s="974">
        <v>0.156</v>
      </c>
      <c r="H31" s="974"/>
      <c r="I31" s="974"/>
      <c r="J31" s="974"/>
      <c r="K31" s="974">
        <v>3.5400000000000001E-2</v>
      </c>
      <c r="L31" s="974"/>
      <c r="M31" s="974"/>
      <c r="N31" s="974"/>
      <c r="O31" s="974">
        <v>0.74</v>
      </c>
      <c r="P31" s="974">
        <v>7.0000000000000007E-2</v>
      </c>
      <c r="Q31" s="974">
        <v>1.72</v>
      </c>
      <c r="R31" s="974"/>
      <c r="S31" s="974"/>
    </row>
    <row r="32" spans="2:19" x14ac:dyDescent="0.25">
      <c r="B32" s="974"/>
      <c r="C32" s="974" t="s">
        <v>890</v>
      </c>
      <c r="D32" s="974">
        <v>17.059999999999999</v>
      </c>
      <c r="E32" s="974">
        <v>1.6E-2</v>
      </c>
      <c r="F32" s="974">
        <v>0</v>
      </c>
      <c r="G32" s="974"/>
      <c r="H32" s="974">
        <v>0.6</v>
      </c>
      <c r="I32" s="974">
        <v>10.72</v>
      </c>
      <c r="J32" s="974">
        <v>135.9</v>
      </c>
      <c r="K32" s="974">
        <v>3.5400000000000001E-2</v>
      </c>
      <c r="L32" s="974"/>
      <c r="M32" s="974"/>
      <c r="N32" s="974"/>
      <c r="O32" s="974">
        <v>0.64</v>
      </c>
      <c r="P32" s="974">
        <v>0.06</v>
      </c>
      <c r="Q32" s="974">
        <v>1.55</v>
      </c>
      <c r="R32" s="974">
        <v>0.56940000000000002</v>
      </c>
      <c r="S32" s="974" t="s">
        <v>891</v>
      </c>
    </row>
    <row r="33" spans="2:22" ht="14.25" x14ac:dyDescent="0.2">
      <c r="B33" s="974"/>
      <c r="C33" s="974"/>
      <c r="D33" s="974"/>
      <c r="E33" s="974"/>
      <c r="F33" s="974"/>
      <c r="G33" s="974">
        <v>0.156</v>
      </c>
      <c r="H33" s="974"/>
      <c r="I33" s="974"/>
      <c r="J33" s="974"/>
      <c r="K33" s="974">
        <v>3.5400000000000001E-2</v>
      </c>
      <c r="L33" s="974"/>
      <c r="M33" s="974"/>
      <c r="N33" s="974"/>
      <c r="O33" s="974">
        <v>0.64</v>
      </c>
      <c r="P33" s="974">
        <v>0.06</v>
      </c>
      <c r="Q33" s="974">
        <v>1.55</v>
      </c>
      <c r="R33" s="974"/>
      <c r="S33" s="974"/>
    </row>
    <row r="34" spans="2:22" ht="14.25" x14ac:dyDescent="0.2">
      <c r="B34" s="974"/>
      <c r="C34" s="974" t="s">
        <v>892</v>
      </c>
      <c r="D34" s="974">
        <v>98.5</v>
      </c>
      <c r="E34" s="974">
        <v>3.0000000000000001E-3</v>
      </c>
      <c r="F34" s="974">
        <v>0.20300000000000001</v>
      </c>
      <c r="G34" s="974"/>
      <c r="H34" s="974">
        <v>0.6</v>
      </c>
      <c r="I34" s="974">
        <v>19.54</v>
      </c>
      <c r="J34" s="974">
        <v>135.9</v>
      </c>
      <c r="K34" s="974">
        <v>5.7299999999999997E-2</v>
      </c>
      <c r="L34" s="974"/>
      <c r="M34" s="974"/>
      <c r="N34" s="974"/>
      <c r="O34" s="974">
        <v>0.48</v>
      </c>
      <c r="P34" s="974">
        <v>0.1</v>
      </c>
      <c r="Q34" s="974">
        <v>2.77</v>
      </c>
      <c r="R34" s="974">
        <v>0.1053</v>
      </c>
      <c r="S34" s="974"/>
    </row>
    <row r="35" spans="2:22" ht="14.25" x14ac:dyDescent="0.2">
      <c r="B35" s="974"/>
      <c r="C35" s="974"/>
      <c r="D35" s="974"/>
      <c r="E35" s="974"/>
      <c r="F35" s="974"/>
      <c r="G35" s="974">
        <v>0.45600000000000002</v>
      </c>
      <c r="H35" s="974"/>
      <c r="I35" s="974"/>
      <c r="J35" s="974"/>
      <c r="K35" s="974">
        <v>0</v>
      </c>
      <c r="L35" s="974">
        <v>0.1033</v>
      </c>
      <c r="M35" s="974">
        <v>2</v>
      </c>
      <c r="N35" s="974">
        <v>7.4999999999999997E-2</v>
      </c>
      <c r="O35" s="974">
        <v>0.56000000000000005</v>
      </c>
      <c r="P35" s="974">
        <v>0.13</v>
      </c>
      <c r="Q35" s="974">
        <v>3.48</v>
      </c>
      <c r="R35" s="974"/>
      <c r="S35" s="974"/>
    </row>
    <row r="36" spans="2:22" ht="14.25" x14ac:dyDescent="0.2">
      <c r="B36" s="974">
        <v>14</v>
      </c>
      <c r="C36" s="974" t="s">
        <v>893</v>
      </c>
      <c r="D36" s="974">
        <v>76</v>
      </c>
      <c r="E36" s="974">
        <v>1.4E-2</v>
      </c>
      <c r="F36" s="974">
        <v>0.2</v>
      </c>
      <c r="G36" s="974"/>
      <c r="H36" s="974">
        <v>0.6</v>
      </c>
      <c r="I36" s="974">
        <v>10</v>
      </c>
      <c r="J36" s="974">
        <v>135.9</v>
      </c>
      <c r="K36" s="974">
        <v>0</v>
      </c>
      <c r="L36" s="974"/>
      <c r="M36" s="974"/>
      <c r="N36" s="974"/>
      <c r="O36" s="974">
        <v>0</v>
      </c>
      <c r="P36" s="974">
        <v>0</v>
      </c>
      <c r="Q36" s="974">
        <v>0</v>
      </c>
      <c r="R36" s="974">
        <v>0.23230000000000001</v>
      </c>
      <c r="S36" s="974" t="s">
        <v>889</v>
      </c>
    </row>
    <row r="37" spans="2:22" ht="14.25" x14ac:dyDescent="0.2">
      <c r="B37" s="974"/>
      <c r="C37" s="974"/>
      <c r="D37" s="974"/>
      <c r="E37" s="974"/>
      <c r="F37" s="974"/>
      <c r="G37" s="974">
        <v>0.2</v>
      </c>
      <c r="H37" s="974"/>
      <c r="I37" s="974"/>
      <c r="J37" s="974"/>
      <c r="K37" s="974">
        <v>4.53E-2</v>
      </c>
      <c r="L37" s="974"/>
      <c r="M37" s="974"/>
      <c r="N37" s="974"/>
      <c r="O37" s="974">
        <v>0.83</v>
      </c>
      <c r="P37" s="974">
        <v>0.08</v>
      </c>
      <c r="Q37" s="974">
        <v>1.85</v>
      </c>
      <c r="R37" s="974"/>
      <c r="S37" s="974"/>
    </row>
    <row r="38" spans="2:22" x14ac:dyDescent="0.25">
      <c r="B38" s="974"/>
      <c r="C38" s="974" t="s">
        <v>894</v>
      </c>
      <c r="D38" s="974">
        <v>13.54</v>
      </c>
      <c r="E38" s="974">
        <v>1E-3</v>
      </c>
      <c r="F38" s="974">
        <v>0</v>
      </c>
      <c r="G38" s="974"/>
      <c r="H38" s="974">
        <v>0.6</v>
      </c>
      <c r="I38" s="974">
        <v>13.38</v>
      </c>
      <c r="J38" s="974">
        <v>135.9</v>
      </c>
      <c r="K38" s="974">
        <v>4.53E-2</v>
      </c>
      <c r="L38" s="974"/>
      <c r="M38" s="974"/>
      <c r="N38" s="974"/>
      <c r="O38" s="974">
        <v>0.22</v>
      </c>
      <c r="P38" s="974">
        <v>0.09</v>
      </c>
      <c r="Q38" s="974">
        <v>3.17</v>
      </c>
      <c r="R38" s="974">
        <v>0.1431</v>
      </c>
      <c r="S38" s="974" t="s">
        <v>891</v>
      </c>
    </row>
    <row r="39" spans="2:22" ht="14.25" x14ac:dyDescent="0.2">
      <c r="B39" s="974"/>
      <c r="C39" s="974"/>
      <c r="D39" s="974"/>
      <c r="E39" s="974"/>
      <c r="F39" s="974"/>
      <c r="G39" s="974">
        <v>0.2</v>
      </c>
      <c r="H39" s="974"/>
      <c r="I39" s="974"/>
      <c r="J39" s="974"/>
      <c r="K39" s="974">
        <v>4.53E-2</v>
      </c>
      <c r="L39" s="974"/>
      <c r="M39" s="974"/>
      <c r="N39" s="974"/>
      <c r="O39" s="974">
        <v>0.22</v>
      </c>
      <c r="P39" s="974">
        <v>0.09</v>
      </c>
      <c r="Q39" s="974">
        <v>3.17</v>
      </c>
      <c r="R39" s="974"/>
      <c r="S39" s="974"/>
    </row>
    <row r="40" spans="2:22" ht="14.25" x14ac:dyDescent="0.2">
      <c r="B40" s="974"/>
      <c r="C40" s="974" t="s">
        <v>895</v>
      </c>
      <c r="D40" s="974">
        <v>97.72</v>
      </c>
      <c r="E40" s="974">
        <v>1.2E-2</v>
      </c>
      <c r="F40" s="974">
        <v>0.311</v>
      </c>
      <c r="G40" s="974"/>
      <c r="H40" s="974">
        <v>0.6</v>
      </c>
      <c r="I40" s="974">
        <v>17.84</v>
      </c>
      <c r="J40" s="974">
        <v>135.9</v>
      </c>
      <c r="K40" s="974">
        <v>0.10349999999999999</v>
      </c>
      <c r="L40" s="974"/>
      <c r="M40" s="974"/>
      <c r="N40" s="974"/>
      <c r="O40" s="974">
        <v>0.95</v>
      </c>
      <c r="P40" s="974">
        <v>0.1</v>
      </c>
      <c r="Q40" s="974">
        <v>2.66</v>
      </c>
      <c r="R40" s="974">
        <v>0.2122</v>
      </c>
      <c r="S40" s="974"/>
    </row>
    <row r="41" spans="2:22" x14ac:dyDescent="0.25">
      <c r="B41" s="974"/>
      <c r="C41" s="974"/>
      <c r="D41" s="974"/>
      <c r="E41" s="974"/>
      <c r="F41" s="974"/>
      <c r="G41" s="974">
        <v>0.76800000000000002</v>
      </c>
      <c r="H41" s="974"/>
      <c r="I41" s="974"/>
      <c r="J41" s="974"/>
      <c r="K41" s="974">
        <v>0</v>
      </c>
      <c r="L41" s="974">
        <v>0.1739</v>
      </c>
      <c r="M41" s="974">
        <v>3</v>
      </c>
      <c r="N41" s="974">
        <v>7.4999999999999997E-2</v>
      </c>
      <c r="O41" s="974">
        <v>1.08</v>
      </c>
      <c r="P41" s="974">
        <v>0.12</v>
      </c>
      <c r="Q41" s="974">
        <v>3.24</v>
      </c>
      <c r="R41" s="974"/>
      <c r="S41" s="974"/>
    </row>
    <row r="42" spans="2:22" x14ac:dyDescent="0.25">
      <c r="B42" s="974">
        <v>15</v>
      </c>
      <c r="C42" s="974" t="s">
        <v>896</v>
      </c>
      <c r="D42" s="974">
        <v>74.2</v>
      </c>
      <c r="E42" s="974">
        <v>1.4E-2</v>
      </c>
      <c r="F42" s="974">
        <v>0.20100000000000001</v>
      </c>
      <c r="G42" s="974"/>
      <c r="H42" s="974">
        <v>0.6</v>
      </c>
      <c r="I42" s="974">
        <v>10</v>
      </c>
      <c r="J42" s="974">
        <v>135.9</v>
      </c>
      <c r="K42" s="974">
        <v>0</v>
      </c>
      <c r="L42" s="974"/>
      <c r="M42" s="974"/>
      <c r="N42" s="974"/>
      <c r="O42" s="974">
        <v>0</v>
      </c>
      <c r="P42" s="974">
        <v>0</v>
      </c>
      <c r="Q42" s="974">
        <v>0</v>
      </c>
      <c r="R42" s="974">
        <v>0.23069999999999999</v>
      </c>
      <c r="S42" s="974" t="s">
        <v>889</v>
      </c>
    </row>
    <row r="43" spans="2:22" x14ac:dyDescent="0.25">
      <c r="B43" s="974"/>
      <c r="C43" s="974"/>
      <c r="D43" s="974"/>
      <c r="E43" s="974"/>
      <c r="F43" s="974"/>
      <c r="G43" s="974">
        <v>0.20100000000000001</v>
      </c>
      <c r="H43" s="974"/>
      <c r="I43" s="974"/>
      <c r="J43" s="974"/>
      <c r="K43" s="974">
        <v>4.5600000000000002E-2</v>
      </c>
      <c r="L43" s="974"/>
      <c r="M43" s="974"/>
      <c r="N43" s="974"/>
      <c r="O43" s="974">
        <v>0.83</v>
      </c>
      <c r="P43" s="974">
        <v>0.08</v>
      </c>
      <c r="Q43" s="974">
        <v>1.86</v>
      </c>
      <c r="R43" s="974"/>
      <c r="S43" s="974"/>
    </row>
    <row r="44" spans="2:22" x14ac:dyDescent="0.25">
      <c r="B44" s="974"/>
      <c r="C44" s="974" t="s">
        <v>897</v>
      </c>
      <c r="D44" s="974">
        <v>15.54</v>
      </c>
      <c r="E44" s="974">
        <v>1E-3</v>
      </c>
      <c r="F44" s="974">
        <v>0</v>
      </c>
      <c r="G44" s="974"/>
      <c r="H44" s="974">
        <v>0.6</v>
      </c>
      <c r="I44" s="974">
        <v>13.4</v>
      </c>
      <c r="J44" s="974">
        <v>135.9</v>
      </c>
      <c r="K44" s="974">
        <v>4.5600000000000002E-2</v>
      </c>
      <c r="L44" s="974"/>
      <c r="M44" s="974"/>
      <c r="N44" s="974"/>
      <c r="O44" s="974">
        <v>0.22</v>
      </c>
      <c r="P44" s="974">
        <v>0.09</v>
      </c>
      <c r="Q44" s="974">
        <v>3.18</v>
      </c>
      <c r="R44" s="974">
        <v>0.1431</v>
      </c>
      <c r="S44" s="974" t="s">
        <v>891</v>
      </c>
    </row>
    <row r="45" spans="2:22" ht="18" customHeight="1" x14ac:dyDescent="0.25">
      <c r="B45" s="974"/>
      <c r="C45" s="974"/>
      <c r="D45" s="974"/>
      <c r="E45" s="974"/>
      <c r="F45" s="974"/>
      <c r="G45" s="974">
        <v>0.20100000000000001</v>
      </c>
      <c r="H45" s="974"/>
      <c r="I45" s="974"/>
      <c r="J45" s="974"/>
      <c r="K45" s="974">
        <v>4.5600000000000002E-2</v>
      </c>
      <c r="L45" s="974"/>
      <c r="M45" s="974"/>
      <c r="N45" s="974"/>
      <c r="O45" s="974">
        <v>0.22</v>
      </c>
      <c r="P45" s="974">
        <v>0.09</v>
      </c>
      <c r="Q45" s="974">
        <v>3.18</v>
      </c>
      <c r="R45" s="974"/>
      <c r="S45" s="974"/>
      <c r="U45" s="973"/>
      <c r="V45" s="973"/>
    </row>
    <row r="46" spans="2:22" ht="18" customHeight="1" x14ac:dyDescent="0.25">
      <c r="B46" s="974"/>
      <c r="C46" s="974" t="s">
        <v>898</v>
      </c>
      <c r="D46" s="974">
        <v>95.81</v>
      </c>
      <c r="E46" s="974">
        <v>1.6E-2</v>
      </c>
      <c r="F46" s="974">
        <v>0.25800000000000001</v>
      </c>
      <c r="G46" s="974"/>
      <c r="H46" s="974">
        <v>0.6</v>
      </c>
      <c r="I46" s="974">
        <v>19.309999999999999</v>
      </c>
      <c r="J46" s="974">
        <v>135.9</v>
      </c>
      <c r="K46" s="974">
        <v>8.1600000000000006E-2</v>
      </c>
      <c r="L46" s="974"/>
      <c r="M46" s="974"/>
      <c r="N46" s="974"/>
      <c r="O46" s="974">
        <v>1.01</v>
      </c>
      <c r="P46" s="974">
        <v>0.09</v>
      </c>
      <c r="Q46" s="974">
        <v>2.27</v>
      </c>
      <c r="R46" s="974">
        <v>0.24909999999999999</v>
      </c>
      <c r="S46" s="974"/>
      <c r="U46" s="973"/>
      <c r="V46" s="973"/>
    </row>
    <row r="47" spans="2:22" ht="18" customHeight="1" x14ac:dyDescent="0.25">
      <c r="B47" s="974"/>
      <c r="C47" s="974"/>
      <c r="D47" s="974"/>
      <c r="E47" s="974"/>
      <c r="F47" s="974"/>
      <c r="G47" s="974">
        <v>0.61799999999999999</v>
      </c>
      <c r="H47" s="974"/>
      <c r="I47" s="974"/>
      <c r="J47" s="974"/>
      <c r="K47" s="974">
        <v>0</v>
      </c>
      <c r="L47" s="974">
        <v>0.1401</v>
      </c>
      <c r="M47" s="974">
        <v>2</v>
      </c>
      <c r="N47" s="974">
        <v>7.4999999999999997E-2</v>
      </c>
      <c r="O47" s="974">
        <v>1.1499999999999999</v>
      </c>
      <c r="P47" s="974">
        <v>0.11</v>
      </c>
      <c r="Q47" s="974">
        <v>2.81</v>
      </c>
      <c r="R47" s="974"/>
      <c r="S47" s="974"/>
      <c r="U47" s="973"/>
      <c r="V47" s="973"/>
    </row>
    <row r="48" spans="2:22" ht="18" customHeight="1" x14ac:dyDescent="0.25">
      <c r="B48" s="974">
        <v>16</v>
      </c>
      <c r="C48" s="974" t="s">
        <v>899</v>
      </c>
      <c r="D48" s="974">
        <v>44.96</v>
      </c>
      <c r="E48" s="974">
        <v>1.0999999999999999E-2</v>
      </c>
      <c r="F48" s="974">
        <v>0.13400000000000001</v>
      </c>
      <c r="G48" s="974"/>
      <c r="H48" s="974">
        <v>0.6</v>
      </c>
      <c r="I48" s="974">
        <v>10</v>
      </c>
      <c r="J48" s="974">
        <v>135.9</v>
      </c>
      <c r="K48" s="974">
        <v>0</v>
      </c>
      <c r="L48" s="974"/>
      <c r="M48" s="974"/>
      <c r="N48" s="974"/>
      <c r="O48" s="974">
        <v>0</v>
      </c>
      <c r="P48" s="974">
        <v>0</v>
      </c>
      <c r="Q48" s="974">
        <v>0</v>
      </c>
      <c r="R48" s="974">
        <v>0.20250000000000001</v>
      </c>
      <c r="S48" s="974"/>
      <c r="U48" s="973"/>
      <c r="V48" s="973"/>
    </row>
    <row r="49" spans="2:22" ht="18" customHeight="1" x14ac:dyDescent="0.25">
      <c r="B49" s="974"/>
      <c r="C49" s="974"/>
      <c r="D49" s="974"/>
      <c r="E49" s="974"/>
      <c r="F49" s="974"/>
      <c r="G49" s="974">
        <v>0.13400000000000001</v>
      </c>
      <c r="H49" s="974"/>
      <c r="I49" s="974"/>
      <c r="J49" s="974"/>
      <c r="K49" s="974">
        <v>0</v>
      </c>
      <c r="L49" s="974">
        <v>3.04E-2</v>
      </c>
      <c r="M49" s="974">
        <v>1</v>
      </c>
      <c r="N49" s="974">
        <v>7.4999999999999997E-2</v>
      </c>
      <c r="O49" s="974">
        <v>0.68</v>
      </c>
      <c r="P49" s="974">
        <v>7.0000000000000007E-2</v>
      </c>
      <c r="Q49" s="974">
        <v>1.66</v>
      </c>
      <c r="R49" s="974"/>
      <c r="S49" s="974"/>
      <c r="U49" s="973"/>
      <c r="V49" s="973"/>
    </row>
    <row r="50" spans="2:22" ht="18" customHeight="1" x14ac:dyDescent="0.25">
      <c r="B50" s="974"/>
      <c r="C50" s="974" t="s">
        <v>900</v>
      </c>
      <c r="D50" s="974">
        <v>112.96</v>
      </c>
      <c r="E50" s="974">
        <v>1.6E-2</v>
      </c>
      <c r="F50" s="974">
        <v>0.30299999999999999</v>
      </c>
      <c r="G50" s="974"/>
      <c r="H50" s="974">
        <v>0.6</v>
      </c>
      <c r="I50" s="974">
        <v>10</v>
      </c>
      <c r="J50" s="974">
        <v>135.9</v>
      </c>
      <c r="K50" s="974">
        <v>0</v>
      </c>
      <c r="L50" s="974"/>
      <c r="M50" s="974"/>
      <c r="N50" s="974"/>
      <c r="O50" s="974">
        <v>0</v>
      </c>
      <c r="P50" s="974">
        <v>0</v>
      </c>
      <c r="Q50" s="974">
        <v>0</v>
      </c>
      <c r="R50" s="974">
        <v>0.24759999999999999</v>
      </c>
      <c r="S50" s="974"/>
      <c r="U50" s="973"/>
      <c r="V50" s="973"/>
    </row>
    <row r="51" spans="2:22" ht="18" customHeight="1" x14ac:dyDescent="0.25">
      <c r="B51" s="974"/>
      <c r="C51" s="974"/>
      <c r="D51" s="974"/>
      <c r="E51" s="974"/>
      <c r="F51" s="974"/>
      <c r="G51" s="974">
        <v>0.30299999999999999</v>
      </c>
      <c r="H51" s="974"/>
      <c r="I51" s="974"/>
      <c r="J51" s="974"/>
      <c r="K51" s="974">
        <v>0</v>
      </c>
      <c r="L51" s="974">
        <v>6.8500000000000005E-2</v>
      </c>
      <c r="M51" s="974">
        <v>1</v>
      </c>
      <c r="N51" s="974">
        <v>7.4999999999999997E-2</v>
      </c>
      <c r="O51" s="974">
        <v>0.97</v>
      </c>
      <c r="P51" s="974">
        <v>0.08</v>
      </c>
      <c r="Q51" s="974">
        <v>2.13</v>
      </c>
      <c r="R51" s="974"/>
      <c r="S51" s="974"/>
      <c r="U51" s="973"/>
      <c r="V51" s="973"/>
    </row>
    <row r="52" spans="2:22" ht="18" customHeight="1" x14ac:dyDescent="0.25">
      <c r="B52" s="974">
        <v>17</v>
      </c>
      <c r="C52" s="974" t="s">
        <v>901</v>
      </c>
      <c r="D52" s="974">
        <v>46.36</v>
      </c>
      <c r="E52" s="974">
        <v>1.0999999999999999E-2</v>
      </c>
      <c r="F52" s="974">
        <v>0.127</v>
      </c>
      <c r="G52" s="974"/>
      <c r="H52" s="974">
        <v>0.6</v>
      </c>
      <c r="I52" s="974">
        <v>10</v>
      </c>
      <c r="J52" s="974">
        <v>135.9</v>
      </c>
      <c r="K52" s="974">
        <v>0</v>
      </c>
      <c r="L52" s="974"/>
      <c r="M52" s="974"/>
      <c r="N52" s="974"/>
      <c r="O52" s="974">
        <v>0</v>
      </c>
      <c r="P52" s="974">
        <v>0</v>
      </c>
      <c r="Q52" s="974">
        <v>0</v>
      </c>
      <c r="R52" s="974">
        <v>0.19939999999999999</v>
      </c>
      <c r="S52" s="974"/>
      <c r="U52" s="973"/>
      <c r="V52" s="973"/>
    </row>
    <row r="53" spans="2:22" ht="18" customHeight="1" x14ac:dyDescent="0.25">
      <c r="B53" s="974"/>
      <c r="C53" s="974"/>
      <c r="D53" s="974"/>
      <c r="E53" s="974"/>
      <c r="F53" s="974"/>
      <c r="G53" s="974">
        <v>0.127</v>
      </c>
      <c r="H53" s="974"/>
      <c r="I53" s="974"/>
      <c r="J53" s="974"/>
      <c r="K53" s="974">
        <v>0</v>
      </c>
      <c r="L53" s="974">
        <v>2.87E-2</v>
      </c>
      <c r="M53" s="974">
        <v>1</v>
      </c>
      <c r="N53" s="974">
        <v>7.4999999999999997E-2</v>
      </c>
      <c r="O53" s="974">
        <v>0.67</v>
      </c>
      <c r="P53" s="974">
        <v>7.0000000000000007E-2</v>
      </c>
      <c r="Q53" s="974">
        <v>1.63</v>
      </c>
      <c r="R53" s="974"/>
      <c r="S53" s="974"/>
      <c r="U53" s="973"/>
      <c r="V53" s="973"/>
    </row>
    <row r="54" spans="2:22" ht="18" customHeight="1" x14ac:dyDescent="0.25">
      <c r="B54" s="974">
        <v>18</v>
      </c>
      <c r="C54" s="974" t="s">
        <v>902</v>
      </c>
      <c r="D54" s="974">
        <v>96.8</v>
      </c>
      <c r="E54" s="974">
        <v>1.6E-2</v>
      </c>
      <c r="F54" s="974">
        <v>0.26400000000000001</v>
      </c>
      <c r="G54" s="974"/>
      <c r="H54" s="974">
        <v>0.6</v>
      </c>
      <c r="I54" s="974">
        <v>10</v>
      </c>
      <c r="J54" s="974">
        <v>135.9</v>
      </c>
      <c r="K54" s="974">
        <v>0</v>
      </c>
      <c r="L54" s="974"/>
      <c r="M54" s="974"/>
      <c r="N54" s="974"/>
      <c r="O54" s="974">
        <v>0</v>
      </c>
      <c r="P54" s="974">
        <v>0</v>
      </c>
      <c r="Q54" s="974">
        <v>0</v>
      </c>
      <c r="R54" s="974">
        <v>0.2462</v>
      </c>
      <c r="S54" s="974"/>
      <c r="U54" s="973"/>
      <c r="V54" s="973"/>
    </row>
    <row r="55" spans="2:22" ht="18" customHeight="1" x14ac:dyDescent="0.25">
      <c r="B55" s="974"/>
      <c r="C55" s="974"/>
      <c r="D55" s="974"/>
      <c r="E55" s="974"/>
      <c r="F55" s="974"/>
      <c r="G55" s="974">
        <v>0.26400000000000001</v>
      </c>
      <c r="H55" s="974"/>
      <c r="I55" s="974"/>
      <c r="J55" s="974"/>
      <c r="K55" s="974">
        <v>0</v>
      </c>
      <c r="L55" s="974">
        <v>5.9799999999999999E-2</v>
      </c>
      <c r="M55" s="974">
        <v>1</v>
      </c>
      <c r="N55" s="974">
        <v>7.4999999999999997E-2</v>
      </c>
      <c r="O55" s="974">
        <v>0.93</v>
      </c>
      <c r="P55" s="974">
        <v>0.08</v>
      </c>
      <c r="Q55" s="974">
        <v>2.02</v>
      </c>
      <c r="R55" s="974"/>
      <c r="S55" s="974"/>
      <c r="U55" s="973"/>
      <c r="V55" s="973"/>
    </row>
    <row r="56" spans="2:22" ht="18" customHeight="1" x14ac:dyDescent="0.25">
      <c r="B56" s="974">
        <v>19</v>
      </c>
      <c r="C56" s="974" t="s">
        <v>903</v>
      </c>
      <c r="D56" s="974">
        <v>73.47</v>
      </c>
      <c r="E56" s="974">
        <v>1.9E-2</v>
      </c>
      <c r="F56" s="974">
        <v>0.20499999999999999</v>
      </c>
      <c r="G56" s="974"/>
      <c r="H56" s="974">
        <v>0.6</v>
      </c>
      <c r="I56" s="974">
        <v>10</v>
      </c>
      <c r="J56" s="974">
        <v>135.9</v>
      </c>
      <c r="K56" s="974">
        <v>0</v>
      </c>
      <c r="L56" s="974"/>
      <c r="M56" s="974"/>
      <c r="N56" s="974"/>
      <c r="O56" s="974">
        <v>0</v>
      </c>
      <c r="P56" s="974">
        <v>0</v>
      </c>
      <c r="Q56" s="974">
        <v>0</v>
      </c>
      <c r="R56" s="974">
        <v>0.26390000000000002</v>
      </c>
      <c r="S56" s="974" t="s">
        <v>889</v>
      </c>
      <c r="U56" s="973"/>
      <c r="V56" s="973"/>
    </row>
    <row r="57" spans="2:22" ht="18" customHeight="1" x14ac:dyDescent="0.25">
      <c r="B57" s="974"/>
      <c r="C57" s="974"/>
      <c r="D57" s="974"/>
      <c r="E57" s="974"/>
      <c r="F57" s="974"/>
      <c r="G57" s="974">
        <v>0.20499999999999999</v>
      </c>
      <c r="H57" s="974"/>
      <c r="I57" s="974"/>
      <c r="J57" s="974"/>
      <c r="K57" s="974">
        <v>4.6300000000000001E-2</v>
      </c>
      <c r="L57" s="974"/>
      <c r="M57" s="974"/>
      <c r="N57" s="974"/>
      <c r="O57" s="974">
        <v>0.92</v>
      </c>
      <c r="P57" s="974">
        <v>7.0000000000000007E-2</v>
      </c>
      <c r="Q57" s="974">
        <v>1.77</v>
      </c>
      <c r="R57" s="974"/>
      <c r="S57" s="974"/>
      <c r="U57" s="973"/>
      <c r="V57" s="973"/>
    </row>
    <row r="58" spans="2:22" ht="18" customHeight="1" x14ac:dyDescent="0.25">
      <c r="B58" s="974"/>
      <c r="C58" s="974" t="s">
        <v>904</v>
      </c>
      <c r="D58" s="974">
        <v>17.559999999999999</v>
      </c>
      <c r="E58" s="974">
        <v>1E-3</v>
      </c>
      <c r="F58" s="974">
        <v>0</v>
      </c>
      <c r="G58" s="974"/>
      <c r="H58" s="974">
        <v>0.6</v>
      </c>
      <c r="I58" s="974">
        <v>19.149999999999999</v>
      </c>
      <c r="J58" s="974">
        <v>135.9</v>
      </c>
      <c r="K58" s="974">
        <v>4.6300000000000001E-2</v>
      </c>
      <c r="L58" s="974"/>
      <c r="M58" s="974"/>
      <c r="N58" s="974"/>
      <c r="O58" s="974">
        <v>0.22</v>
      </c>
      <c r="P58" s="974">
        <v>0.09</v>
      </c>
      <c r="Q58" s="974">
        <v>3.2</v>
      </c>
      <c r="R58" s="974">
        <v>0.1431</v>
      </c>
      <c r="S58" s="974" t="s">
        <v>891</v>
      </c>
    </row>
    <row r="59" spans="2:22" x14ac:dyDescent="0.25">
      <c r="B59" s="974"/>
      <c r="C59" s="974"/>
      <c r="D59" s="974"/>
      <c r="E59" s="974"/>
      <c r="F59" s="974"/>
      <c r="G59" s="974">
        <v>0.20499999999999999</v>
      </c>
      <c r="H59" s="974"/>
      <c r="I59" s="974"/>
      <c r="J59" s="974"/>
      <c r="K59" s="974">
        <v>4.6300000000000001E-2</v>
      </c>
      <c r="L59" s="974"/>
      <c r="M59" s="974"/>
      <c r="N59" s="974"/>
      <c r="O59" s="974">
        <v>0.22</v>
      </c>
      <c r="P59" s="974">
        <v>0.09</v>
      </c>
      <c r="Q59" s="974">
        <v>3.2</v>
      </c>
      <c r="R59" s="974"/>
      <c r="S59" s="974"/>
    </row>
    <row r="60" spans="2:22" x14ac:dyDescent="0.25">
      <c r="B60" s="974"/>
      <c r="C60" s="974" t="s">
        <v>905</v>
      </c>
      <c r="D60" s="974">
        <v>95.59</v>
      </c>
      <c r="E60" s="974">
        <v>2.1000000000000001E-2</v>
      </c>
      <c r="F60" s="974">
        <v>0.26600000000000001</v>
      </c>
      <c r="G60" s="974"/>
      <c r="H60" s="974">
        <v>0.6</v>
      </c>
      <c r="I60" s="974">
        <v>19.41</v>
      </c>
      <c r="J60" s="974">
        <v>135.9</v>
      </c>
      <c r="K60" s="974">
        <v>4.6300000000000001E-2</v>
      </c>
      <c r="L60" s="974"/>
      <c r="M60" s="974"/>
      <c r="N60" s="974"/>
      <c r="O60" s="974">
        <v>0.97</v>
      </c>
      <c r="P60" s="974">
        <v>7.0000000000000007E-2</v>
      </c>
      <c r="Q60" s="974">
        <v>1.72</v>
      </c>
      <c r="R60" s="974">
        <v>0.28270000000000001</v>
      </c>
      <c r="S60" s="974"/>
    </row>
    <row r="61" spans="2:22" x14ac:dyDescent="0.25">
      <c r="B61" s="974"/>
      <c r="C61" s="974"/>
      <c r="D61" s="974"/>
      <c r="E61" s="974"/>
      <c r="F61" s="974"/>
      <c r="G61" s="974">
        <v>0.47099999999999997</v>
      </c>
      <c r="H61" s="974"/>
      <c r="I61" s="974"/>
      <c r="J61" s="974"/>
      <c r="K61" s="974">
        <v>0</v>
      </c>
      <c r="L61" s="974">
        <v>0.1067</v>
      </c>
      <c r="M61" s="974">
        <v>2</v>
      </c>
      <c r="N61" s="974">
        <v>7.4999999999999997E-2</v>
      </c>
      <c r="O61" s="974">
        <v>1.19</v>
      </c>
      <c r="P61" s="974">
        <v>0.09</v>
      </c>
      <c r="Q61" s="974">
        <v>2.4</v>
      </c>
      <c r="R61" s="974"/>
      <c r="S61" s="974"/>
    </row>
    <row r="62" spans="2:22" x14ac:dyDescent="0.25">
      <c r="B62" s="974">
        <v>20</v>
      </c>
      <c r="C62" s="974" t="s">
        <v>906</v>
      </c>
      <c r="D62" s="974">
        <v>95.77</v>
      </c>
      <c r="E62" s="974">
        <v>1.9E-2</v>
      </c>
      <c r="F62" s="974">
        <v>0.255</v>
      </c>
      <c r="G62" s="974"/>
      <c r="H62" s="974">
        <v>0.6</v>
      </c>
      <c r="I62" s="974">
        <v>10</v>
      </c>
      <c r="J62" s="974">
        <v>135.9</v>
      </c>
      <c r="K62" s="974">
        <v>0</v>
      </c>
      <c r="L62" s="974"/>
      <c r="M62" s="974"/>
      <c r="N62" s="974"/>
      <c r="O62" s="974">
        <v>0</v>
      </c>
      <c r="P62" s="974">
        <v>0</v>
      </c>
      <c r="Q62" s="974">
        <v>0</v>
      </c>
      <c r="R62" s="974">
        <v>0.26889999999999997</v>
      </c>
      <c r="S62" s="974"/>
    </row>
    <row r="63" spans="2:22" x14ac:dyDescent="0.25">
      <c r="B63" s="974"/>
      <c r="C63" s="974"/>
      <c r="D63" s="974"/>
      <c r="E63" s="974"/>
      <c r="F63" s="974"/>
      <c r="G63" s="974">
        <v>0.255</v>
      </c>
      <c r="H63" s="974"/>
      <c r="I63" s="974"/>
      <c r="J63" s="974"/>
      <c r="K63" s="974">
        <v>0</v>
      </c>
      <c r="L63" s="974">
        <v>5.7799999999999997E-2</v>
      </c>
      <c r="M63" s="974">
        <v>1</v>
      </c>
      <c r="N63" s="974">
        <v>7.4999999999999997E-2</v>
      </c>
      <c r="O63" s="974">
        <v>0.99</v>
      </c>
      <c r="P63" s="974">
        <v>0.08</v>
      </c>
      <c r="Q63" s="974">
        <v>1.92</v>
      </c>
      <c r="R63" s="974"/>
      <c r="S63" s="974"/>
    </row>
    <row r="64" spans="2:22" x14ac:dyDescent="0.25">
      <c r="B64" s="974">
        <v>21</v>
      </c>
      <c r="C64" s="974" t="s">
        <v>907</v>
      </c>
      <c r="D64" s="974">
        <v>71.86</v>
      </c>
      <c r="E64" s="974">
        <v>1.9E-2</v>
      </c>
      <c r="F64" s="974">
        <v>0.184</v>
      </c>
      <c r="G64" s="974"/>
      <c r="H64" s="974">
        <v>0.6</v>
      </c>
      <c r="I64" s="974">
        <v>10</v>
      </c>
      <c r="J64" s="974">
        <v>135.9</v>
      </c>
      <c r="K64" s="974">
        <v>0</v>
      </c>
      <c r="L64" s="974"/>
      <c r="M64" s="974"/>
      <c r="N64" s="974"/>
      <c r="O64" s="974">
        <v>0</v>
      </c>
      <c r="P64" s="974">
        <v>0</v>
      </c>
      <c r="Q64" s="974">
        <v>0</v>
      </c>
      <c r="R64" s="974">
        <v>0.26779999999999998</v>
      </c>
      <c r="S64" s="974" t="s">
        <v>889</v>
      </c>
    </row>
    <row r="65" spans="2:19" x14ac:dyDescent="0.25">
      <c r="B65" s="974"/>
      <c r="C65" s="974"/>
      <c r="D65" s="974"/>
      <c r="E65" s="974"/>
      <c r="F65" s="974"/>
      <c r="G65" s="974">
        <v>0.184</v>
      </c>
      <c r="H65" s="974"/>
      <c r="I65" s="974"/>
      <c r="J65" s="974"/>
      <c r="K65" s="974">
        <v>4.1700000000000001E-2</v>
      </c>
      <c r="L65" s="974"/>
      <c r="M65" s="974"/>
      <c r="N65" s="974"/>
      <c r="O65" s="974">
        <v>0.91</v>
      </c>
      <c r="P65" s="974">
        <v>7.0000000000000007E-2</v>
      </c>
      <c r="Q65" s="974">
        <v>1.68</v>
      </c>
      <c r="R65" s="974"/>
      <c r="S65" s="974"/>
    </row>
    <row r="66" spans="2:19" x14ac:dyDescent="0.25">
      <c r="B66" s="974"/>
      <c r="C66" s="974" t="s">
        <v>908</v>
      </c>
      <c r="D66" s="974">
        <v>16.559999999999999</v>
      </c>
      <c r="E66" s="974">
        <v>1E-3</v>
      </c>
      <c r="F66" s="974">
        <v>0</v>
      </c>
      <c r="G66" s="974"/>
      <c r="H66" s="974">
        <v>0.6</v>
      </c>
      <c r="I66" s="974">
        <v>17.8</v>
      </c>
      <c r="J66" s="974">
        <v>135.9</v>
      </c>
      <c r="K66" s="974">
        <v>4.1700000000000001E-2</v>
      </c>
      <c r="L66" s="974"/>
      <c r="M66" s="974"/>
      <c r="N66" s="974"/>
      <c r="O66" s="974">
        <v>0.21</v>
      </c>
      <c r="P66" s="974">
        <v>0.09</v>
      </c>
      <c r="Q66" s="974">
        <v>3.06</v>
      </c>
      <c r="R66" s="974">
        <v>0.1431</v>
      </c>
      <c r="S66" s="974" t="s">
        <v>891</v>
      </c>
    </row>
    <row r="67" spans="2:19" x14ac:dyDescent="0.25">
      <c r="B67" s="974"/>
      <c r="C67" s="974"/>
      <c r="D67" s="974"/>
      <c r="E67" s="974"/>
      <c r="F67" s="974"/>
      <c r="G67" s="974">
        <v>0.184</v>
      </c>
      <c r="H67" s="974"/>
      <c r="I67" s="974"/>
      <c r="J67" s="974"/>
      <c r="K67" s="974">
        <v>4.1700000000000001E-2</v>
      </c>
      <c r="L67" s="974"/>
      <c r="M67" s="974"/>
      <c r="N67" s="974"/>
      <c r="O67" s="974">
        <v>0.21</v>
      </c>
      <c r="P67" s="974">
        <v>0.09</v>
      </c>
      <c r="Q67" s="974">
        <v>3.06</v>
      </c>
      <c r="R67" s="974"/>
      <c r="S67" s="974"/>
    </row>
    <row r="68" spans="2:19" x14ac:dyDescent="0.25">
      <c r="B68" s="974"/>
      <c r="C68" s="974" t="s">
        <v>909</v>
      </c>
      <c r="D68" s="974">
        <v>97.61</v>
      </c>
      <c r="E68" s="974">
        <v>2.4E-2</v>
      </c>
      <c r="F68" s="974">
        <v>0.248</v>
      </c>
      <c r="G68" s="974"/>
      <c r="H68" s="974">
        <v>0.6</v>
      </c>
      <c r="I68" s="974">
        <v>20</v>
      </c>
      <c r="J68" s="974">
        <v>135.9</v>
      </c>
      <c r="K68" s="974">
        <v>7.9699999999999993E-2</v>
      </c>
      <c r="L68" s="974"/>
      <c r="M68" s="974"/>
      <c r="N68" s="974"/>
      <c r="O68" s="974">
        <v>1.1599999999999999</v>
      </c>
      <c r="P68" s="974">
        <v>0.08</v>
      </c>
      <c r="Q68" s="974">
        <v>2.09</v>
      </c>
      <c r="R68" s="974">
        <v>0.30030000000000001</v>
      </c>
      <c r="S68" s="974"/>
    </row>
    <row r="69" spans="2:19" x14ac:dyDescent="0.25">
      <c r="B69" s="974"/>
      <c r="C69" s="974"/>
      <c r="D69" s="974"/>
      <c r="E69" s="974"/>
      <c r="F69" s="974"/>
      <c r="G69" s="974">
        <v>0.6</v>
      </c>
      <c r="H69" s="974"/>
      <c r="I69" s="974"/>
      <c r="J69" s="974"/>
      <c r="K69" s="974">
        <v>0</v>
      </c>
      <c r="L69" s="974">
        <v>0.1358</v>
      </c>
      <c r="M69" s="974">
        <v>2</v>
      </c>
      <c r="N69" s="974">
        <v>7.4999999999999997E-2</v>
      </c>
      <c r="O69" s="974">
        <v>1.32</v>
      </c>
      <c r="P69" s="974">
        <v>0.1</v>
      </c>
      <c r="Q69" s="974">
        <v>2.58</v>
      </c>
      <c r="R69" s="974"/>
      <c r="S69" s="974"/>
    </row>
    <row r="70" spans="2:19" x14ac:dyDescent="0.25">
      <c r="B70" s="974">
        <v>22</v>
      </c>
      <c r="C70" s="974" t="s">
        <v>910</v>
      </c>
      <c r="D70" s="974">
        <v>95.19</v>
      </c>
      <c r="E70" s="974">
        <v>1.9E-2</v>
      </c>
      <c r="F70" s="974">
        <v>0.27700000000000002</v>
      </c>
      <c r="G70" s="974"/>
      <c r="H70" s="974">
        <v>0.6</v>
      </c>
      <c r="I70" s="974">
        <v>10</v>
      </c>
      <c r="J70" s="974">
        <v>135.9</v>
      </c>
      <c r="K70" s="974">
        <v>0</v>
      </c>
      <c r="L70" s="974"/>
      <c r="M70" s="974"/>
      <c r="N70" s="974"/>
      <c r="O70" s="974">
        <v>0</v>
      </c>
      <c r="P70" s="974">
        <v>0</v>
      </c>
      <c r="Q70" s="974">
        <v>0</v>
      </c>
      <c r="R70" s="974">
        <v>0.2697</v>
      </c>
      <c r="S70" s="974"/>
    </row>
    <row r="71" spans="2:19" x14ac:dyDescent="0.25">
      <c r="B71" s="974"/>
      <c r="C71" s="974"/>
      <c r="D71" s="974"/>
      <c r="E71" s="974"/>
      <c r="F71" s="974"/>
      <c r="G71" s="974">
        <v>0.27700000000000002</v>
      </c>
      <c r="H71" s="974"/>
      <c r="I71" s="974"/>
      <c r="J71" s="974"/>
      <c r="K71" s="974">
        <v>0</v>
      </c>
      <c r="L71" s="974">
        <v>6.2600000000000003E-2</v>
      </c>
      <c r="M71" s="974">
        <v>1</v>
      </c>
      <c r="N71" s="974">
        <v>7.4999999999999997E-2</v>
      </c>
      <c r="O71" s="974">
        <v>1.01</v>
      </c>
      <c r="P71" s="974">
        <v>0.08</v>
      </c>
      <c r="Q71" s="974">
        <v>1.98</v>
      </c>
      <c r="R71" s="974"/>
      <c r="S71" s="974"/>
    </row>
    <row r="72" spans="2:19" x14ac:dyDescent="0.25">
      <c r="B72" s="974">
        <v>23</v>
      </c>
      <c r="C72" s="974" t="s">
        <v>911</v>
      </c>
      <c r="D72" s="974">
        <v>72.25</v>
      </c>
      <c r="E72" s="974">
        <v>1.9E-2</v>
      </c>
      <c r="F72" s="974">
        <v>0.19700000000000001</v>
      </c>
      <c r="G72" s="974"/>
      <c r="H72" s="974">
        <v>0.6</v>
      </c>
      <c r="I72" s="974">
        <v>10</v>
      </c>
      <c r="J72" s="974">
        <v>135.9</v>
      </c>
      <c r="K72" s="974">
        <v>0</v>
      </c>
      <c r="L72" s="974"/>
      <c r="M72" s="974"/>
      <c r="N72" s="974"/>
      <c r="O72" s="974">
        <v>0</v>
      </c>
      <c r="P72" s="974">
        <v>0</v>
      </c>
      <c r="Q72" s="974">
        <v>0</v>
      </c>
      <c r="R72" s="974">
        <v>0.2671</v>
      </c>
      <c r="S72" s="974" t="s">
        <v>889</v>
      </c>
    </row>
    <row r="73" spans="2:19" x14ac:dyDescent="0.25">
      <c r="B73" s="974"/>
      <c r="C73" s="974"/>
      <c r="D73" s="974"/>
      <c r="E73" s="974"/>
      <c r="F73" s="974"/>
      <c r="G73" s="974">
        <v>0.19700000000000001</v>
      </c>
      <c r="H73" s="974"/>
      <c r="I73" s="974"/>
      <c r="J73" s="974"/>
      <c r="K73" s="974">
        <v>4.4699999999999997E-2</v>
      </c>
      <c r="L73" s="974"/>
      <c r="M73" s="974"/>
      <c r="N73" s="974"/>
      <c r="O73" s="974">
        <v>0.93</v>
      </c>
      <c r="P73" s="974">
        <v>7.0000000000000007E-2</v>
      </c>
      <c r="Q73" s="974">
        <v>1.74</v>
      </c>
      <c r="R73" s="974"/>
      <c r="S73" s="974"/>
    </row>
    <row r="74" spans="2:19" x14ac:dyDescent="0.25">
      <c r="B74" s="974"/>
      <c r="C74" s="974" t="s">
        <v>912</v>
      </c>
      <c r="D74" s="974">
        <v>16.57</v>
      </c>
      <c r="E74" s="974">
        <v>1E-3</v>
      </c>
      <c r="F74" s="974">
        <v>0</v>
      </c>
      <c r="G74" s="974"/>
      <c r="H74" s="974">
        <v>0.6</v>
      </c>
      <c r="I74" s="974">
        <v>15.55</v>
      </c>
      <c r="J74" s="974">
        <v>135.9</v>
      </c>
      <c r="K74" s="974">
        <v>4.4699999999999997E-2</v>
      </c>
      <c r="L74" s="974"/>
      <c r="M74" s="974"/>
      <c r="N74" s="974"/>
      <c r="O74" s="974">
        <v>0.22</v>
      </c>
      <c r="P74" s="974">
        <v>0.09</v>
      </c>
      <c r="Q74" s="974">
        <v>3.15</v>
      </c>
      <c r="R74" s="974">
        <v>0.1431</v>
      </c>
      <c r="S74" s="974" t="s">
        <v>891</v>
      </c>
    </row>
    <row r="75" spans="2:19" x14ac:dyDescent="0.25">
      <c r="B75" s="974"/>
      <c r="C75" s="974"/>
      <c r="D75" s="974"/>
      <c r="E75" s="974"/>
      <c r="F75" s="974"/>
      <c r="G75" s="974">
        <v>0.19700000000000001</v>
      </c>
      <c r="H75" s="974"/>
      <c r="I75" s="974"/>
      <c r="J75" s="974"/>
      <c r="K75" s="974">
        <v>4.4699999999999997E-2</v>
      </c>
      <c r="L75" s="974"/>
      <c r="M75" s="974"/>
      <c r="N75" s="974"/>
      <c r="O75" s="974">
        <v>0.22</v>
      </c>
      <c r="P75" s="974">
        <v>0.09</v>
      </c>
      <c r="Q75" s="974">
        <v>3.15</v>
      </c>
      <c r="R75" s="974"/>
      <c r="S75" s="974"/>
    </row>
    <row r="76" spans="2:19" x14ac:dyDescent="0.25">
      <c r="B76" s="974"/>
      <c r="C76" s="974" t="s">
        <v>913</v>
      </c>
      <c r="D76" s="974">
        <v>96.9</v>
      </c>
      <c r="E76" s="974">
        <v>2.4E-2</v>
      </c>
      <c r="F76" s="974">
        <v>0.27100000000000002</v>
      </c>
      <c r="G76" s="974"/>
      <c r="H76" s="974">
        <v>0.6</v>
      </c>
      <c r="I76" s="974">
        <v>15.82</v>
      </c>
      <c r="J76" s="974">
        <v>135.9</v>
      </c>
      <c r="K76" s="974">
        <v>4.4699999999999997E-2</v>
      </c>
      <c r="L76" s="974"/>
      <c r="M76" s="974"/>
      <c r="N76" s="974"/>
      <c r="O76" s="974">
        <v>1.02</v>
      </c>
      <c r="P76" s="974">
        <v>7.0000000000000007E-2</v>
      </c>
      <c r="Q76" s="974">
        <v>1.65</v>
      </c>
      <c r="R76" s="974">
        <v>0.3014</v>
      </c>
      <c r="S76" s="974"/>
    </row>
    <row r="77" spans="2:19" x14ac:dyDescent="0.25">
      <c r="B77" s="974"/>
      <c r="C77" s="974"/>
      <c r="D77" s="974"/>
      <c r="E77" s="974"/>
      <c r="F77" s="974"/>
      <c r="G77" s="974">
        <v>0.46800000000000003</v>
      </c>
      <c r="H77" s="974"/>
      <c r="I77" s="974"/>
      <c r="J77" s="974"/>
      <c r="K77" s="974">
        <v>0</v>
      </c>
      <c r="L77" s="974">
        <v>0.1061</v>
      </c>
      <c r="M77" s="974">
        <v>2</v>
      </c>
      <c r="N77" s="974">
        <v>7.4999999999999997E-2</v>
      </c>
      <c r="O77" s="974">
        <v>1.25</v>
      </c>
      <c r="P77" s="974">
        <v>0.09</v>
      </c>
      <c r="Q77" s="974">
        <v>2.34</v>
      </c>
      <c r="R77" s="974"/>
      <c r="S77" s="974"/>
    </row>
    <row r="78" spans="2:19" x14ac:dyDescent="0.25">
      <c r="B78" s="974">
        <v>24</v>
      </c>
      <c r="C78" s="974" t="s">
        <v>914</v>
      </c>
      <c r="D78" s="974">
        <v>95.81</v>
      </c>
      <c r="E78" s="974">
        <v>2.1999999999999999E-2</v>
      </c>
      <c r="F78" s="974">
        <v>0.26200000000000001</v>
      </c>
      <c r="G78" s="974"/>
      <c r="H78" s="974">
        <v>0.6</v>
      </c>
      <c r="I78" s="974">
        <v>10</v>
      </c>
      <c r="J78" s="974">
        <v>135.9</v>
      </c>
      <c r="K78" s="974">
        <v>0</v>
      </c>
      <c r="L78" s="974"/>
      <c r="M78" s="974"/>
      <c r="N78" s="974"/>
      <c r="O78" s="974">
        <v>0</v>
      </c>
      <c r="P78" s="974">
        <v>0</v>
      </c>
      <c r="Q78" s="974">
        <v>0</v>
      </c>
      <c r="R78" s="974">
        <v>0.2878</v>
      </c>
      <c r="S78" s="974"/>
    </row>
    <row r="79" spans="2:19" x14ac:dyDescent="0.25">
      <c r="B79" s="974"/>
      <c r="C79" s="974"/>
      <c r="D79" s="974"/>
      <c r="E79" s="974"/>
      <c r="F79" s="974"/>
      <c r="G79" s="974">
        <v>0.26200000000000001</v>
      </c>
      <c r="H79" s="974"/>
      <c r="I79" s="974"/>
      <c r="J79" s="974"/>
      <c r="K79" s="974">
        <v>0</v>
      </c>
      <c r="L79" s="974">
        <v>5.9400000000000001E-2</v>
      </c>
      <c r="M79" s="974">
        <v>1</v>
      </c>
      <c r="N79" s="974">
        <v>7.4999999999999997E-2</v>
      </c>
      <c r="O79" s="974">
        <v>1.05</v>
      </c>
      <c r="P79" s="974">
        <v>0.08</v>
      </c>
      <c r="Q79" s="974">
        <v>1.89</v>
      </c>
      <c r="R79" s="974"/>
      <c r="S79" s="974"/>
    </row>
    <row r="80" spans="2:19" x14ac:dyDescent="0.25">
      <c r="B80" s="974">
        <v>25</v>
      </c>
      <c r="C80" s="974" t="s">
        <v>915</v>
      </c>
      <c r="D80" s="974">
        <v>71.849999999999994</v>
      </c>
      <c r="E80" s="974">
        <v>2.1000000000000001E-2</v>
      </c>
      <c r="F80" s="974">
        <v>0.188</v>
      </c>
      <c r="G80" s="974"/>
      <c r="H80" s="974">
        <v>0.6</v>
      </c>
      <c r="I80" s="974">
        <v>10</v>
      </c>
      <c r="J80" s="974">
        <v>135.9</v>
      </c>
      <c r="K80" s="974">
        <v>0</v>
      </c>
      <c r="L80" s="974"/>
      <c r="M80" s="974"/>
      <c r="N80" s="974"/>
      <c r="O80" s="974">
        <v>0</v>
      </c>
      <c r="P80" s="974">
        <v>0</v>
      </c>
      <c r="Q80" s="974">
        <v>0</v>
      </c>
      <c r="R80" s="974">
        <v>0.28399999999999997</v>
      </c>
      <c r="S80" s="974" t="s">
        <v>889</v>
      </c>
    </row>
    <row r="81" spans="2:19" x14ac:dyDescent="0.25">
      <c r="B81" s="974"/>
      <c r="C81" s="974"/>
      <c r="D81" s="974"/>
      <c r="E81" s="974"/>
      <c r="F81" s="974"/>
      <c r="G81" s="974">
        <v>0.188</v>
      </c>
      <c r="H81" s="974"/>
      <c r="I81" s="974"/>
      <c r="J81" s="974"/>
      <c r="K81" s="974">
        <v>4.2599999999999999E-2</v>
      </c>
      <c r="L81" s="974"/>
      <c r="M81" s="974"/>
      <c r="N81" s="974"/>
      <c r="O81" s="974">
        <v>0.96</v>
      </c>
      <c r="P81" s="974">
        <v>7.0000000000000007E-2</v>
      </c>
      <c r="Q81" s="974">
        <v>1.66</v>
      </c>
      <c r="R81" s="974"/>
      <c r="S81" s="974"/>
    </row>
    <row r="82" spans="2:19" x14ac:dyDescent="0.25">
      <c r="B82" s="974"/>
      <c r="C82" s="974" t="s">
        <v>916</v>
      </c>
      <c r="D82" s="974">
        <v>16.66</v>
      </c>
      <c r="E82" s="974">
        <v>1E-3</v>
      </c>
      <c r="F82" s="974">
        <v>0</v>
      </c>
      <c r="G82" s="974"/>
      <c r="H82" s="974">
        <v>0.6</v>
      </c>
      <c r="I82" s="974">
        <v>17.510000000000002</v>
      </c>
      <c r="J82" s="974">
        <v>135.9</v>
      </c>
      <c r="K82" s="974">
        <v>4.2599999999999999E-2</v>
      </c>
      <c r="L82" s="974"/>
      <c r="M82" s="974"/>
      <c r="N82" s="974"/>
      <c r="O82" s="974">
        <v>0.22</v>
      </c>
      <c r="P82" s="974">
        <v>0.09</v>
      </c>
      <c r="Q82" s="974">
        <v>3.09</v>
      </c>
      <c r="R82" s="974">
        <v>0.1431</v>
      </c>
      <c r="S82" s="974" t="s">
        <v>891</v>
      </c>
    </row>
    <row r="83" spans="2:19" x14ac:dyDescent="0.25">
      <c r="B83" s="974"/>
      <c r="C83" s="974"/>
      <c r="D83" s="974"/>
      <c r="E83" s="974"/>
      <c r="F83" s="974"/>
      <c r="G83" s="974">
        <v>0.188</v>
      </c>
      <c r="H83" s="974"/>
      <c r="I83" s="974"/>
      <c r="J83" s="974"/>
      <c r="K83" s="974">
        <v>4.2599999999999999E-2</v>
      </c>
      <c r="L83" s="974"/>
      <c r="M83" s="974"/>
      <c r="N83" s="974"/>
      <c r="O83" s="974">
        <v>0.22</v>
      </c>
      <c r="P83" s="974">
        <v>0.09</v>
      </c>
      <c r="Q83" s="974">
        <v>3.09</v>
      </c>
      <c r="R83" s="974"/>
      <c r="S83" s="974"/>
    </row>
    <row r="84" spans="2:19" x14ac:dyDescent="0.25">
      <c r="B84" s="974"/>
      <c r="C84" s="974" t="s">
        <v>917</v>
      </c>
      <c r="D84" s="974">
        <v>93.78</v>
      </c>
      <c r="E84" s="974">
        <v>2.5000000000000001E-2</v>
      </c>
      <c r="F84" s="974">
        <v>0.26900000000000002</v>
      </c>
      <c r="G84" s="974"/>
      <c r="H84" s="974">
        <v>0.6</v>
      </c>
      <c r="I84" s="974">
        <v>19.600000000000001</v>
      </c>
      <c r="J84" s="974">
        <v>135.9</v>
      </c>
      <c r="K84" s="974">
        <v>8.3299999999999999E-2</v>
      </c>
      <c r="L84" s="974"/>
      <c r="M84" s="974"/>
      <c r="N84" s="974"/>
      <c r="O84" s="974">
        <v>1.2</v>
      </c>
      <c r="P84" s="974">
        <v>0.08</v>
      </c>
      <c r="Q84" s="974">
        <v>2.11</v>
      </c>
      <c r="R84" s="974">
        <v>0.30840000000000001</v>
      </c>
      <c r="S84" s="974"/>
    </row>
    <row r="85" spans="2:19" x14ac:dyDescent="0.25">
      <c r="B85" s="974"/>
      <c r="C85" s="974"/>
      <c r="D85" s="974"/>
      <c r="E85" s="974"/>
      <c r="F85" s="974"/>
      <c r="G85" s="974">
        <v>0.63600000000000001</v>
      </c>
      <c r="H85" s="974"/>
      <c r="I85" s="974"/>
      <c r="J85" s="974"/>
      <c r="K85" s="974">
        <v>0</v>
      </c>
      <c r="L85" s="974">
        <v>0.14410000000000001</v>
      </c>
      <c r="M85" s="974">
        <v>2</v>
      </c>
      <c r="N85" s="974">
        <v>7.4999999999999997E-2</v>
      </c>
      <c r="O85" s="974">
        <v>1.37</v>
      </c>
      <c r="P85" s="974">
        <v>0.1</v>
      </c>
      <c r="Q85" s="974">
        <v>2.61</v>
      </c>
      <c r="R85" s="974"/>
      <c r="S85" s="974"/>
    </row>
    <row r="86" spans="2:19" x14ac:dyDescent="0.25">
      <c r="B86" s="974">
        <v>26</v>
      </c>
      <c r="C86" s="974" t="s">
        <v>918</v>
      </c>
      <c r="D86" s="974">
        <v>96.31</v>
      </c>
      <c r="E86" s="974">
        <v>2.1999999999999999E-2</v>
      </c>
      <c r="F86" s="974">
        <v>0.27600000000000002</v>
      </c>
      <c r="G86" s="974"/>
      <c r="H86" s="974">
        <v>0.6</v>
      </c>
      <c r="I86" s="974">
        <v>10</v>
      </c>
      <c r="J86" s="974">
        <v>135.9</v>
      </c>
      <c r="K86" s="974">
        <v>0</v>
      </c>
      <c r="L86" s="974"/>
      <c r="M86" s="974"/>
      <c r="N86" s="974"/>
      <c r="O86" s="974">
        <v>0</v>
      </c>
      <c r="P86" s="974">
        <v>0</v>
      </c>
      <c r="Q86" s="974">
        <v>0</v>
      </c>
      <c r="R86" s="974">
        <v>0.28710000000000002</v>
      </c>
      <c r="S86" s="974"/>
    </row>
    <row r="87" spans="2:19" x14ac:dyDescent="0.25">
      <c r="B87" s="974"/>
      <c r="C87" s="974"/>
      <c r="D87" s="974"/>
      <c r="E87" s="974"/>
      <c r="F87" s="974"/>
      <c r="G87" s="974">
        <v>0.27600000000000002</v>
      </c>
      <c r="H87" s="974"/>
      <c r="I87" s="974"/>
      <c r="J87" s="974"/>
      <c r="K87" s="974">
        <v>0</v>
      </c>
      <c r="L87" s="974">
        <v>6.25E-2</v>
      </c>
      <c r="M87" s="974">
        <v>1</v>
      </c>
      <c r="N87" s="974">
        <v>7.4999999999999997E-2</v>
      </c>
      <c r="O87" s="974">
        <v>1.06</v>
      </c>
      <c r="P87" s="974">
        <v>0.08</v>
      </c>
      <c r="Q87" s="974">
        <v>1.93</v>
      </c>
      <c r="R87" s="974"/>
      <c r="S87" s="974"/>
    </row>
    <row r="88" spans="2:19" x14ac:dyDescent="0.25">
      <c r="B88" s="974">
        <v>27</v>
      </c>
      <c r="C88" s="974" t="s">
        <v>919</v>
      </c>
      <c r="D88" s="974">
        <v>74.599999999999994</v>
      </c>
      <c r="E88" s="974">
        <v>2.1000000000000001E-2</v>
      </c>
      <c r="F88" s="974">
        <v>0.216</v>
      </c>
      <c r="G88" s="974"/>
      <c r="H88" s="974">
        <v>0.6</v>
      </c>
      <c r="I88" s="974">
        <v>10</v>
      </c>
      <c r="J88" s="974">
        <v>135.9</v>
      </c>
      <c r="K88" s="974">
        <v>0</v>
      </c>
      <c r="L88" s="974"/>
      <c r="M88" s="974"/>
      <c r="N88" s="974"/>
      <c r="O88" s="974">
        <v>0</v>
      </c>
      <c r="P88" s="974">
        <v>0</v>
      </c>
      <c r="Q88" s="974">
        <v>0</v>
      </c>
      <c r="R88" s="974">
        <v>0.2787</v>
      </c>
      <c r="S88" s="974" t="s">
        <v>889</v>
      </c>
    </row>
    <row r="89" spans="2:19" x14ac:dyDescent="0.25">
      <c r="B89" s="974"/>
      <c r="C89" s="974"/>
      <c r="D89" s="974"/>
      <c r="E89" s="974"/>
      <c r="F89" s="974"/>
      <c r="G89" s="974">
        <v>0.216</v>
      </c>
      <c r="H89" s="974"/>
      <c r="I89" s="974"/>
      <c r="J89" s="974"/>
      <c r="K89" s="974">
        <v>4.8899999999999999E-2</v>
      </c>
      <c r="L89" s="974"/>
      <c r="M89" s="974"/>
      <c r="N89" s="974"/>
      <c r="O89" s="974">
        <v>0.98</v>
      </c>
      <c r="P89" s="974">
        <v>7.0000000000000007E-2</v>
      </c>
      <c r="Q89" s="974">
        <v>1.77</v>
      </c>
      <c r="R89" s="974"/>
      <c r="S89" s="974"/>
    </row>
    <row r="90" spans="2:19" x14ac:dyDescent="0.25">
      <c r="B90" s="974"/>
      <c r="C90" s="974" t="s">
        <v>920</v>
      </c>
      <c r="D90" s="974">
        <v>16.649999999999999</v>
      </c>
      <c r="E90" s="974">
        <v>1E-3</v>
      </c>
      <c r="F90" s="974">
        <v>0</v>
      </c>
      <c r="G90" s="974"/>
      <c r="H90" s="974">
        <v>0.6</v>
      </c>
      <c r="I90" s="974">
        <v>15.46</v>
      </c>
      <c r="J90" s="974">
        <v>135.9</v>
      </c>
      <c r="K90" s="974">
        <v>4.8899999999999999E-2</v>
      </c>
      <c r="L90" s="974"/>
      <c r="M90" s="974"/>
      <c r="N90" s="974"/>
      <c r="O90" s="974">
        <v>0.22</v>
      </c>
      <c r="P90" s="974">
        <v>0.09</v>
      </c>
      <c r="Q90" s="974">
        <v>3.27</v>
      </c>
      <c r="R90" s="974">
        <v>0.1431</v>
      </c>
      <c r="S90" s="974" t="s">
        <v>891</v>
      </c>
    </row>
    <row r="91" spans="2:19" x14ac:dyDescent="0.25">
      <c r="B91" s="974"/>
      <c r="C91" s="974"/>
      <c r="D91" s="974"/>
      <c r="E91" s="974"/>
      <c r="F91" s="974"/>
      <c r="G91" s="974">
        <v>0.216</v>
      </c>
      <c r="H91" s="974"/>
      <c r="I91" s="974"/>
      <c r="J91" s="974"/>
      <c r="K91" s="974">
        <v>4.8899999999999999E-2</v>
      </c>
      <c r="L91" s="974"/>
      <c r="M91" s="974"/>
      <c r="N91" s="974"/>
      <c r="O91" s="974">
        <v>0.22</v>
      </c>
      <c r="P91" s="974">
        <v>0.09</v>
      </c>
      <c r="Q91" s="974">
        <v>3.27</v>
      </c>
      <c r="R91" s="974"/>
      <c r="S91" s="974"/>
    </row>
    <row r="92" spans="2:19" x14ac:dyDescent="0.25">
      <c r="B92" s="974"/>
      <c r="C92" s="974" t="s">
        <v>921</v>
      </c>
      <c r="D92" s="974">
        <v>95.49</v>
      </c>
      <c r="E92" s="974">
        <v>2.5000000000000001E-2</v>
      </c>
      <c r="F92" s="974">
        <v>0.26200000000000001</v>
      </c>
      <c r="G92" s="974"/>
      <c r="H92" s="974">
        <v>0.6</v>
      </c>
      <c r="I92" s="974">
        <v>15.52</v>
      </c>
      <c r="J92" s="974">
        <v>135.9</v>
      </c>
      <c r="K92" s="974">
        <v>4.8899999999999999E-2</v>
      </c>
      <c r="L92" s="974"/>
      <c r="M92" s="974"/>
      <c r="N92" s="974"/>
      <c r="O92" s="974">
        <v>1.05</v>
      </c>
      <c r="P92" s="974">
        <v>7.0000000000000007E-2</v>
      </c>
      <c r="Q92" s="974">
        <v>1.7</v>
      </c>
      <c r="R92" s="974">
        <v>0.30559999999999998</v>
      </c>
      <c r="S92" s="974"/>
    </row>
    <row r="93" spans="2:19" x14ac:dyDescent="0.25">
      <c r="B93" s="974"/>
      <c r="C93" s="974"/>
      <c r="D93" s="974"/>
      <c r="E93" s="974"/>
      <c r="F93" s="974"/>
      <c r="G93" s="974">
        <v>0.47799999999999998</v>
      </c>
      <c r="H93" s="974"/>
      <c r="I93" s="974"/>
      <c r="J93" s="974"/>
      <c r="K93" s="974">
        <v>0</v>
      </c>
      <c r="L93" s="974">
        <v>0.10829999999999999</v>
      </c>
      <c r="M93" s="974">
        <v>2</v>
      </c>
      <c r="N93" s="974">
        <v>7.4999999999999997E-2</v>
      </c>
      <c r="O93" s="974">
        <v>1.27</v>
      </c>
      <c r="P93" s="974">
        <v>0.09</v>
      </c>
      <c r="Q93" s="974">
        <v>2.34</v>
      </c>
      <c r="R93" s="974"/>
      <c r="S93" s="974"/>
    </row>
    <row r="94" spans="2:19" x14ac:dyDescent="0.25">
      <c r="B94" s="974">
        <v>28</v>
      </c>
      <c r="C94" s="974" t="s">
        <v>922</v>
      </c>
      <c r="D94" s="974">
        <v>73.17</v>
      </c>
      <c r="E94" s="974">
        <v>2.4E-2</v>
      </c>
      <c r="F94" s="974">
        <v>0.20799999999999999</v>
      </c>
      <c r="G94" s="974"/>
      <c r="H94" s="974">
        <v>0.6</v>
      </c>
      <c r="I94" s="974">
        <v>10</v>
      </c>
      <c r="J94" s="974">
        <v>135.9</v>
      </c>
      <c r="K94" s="974">
        <v>0</v>
      </c>
      <c r="L94" s="974"/>
      <c r="M94" s="974"/>
      <c r="N94" s="974"/>
      <c r="O94" s="974">
        <v>0</v>
      </c>
      <c r="P94" s="974">
        <v>0</v>
      </c>
      <c r="Q94" s="974">
        <v>0</v>
      </c>
      <c r="R94" s="974">
        <v>0.30249999999999999</v>
      </c>
      <c r="S94" s="974" t="s">
        <v>889</v>
      </c>
    </row>
    <row r="95" spans="2:19" x14ac:dyDescent="0.25">
      <c r="B95" s="974"/>
      <c r="C95" s="974"/>
      <c r="D95" s="974"/>
      <c r="E95" s="974"/>
      <c r="F95" s="974"/>
      <c r="G95" s="974">
        <v>0.20799999999999999</v>
      </c>
      <c r="H95" s="974"/>
      <c r="I95" s="974"/>
      <c r="J95" s="974"/>
      <c r="K95" s="974">
        <v>4.7100000000000003E-2</v>
      </c>
      <c r="L95" s="974"/>
      <c r="M95" s="974"/>
      <c r="N95" s="974"/>
      <c r="O95" s="974">
        <v>1.03</v>
      </c>
      <c r="P95" s="974">
        <v>7.0000000000000007E-2</v>
      </c>
      <c r="Q95" s="974">
        <v>1.68</v>
      </c>
      <c r="R95" s="974"/>
      <c r="S95" s="974"/>
    </row>
    <row r="96" spans="2:19" x14ac:dyDescent="0.25">
      <c r="B96" s="974"/>
      <c r="C96" s="974" t="s">
        <v>923</v>
      </c>
      <c r="D96" s="974">
        <v>16.829999999999998</v>
      </c>
      <c r="E96" s="974">
        <v>1E-3</v>
      </c>
      <c r="F96" s="974">
        <v>0</v>
      </c>
      <c r="G96" s="974"/>
      <c r="H96" s="974">
        <v>0.6</v>
      </c>
      <c r="I96" s="974">
        <v>13.46</v>
      </c>
      <c r="J96" s="974">
        <v>135.9</v>
      </c>
      <c r="K96" s="974">
        <v>4.7100000000000003E-2</v>
      </c>
      <c r="L96" s="974"/>
      <c r="M96" s="974"/>
      <c r="N96" s="974"/>
      <c r="O96" s="974">
        <v>0.22</v>
      </c>
      <c r="P96" s="974">
        <v>0.09</v>
      </c>
      <c r="Q96" s="974">
        <v>3.22</v>
      </c>
      <c r="R96" s="974">
        <v>0.1431</v>
      </c>
      <c r="S96" s="974" t="s">
        <v>891</v>
      </c>
    </row>
    <row r="97" spans="2:19" x14ac:dyDescent="0.25">
      <c r="B97" s="974"/>
      <c r="C97" s="974"/>
      <c r="D97" s="974"/>
      <c r="E97" s="974"/>
      <c r="F97" s="974"/>
      <c r="G97" s="974">
        <v>0.20799999999999999</v>
      </c>
      <c r="H97" s="974"/>
      <c r="I97" s="974"/>
      <c r="J97" s="974"/>
      <c r="K97" s="974">
        <v>4.7100000000000003E-2</v>
      </c>
      <c r="L97" s="974"/>
      <c r="M97" s="974"/>
      <c r="N97" s="974"/>
      <c r="O97" s="974">
        <v>0.22</v>
      </c>
      <c r="P97" s="974">
        <v>0.09</v>
      </c>
      <c r="Q97" s="974">
        <v>3.22</v>
      </c>
      <c r="R97" s="974"/>
      <c r="S97" s="974"/>
    </row>
    <row r="98" spans="2:19" x14ac:dyDescent="0.25">
      <c r="B98" s="974"/>
      <c r="C98" s="974" t="s">
        <v>924</v>
      </c>
      <c r="D98" s="974">
        <v>95.18</v>
      </c>
      <c r="E98" s="974">
        <v>2.5000000000000001E-2</v>
      </c>
      <c r="F98" s="974">
        <v>0.27</v>
      </c>
      <c r="G98" s="974"/>
      <c r="H98" s="974">
        <v>0.6</v>
      </c>
      <c r="I98" s="974">
        <v>20.93</v>
      </c>
      <c r="J98" s="974">
        <v>135.9</v>
      </c>
      <c r="K98" s="974">
        <v>8.0299999999999996E-2</v>
      </c>
      <c r="L98" s="974"/>
      <c r="M98" s="974"/>
      <c r="N98" s="974"/>
      <c r="O98" s="974">
        <v>1.18</v>
      </c>
      <c r="P98" s="974">
        <v>0.08</v>
      </c>
      <c r="Q98" s="974">
        <v>2.08</v>
      </c>
      <c r="R98" s="974">
        <v>0.30480000000000002</v>
      </c>
      <c r="S98" s="974"/>
    </row>
    <row r="99" spans="2:19" x14ac:dyDescent="0.25">
      <c r="B99" s="974"/>
      <c r="C99" s="974"/>
      <c r="D99" s="974"/>
      <c r="E99" s="974"/>
      <c r="F99" s="974"/>
      <c r="G99" s="974">
        <v>0.624</v>
      </c>
      <c r="H99" s="974"/>
      <c r="I99" s="974"/>
      <c r="J99" s="974"/>
      <c r="K99" s="974">
        <v>0</v>
      </c>
      <c r="L99" s="974">
        <v>0.1414</v>
      </c>
      <c r="M99" s="974">
        <v>2</v>
      </c>
      <c r="N99" s="974">
        <v>7.4999999999999997E-2</v>
      </c>
      <c r="O99" s="974">
        <v>1.35</v>
      </c>
      <c r="P99" s="974">
        <v>0.1</v>
      </c>
      <c r="Q99" s="974">
        <v>2.6</v>
      </c>
      <c r="R99" s="974"/>
      <c r="S99" s="974"/>
    </row>
    <row r="100" spans="2:19" x14ac:dyDescent="0.25">
      <c r="B100" s="974">
        <v>29</v>
      </c>
      <c r="C100" s="974" t="s">
        <v>925</v>
      </c>
      <c r="D100" s="974">
        <v>74.27</v>
      </c>
      <c r="E100" s="974">
        <v>2.4E-2</v>
      </c>
      <c r="F100" s="974">
        <v>0.20599999999999999</v>
      </c>
      <c r="G100" s="974"/>
      <c r="H100" s="974">
        <v>0.6</v>
      </c>
      <c r="I100" s="974">
        <v>10</v>
      </c>
      <c r="J100" s="974">
        <v>135.9</v>
      </c>
      <c r="K100" s="974">
        <v>0</v>
      </c>
      <c r="L100" s="974"/>
      <c r="M100" s="974"/>
      <c r="N100" s="974"/>
      <c r="O100" s="974">
        <v>0</v>
      </c>
      <c r="P100" s="974">
        <v>0</v>
      </c>
      <c r="Q100" s="974">
        <v>0</v>
      </c>
      <c r="R100" s="974">
        <v>0.30030000000000001</v>
      </c>
      <c r="S100" s="974" t="s">
        <v>889</v>
      </c>
    </row>
    <row r="101" spans="2:19" x14ac:dyDescent="0.25">
      <c r="B101" s="974"/>
      <c r="C101" s="974"/>
      <c r="D101" s="974"/>
      <c r="E101" s="974"/>
      <c r="F101" s="974"/>
      <c r="G101" s="974">
        <v>0.20599999999999999</v>
      </c>
      <c r="H101" s="974"/>
      <c r="I101" s="974"/>
      <c r="J101" s="974"/>
      <c r="K101" s="974">
        <v>4.6600000000000003E-2</v>
      </c>
      <c r="L101" s="974"/>
      <c r="M101" s="974"/>
      <c r="N101" s="974"/>
      <c r="O101" s="974">
        <v>1.02</v>
      </c>
      <c r="P101" s="974">
        <v>7.0000000000000007E-2</v>
      </c>
      <c r="Q101" s="974">
        <v>1.68</v>
      </c>
      <c r="R101" s="974"/>
      <c r="S101" s="974"/>
    </row>
    <row r="102" spans="2:19" x14ac:dyDescent="0.25">
      <c r="B102" s="974"/>
      <c r="C102" s="974" t="s">
        <v>926</v>
      </c>
      <c r="D102" s="974">
        <v>15.26</v>
      </c>
      <c r="E102" s="974">
        <v>1E-3</v>
      </c>
      <c r="F102" s="974">
        <v>0</v>
      </c>
      <c r="G102" s="974"/>
      <c r="H102" s="974">
        <v>0.6</v>
      </c>
      <c r="I102" s="974">
        <v>15.48</v>
      </c>
      <c r="J102" s="974">
        <v>135.9</v>
      </c>
      <c r="K102" s="974">
        <v>4.6600000000000003E-2</v>
      </c>
      <c r="L102" s="974"/>
      <c r="M102" s="974"/>
      <c r="N102" s="974"/>
      <c r="O102" s="974">
        <v>0.22</v>
      </c>
      <c r="P102" s="974">
        <v>0.09</v>
      </c>
      <c r="Q102" s="974">
        <v>3.21</v>
      </c>
      <c r="R102" s="974">
        <v>0.1431</v>
      </c>
      <c r="S102" s="974" t="s">
        <v>891</v>
      </c>
    </row>
    <row r="103" spans="2:19" x14ac:dyDescent="0.25">
      <c r="B103" s="974"/>
      <c r="C103" s="974"/>
      <c r="D103" s="974"/>
      <c r="E103" s="974"/>
      <c r="F103" s="974"/>
      <c r="G103" s="974">
        <v>0.20599999999999999</v>
      </c>
      <c r="H103" s="974"/>
      <c r="I103" s="974"/>
      <c r="J103" s="974"/>
      <c r="K103" s="974">
        <v>4.6600000000000003E-2</v>
      </c>
      <c r="L103" s="974"/>
      <c r="M103" s="974"/>
      <c r="N103" s="974"/>
      <c r="O103" s="974">
        <v>0.22</v>
      </c>
      <c r="P103" s="974">
        <v>0.09</v>
      </c>
      <c r="Q103" s="974">
        <v>3.21</v>
      </c>
      <c r="R103" s="974"/>
      <c r="S103" s="974"/>
    </row>
    <row r="104" spans="2:19" x14ac:dyDescent="0.25">
      <c r="B104" s="974"/>
      <c r="C104" s="974" t="s">
        <v>927</v>
      </c>
      <c r="D104" s="974">
        <v>96.5</v>
      </c>
      <c r="E104" s="974">
        <v>2.4E-2</v>
      </c>
      <c r="F104" s="974">
        <v>0.27300000000000002</v>
      </c>
      <c r="G104" s="974"/>
      <c r="H104" s="974">
        <v>0.6</v>
      </c>
      <c r="I104" s="974">
        <v>16.23</v>
      </c>
      <c r="J104" s="974">
        <v>135.9</v>
      </c>
      <c r="K104" s="974">
        <v>4.6600000000000003E-2</v>
      </c>
      <c r="L104" s="974"/>
      <c r="M104" s="974"/>
      <c r="N104" s="974"/>
      <c r="O104" s="974">
        <v>1.03</v>
      </c>
      <c r="P104" s="974">
        <v>7.0000000000000007E-2</v>
      </c>
      <c r="Q104" s="974">
        <v>1.68</v>
      </c>
      <c r="R104" s="974">
        <v>0.30270000000000002</v>
      </c>
      <c r="S104" s="974"/>
    </row>
    <row r="105" spans="2:19" x14ac:dyDescent="0.25">
      <c r="B105" s="974"/>
      <c r="C105" s="974"/>
      <c r="D105" s="974"/>
      <c r="E105" s="974"/>
      <c r="F105" s="974"/>
      <c r="G105" s="974">
        <v>0.47899999999999998</v>
      </c>
      <c r="H105" s="974"/>
      <c r="I105" s="974"/>
      <c r="J105" s="974"/>
      <c r="K105" s="974">
        <v>0</v>
      </c>
      <c r="L105" s="974">
        <v>0.1086</v>
      </c>
      <c r="M105" s="974">
        <v>2</v>
      </c>
      <c r="N105" s="974">
        <v>7.4999999999999997E-2</v>
      </c>
      <c r="O105" s="974">
        <v>1.26</v>
      </c>
      <c r="P105" s="974">
        <v>0.09</v>
      </c>
      <c r="Q105" s="974">
        <v>2.36</v>
      </c>
      <c r="R105" s="974"/>
      <c r="S105" s="974"/>
    </row>
    <row r="106" spans="2:19" x14ac:dyDescent="0.25">
      <c r="B106" s="974">
        <v>30</v>
      </c>
      <c r="C106" s="974" t="s">
        <v>928</v>
      </c>
      <c r="D106" s="974">
        <v>97.93</v>
      </c>
      <c r="E106" s="974">
        <v>0.02</v>
      </c>
      <c r="F106" s="974">
        <v>0.254</v>
      </c>
      <c r="G106" s="974"/>
      <c r="H106" s="974">
        <v>0.6</v>
      </c>
      <c r="I106" s="974">
        <v>10</v>
      </c>
      <c r="J106" s="974">
        <v>135.9</v>
      </c>
      <c r="K106" s="974">
        <v>0</v>
      </c>
      <c r="L106" s="974"/>
      <c r="M106" s="974"/>
      <c r="N106" s="974"/>
      <c r="O106" s="974">
        <v>0</v>
      </c>
      <c r="P106" s="974">
        <v>0</v>
      </c>
      <c r="Q106" s="974">
        <v>0</v>
      </c>
      <c r="R106" s="974">
        <v>0.27650000000000002</v>
      </c>
      <c r="S106" s="974"/>
    </row>
    <row r="107" spans="2:19" x14ac:dyDescent="0.25">
      <c r="B107" s="974"/>
      <c r="C107" s="974"/>
      <c r="D107" s="974"/>
      <c r="E107" s="974"/>
      <c r="F107" s="974"/>
      <c r="G107" s="974">
        <v>0.254</v>
      </c>
      <c r="H107" s="974"/>
      <c r="I107" s="974"/>
      <c r="J107" s="974"/>
      <c r="K107" s="974">
        <v>0</v>
      </c>
      <c r="L107" s="974">
        <v>5.7599999999999998E-2</v>
      </c>
      <c r="M107" s="974">
        <v>1</v>
      </c>
      <c r="N107" s="974">
        <v>7.4999999999999997E-2</v>
      </c>
      <c r="O107" s="974">
        <v>1.01</v>
      </c>
      <c r="P107" s="974">
        <v>0.08</v>
      </c>
      <c r="Q107" s="974">
        <v>1.9</v>
      </c>
      <c r="R107" s="974"/>
      <c r="S107" s="974"/>
    </row>
    <row r="108" spans="2:19" x14ac:dyDescent="0.25">
      <c r="B108" s="974">
        <v>31</v>
      </c>
      <c r="C108" s="974" t="s">
        <v>929</v>
      </c>
      <c r="D108" s="974">
        <v>72.069999999999993</v>
      </c>
      <c r="E108" s="974">
        <v>2.9000000000000001E-2</v>
      </c>
      <c r="F108" s="974">
        <v>0.19600000000000001</v>
      </c>
      <c r="G108" s="974"/>
      <c r="H108" s="974">
        <v>0.6</v>
      </c>
      <c r="I108" s="974">
        <v>10</v>
      </c>
      <c r="J108" s="974">
        <v>135.9</v>
      </c>
      <c r="K108" s="974">
        <v>0</v>
      </c>
      <c r="L108" s="974"/>
      <c r="M108" s="974"/>
      <c r="N108" s="974"/>
      <c r="O108" s="974">
        <v>0</v>
      </c>
      <c r="P108" s="974">
        <v>0</v>
      </c>
      <c r="Q108" s="974">
        <v>0</v>
      </c>
      <c r="R108" s="974">
        <v>0.33110000000000001</v>
      </c>
      <c r="S108" s="974" t="s">
        <v>889</v>
      </c>
    </row>
    <row r="109" spans="2:19" x14ac:dyDescent="0.25">
      <c r="B109" s="974"/>
      <c r="C109" s="974"/>
      <c r="D109" s="974"/>
      <c r="E109" s="974"/>
      <c r="F109" s="974"/>
      <c r="G109" s="974">
        <v>0.19600000000000001</v>
      </c>
      <c r="H109" s="974"/>
      <c r="I109" s="974"/>
      <c r="J109" s="974"/>
      <c r="K109" s="974">
        <v>4.4299999999999999E-2</v>
      </c>
      <c r="L109" s="974"/>
      <c r="M109" s="974"/>
      <c r="N109" s="974"/>
      <c r="O109" s="974">
        <v>1.0900000000000001</v>
      </c>
      <c r="P109" s="974">
        <v>7.0000000000000007E-2</v>
      </c>
      <c r="Q109" s="974">
        <v>1.58</v>
      </c>
      <c r="R109" s="974"/>
      <c r="S109" s="974"/>
    </row>
    <row r="110" spans="2:19" x14ac:dyDescent="0.25">
      <c r="B110" s="974"/>
      <c r="C110" s="974" t="s">
        <v>930</v>
      </c>
      <c r="D110" s="974">
        <v>18.2</v>
      </c>
      <c r="E110" s="974">
        <v>1E-3</v>
      </c>
      <c r="F110" s="974">
        <v>0</v>
      </c>
      <c r="G110" s="974"/>
      <c r="H110" s="974">
        <v>0.6</v>
      </c>
      <c r="I110" s="974">
        <v>17.53</v>
      </c>
      <c r="J110" s="974">
        <v>135.9</v>
      </c>
      <c r="K110" s="974">
        <v>4.4299999999999999E-2</v>
      </c>
      <c r="L110" s="974"/>
      <c r="M110" s="974"/>
      <c r="N110" s="974"/>
      <c r="O110" s="974">
        <v>0.22</v>
      </c>
      <c r="P110" s="974">
        <v>0.09</v>
      </c>
      <c r="Q110" s="974">
        <v>3.14</v>
      </c>
      <c r="R110" s="974">
        <v>0.1431</v>
      </c>
      <c r="S110" s="974" t="s">
        <v>891</v>
      </c>
    </row>
    <row r="111" spans="2:19" x14ac:dyDescent="0.25">
      <c r="B111" s="974"/>
      <c r="C111" s="974"/>
      <c r="D111" s="974"/>
      <c r="E111" s="974"/>
      <c r="F111" s="974"/>
      <c r="G111" s="974">
        <v>0.19600000000000001</v>
      </c>
      <c r="H111" s="974"/>
      <c r="I111" s="974"/>
      <c r="J111" s="974"/>
      <c r="K111" s="974">
        <v>4.4299999999999999E-2</v>
      </c>
      <c r="L111" s="974"/>
      <c r="M111" s="974"/>
      <c r="N111" s="974"/>
      <c r="O111" s="974">
        <v>0.22</v>
      </c>
      <c r="P111" s="974">
        <v>0.09</v>
      </c>
      <c r="Q111" s="974">
        <v>3.14</v>
      </c>
      <c r="R111" s="974"/>
      <c r="S111" s="974"/>
    </row>
    <row r="112" spans="2:19" x14ac:dyDescent="0.25">
      <c r="B112" s="974"/>
      <c r="C112" s="974" t="s">
        <v>931</v>
      </c>
      <c r="D112" s="974">
        <v>96.18</v>
      </c>
      <c r="E112" s="974">
        <v>2.4E-2</v>
      </c>
      <c r="F112" s="974">
        <v>0.26900000000000002</v>
      </c>
      <c r="G112" s="974"/>
      <c r="H112" s="974">
        <v>0.6</v>
      </c>
      <c r="I112" s="974">
        <v>19.82</v>
      </c>
      <c r="J112" s="974">
        <v>135.9</v>
      </c>
      <c r="K112" s="974">
        <v>8.2100000000000006E-2</v>
      </c>
      <c r="L112" s="974"/>
      <c r="M112" s="974"/>
      <c r="N112" s="974"/>
      <c r="O112" s="974">
        <v>1.17</v>
      </c>
      <c r="P112" s="974">
        <v>0.08</v>
      </c>
      <c r="Q112" s="974">
        <v>2.11</v>
      </c>
      <c r="R112" s="974">
        <v>0.30130000000000001</v>
      </c>
      <c r="S112" s="974"/>
    </row>
    <row r="113" spans="2:19" x14ac:dyDescent="0.25">
      <c r="B113" s="974"/>
      <c r="C113" s="974"/>
      <c r="D113" s="974"/>
      <c r="E113" s="974"/>
      <c r="F113" s="974"/>
      <c r="G113" s="974">
        <v>0.63200000000000001</v>
      </c>
      <c r="H113" s="974"/>
      <c r="I113" s="974"/>
      <c r="J113" s="974"/>
      <c r="K113" s="974">
        <v>0</v>
      </c>
      <c r="L113" s="974">
        <v>0.1431</v>
      </c>
      <c r="M113" s="974">
        <v>2</v>
      </c>
      <c r="N113" s="974">
        <v>7.4999999999999997E-2</v>
      </c>
      <c r="O113" s="974">
        <v>1.34</v>
      </c>
      <c r="P113" s="974">
        <v>0.1</v>
      </c>
      <c r="Q113" s="974">
        <v>2.63</v>
      </c>
      <c r="R113" s="974"/>
      <c r="S113" s="974"/>
    </row>
    <row r="114" spans="2:19" x14ac:dyDescent="0.25">
      <c r="B114" s="974">
        <v>32</v>
      </c>
      <c r="C114" s="974" t="s">
        <v>932</v>
      </c>
      <c r="D114" s="974">
        <v>96.31</v>
      </c>
      <c r="E114" s="974">
        <v>2.1000000000000001E-2</v>
      </c>
      <c r="F114" s="974">
        <v>0.28699999999999998</v>
      </c>
      <c r="G114" s="974"/>
      <c r="H114" s="974">
        <v>0.6</v>
      </c>
      <c r="I114" s="974">
        <v>10</v>
      </c>
      <c r="J114" s="974">
        <v>135.9</v>
      </c>
      <c r="K114" s="974">
        <v>0</v>
      </c>
      <c r="L114" s="974"/>
      <c r="M114" s="974"/>
      <c r="N114" s="974"/>
      <c r="O114" s="974">
        <v>0</v>
      </c>
      <c r="P114" s="974">
        <v>0</v>
      </c>
      <c r="Q114" s="974">
        <v>0</v>
      </c>
      <c r="R114" s="974">
        <v>0.27879999999999999</v>
      </c>
      <c r="S114" s="974"/>
    </row>
    <row r="115" spans="2:19" x14ac:dyDescent="0.25">
      <c r="B115" s="974"/>
      <c r="C115" s="974"/>
      <c r="D115" s="974"/>
      <c r="E115" s="974"/>
      <c r="F115" s="974"/>
      <c r="G115" s="974">
        <v>0.28699999999999998</v>
      </c>
      <c r="H115" s="974"/>
      <c r="I115" s="974"/>
      <c r="J115" s="974"/>
      <c r="K115" s="974">
        <v>0</v>
      </c>
      <c r="L115" s="974">
        <v>6.5000000000000002E-2</v>
      </c>
      <c r="M115" s="974">
        <v>1</v>
      </c>
      <c r="N115" s="974">
        <v>7.4999999999999997E-2</v>
      </c>
      <c r="O115" s="974">
        <v>1.04</v>
      </c>
      <c r="P115" s="974">
        <v>0.08</v>
      </c>
      <c r="Q115" s="974">
        <v>1.98</v>
      </c>
      <c r="R115" s="974"/>
      <c r="S115" s="974"/>
    </row>
    <row r="116" spans="2:19" x14ac:dyDescent="0.25">
      <c r="B116" s="974">
        <v>33</v>
      </c>
      <c r="C116" s="974" t="s">
        <v>933</v>
      </c>
      <c r="D116" s="974">
        <v>72.569999999999993</v>
      </c>
      <c r="E116" s="974">
        <v>2.9000000000000001E-2</v>
      </c>
      <c r="F116" s="974">
        <v>0.20200000000000001</v>
      </c>
      <c r="G116" s="974"/>
      <c r="H116" s="974">
        <v>0.6</v>
      </c>
      <c r="I116" s="974">
        <v>10</v>
      </c>
      <c r="J116" s="974">
        <v>135.9</v>
      </c>
      <c r="K116" s="974">
        <v>0</v>
      </c>
      <c r="L116" s="974"/>
      <c r="M116" s="974"/>
      <c r="N116" s="974"/>
      <c r="O116" s="974">
        <v>0</v>
      </c>
      <c r="P116" s="974">
        <v>0</v>
      </c>
      <c r="Q116" s="974">
        <v>0</v>
      </c>
      <c r="R116" s="974">
        <v>0.33</v>
      </c>
      <c r="S116" s="974" t="s">
        <v>889</v>
      </c>
    </row>
    <row r="117" spans="2:19" x14ac:dyDescent="0.25">
      <c r="B117" s="974"/>
      <c r="C117" s="974"/>
      <c r="D117" s="974"/>
      <c r="E117" s="974"/>
      <c r="F117" s="974"/>
      <c r="G117" s="974">
        <v>0.20200000000000001</v>
      </c>
      <c r="H117" s="974"/>
      <c r="I117" s="974"/>
      <c r="J117" s="974"/>
      <c r="K117" s="974">
        <v>4.58E-2</v>
      </c>
      <c r="L117" s="974"/>
      <c r="M117" s="974"/>
      <c r="N117" s="974"/>
      <c r="O117" s="974">
        <v>1.1000000000000001</v>
      </c>
      <c r="P117" s="974">
        <v>7.0000000000000007E-2</v>
      </c>
      <c r="Q117" s="974">
        <v>1.61</v>
      </c>
      <c r="R117" s="974"/>
      <c r="S117" s="974"/>
    </row>
    <row r="118" spans="2:19" x14ac:dyDescent="0.25">
      <c r="B118" s="974"/>
      <c r="C118" s="974" t="s">
        <v>934</v>
      </c>
      <c r="D118" s="974">
        <v>17.239999999999998</v>
      </c>
      <c r="E118" s="974">
        <v>1E-3</v>
      </c>
      <c r="F118" s="974">
        <v>0</v>
      </c>
      <c r="G118" s="974"/>
      <c r="H118" s="974">
        <v>0.6</v>
      </c>
      <c r="I118" s="974">
        <v>17.36</v>
      </c>
      <c r="J118" s="974">
        <v>135.9</v>
      </c>
      <c r="K118" s="974">
        <v>4.58E-2</v>
      </c>
      <c r="L118" s="974"/>
      <c r="M118" s="974"/>
      <c r="N118" s="974"/>
      <c r="O118" s="974">
        <v>0.22</v>
      </c>
      <c r="P118" s="974">
        <v>0.09</v>
      </c>
      <c r="Q118" s="974">
        <v>3.18</v>
      </c>
      <c r="R118" s="974">
        <v>0.1431</v>
      </c>
      <c r="S118" s="974" t="s">
        <v>891</v>
      </c>
    </row>
    <row r="119" spans="2:19" x14ac:dyDescent="0.25">
      <c r="B119" s="974"/>
      <c r="C119" s="974"/>
      <c r="D119" s="974"/>
      <c r="E119" s="974"/>
      <c r="F119" s="974"/>
      <c r="G119" s="974">
        <v>0.20200000000000001</v>
      </c>
      <c r="H119" s="974"/>
      <c r="I119" s="974"/>
      <c r="J119" s="974"/>
      <c r="K119" s="974">
        <v>4.58E-2</v>
      </c>
      <c r="L119" s="974"/>
      <c r="M119" s="974"/>
      <c r="N119" s="974"/>
      <c r="O119" s="974">
        <v>0.22</v>
      </c>
      <c r="P119" s="974">
        <v>0.09</v>
      </c>
      <c r="Q119" s="974">
        <v>3.18</v>
      </c>
      <c r="R119" s="974"/>
      <c r="S119" s="974"/>
    </row>
    <row r="120" spans="2:19" x14ac:dyDescent="0.25">
      <c r="B120" s="974"/>
      <c r="C120" s="974" t="s">
        <v>935</v>
      </c>
      <c r="D120" s="974">
        <v>97.4</v>
      </c>
      <c r="E120" s="974">
        <v>2.4E-2</v>
      </c>
      <c r="F120" s="974">
        <v>0.27900000000000003</v>
      </c>
      <c r="G120" s="974"/>
      <c r="H120" s="974">
        <v>0.6</v>
      </c>
      <c r="I120" s="974">
        <v>17.61</v>
      </c>
      <c r="J120" s="974">
        <v>135.9</v>
      </c>
      <c r="K120" s="974">
        <v>4.58E-2</v>
      </c>
      <c r="L120" s="974"/>
      <c r="M120" s="974"/>
      <c r="N120" s="974"/>
      <c r="O120" s="974">
        <v>1.02</v>
      </c>
      <c r="P120" s="974">
        <v>7.0000000000000007E-2</v>
      </c>
      <c r="Q120" s="974">
        <v>1.67</v>
      </c>
      <c r="R120" s="974">
        <v>0.2994</v>
      </c>
      <c r="S120" s="974"/>
    </row>
    <row r="121" spans="2:19" x14ac:dyDescent="0.25">
      <c r="B121" s="974"/>
      <c r="C121" s="974"/>
      <c r="D121" s="974"/>
      <c r="E121" s="974"/>
      <c r="F121" s="974"/>
      <c r="G121" s="974">
        <v>0.48099999999999998</v>
      </c>
      <c r="H121" s="974"/>
      <c r="I121" s="974"/>
      <c r="J121" s="974"/>
      <c r="K121" s="974">
        <v>0</v>
      </c>
      <c r="L121" s="974">
        <v>0.109</v>
      </c>
      <c r="M121" s="974">
        <v>2</v>
      </c>
      <c r="N121" s="974">
        <v>7.4999999999999997E-2</v>
      </c>
      <c r="O121" s="974">
        <v>1.25</v>
      </c>
      <c r="P121" s="974">
        <v>0.09</v>
      </c>
      <c r="Q121" s="974">
        <v>2.37</v>
      </c>
      <c r="R121" s="974"/>
      <c r="S121" s="974"/>
    </row>
    <row r="122" spans="2:19" x14ac:dyDescent="0.25">
      <c r="B122" s="974">
        <v>34</v>
      </c>
      <c r="C122" s="974" t="s">
        <v>936</v>
      </c>
      <c r="D122" s="974">
        <v>72.31</v>
      </c>
      <c r="E122" s="974">
        <v>0.03</v>
      </c>
      <c r="F122" s="974">
        <v>0.19900000000000001</v>
      </c>
      <c r="G122" s="974"/>
      <c r="H122" s="974">
        <v>0.6</v>
      </c>
      <c r="I122" s="974">
        <v>10</v>
      </c>
      <c r="J122" s="974">
        <v>135.9</v>
      </c>
      <c r="K122" s="974">
        <v>0</v>
      </c>
      <c r="L122" s="974"/>
      <c r="M122" s="974"/>
      <c r="N122" s="974"/>
      <c r="O122" s="974">
        <v>0</v>
      </c>
      <c r="P122" s="974">
        <v>0</v>
      </c>
      <c r="Q122" s="974">
        <v>0</v>
      </c>
      <c r="R122" s="974">
        <v>0.33760000000000001</v>
      </c>
      <c r="S122" s="974"/>
    </row>
    <row r="123" spans="2:19" x14ac:dyDescent="0.25">
      <c r="B123" s="974"/>
      <c r="C123" s="974"/>
      <c r="D123" s="974"/>
      <c r="E123" s="974"/>
      <c r="F123" s="974"/>
      <c r="G123" s="974">
        <v>0.19900000000000001</v>
      </c>
      <c r="H123" s="974"/>
      <c r="I123" s="974"/>
      <c r="J123" s="974"/>
      <c r="K123" s="974">
        <v>0</v>
      </c>
      <c r="L123" s="974">
        <v>4.4999999999999998E-2</v>
      </c>
      <c r="M123" s="974">
        <v>1</v>
      </c>
      <c r="N123" s="974">
        <v>7.4999999999999997E-2</v>
      </c>
      <c r="O123" s="974">
        <v>1.1100000000000001</v>
      </c>
      <c r="P123" s="974">
        <v>7.0000000000000007E-2</v>
      </c>
      <c r="Q123" s="974">
        <v>1.58</v>
      </c>
      <c r="R123" s="974"/>
      <c r="S123" s="974"/>
    </row>
    <row r="124" spans="2:19" x14ac:dyDescent="0.25">
      <c r="B124" s="974">
        <v>35</v>
      </c>
      <c r="C124" s="974" t="s">
        <v>937</v>
      </c>
      <c r="D124" s="974">
        <v>99.52</v>
      </c>
      <c r="E124" s="974">
        <v>0.02</v>
      </c>
      <c r="F124" s="974">
        <v>0.26900000000000002</v>
      </c>
      <c r="G124" s="974"/>
      <c r="H124" s="974">
        <v>0.6</v>
      </c>
      <c r="I124" s="974">
        <v>10</v>
      </c>
      <c r="J124" s="974">
        <v>135.9</v>
      </c>
      <c r="K124" s="974">
        <v>0</v>
      </c>
      <c r="L124" s="974"/>
      <c r="M124" s="974"/>
      <c r="N124" s="974"/>
      <c r="O124" s="974">
        <v>0</v>
      </c>
      <c r="P124" s="974">
        <v>0</v>
      </c>
      <c r="Q124" s="974">
        <v>0</v>
      </c>
      <c r="R124" s="974">
        <v>0.27500000000000002</v>
      </c>
      <c r="S124" s="974"/>
    </row>
    <row r="125" spans="2:19" x14ac:dyDescent="0.25">
      <c r="B125" s="974"/>
      <c r="C125" s="974"/>
      <c r="D125" s="974"/>
      <c r="E125" s="974"/>
      <c r="F125" s="974"/>
      <c r="G125" s="974">
        <v>0.26900000000000002</v>
      </c>
      <c r="H125" s="974"/>
      <c r="I125" s="974"/>
      <c r="J125" s="974"/>
      <c r="K125" s="974">
        <v>0</v>
      </c>
      <c r="L125" s="974">
        <v>6.0900000000000003E-2</v>
      </c>
      <c r="M125" s="974">
        <v>1</v>
      </c>
      <c r="N125" s="974">
        <v>7.4999999999999997E-2</v>
      </c>
      <c r="O125" s="974">
        <v>1.02</v>
      </c>
      <c r="P125" s="974">
        <v>0.08</v>
      </c>
      <c r="Q125" s="974">
        <v>1.94</v>
      </c>
      <c r="R125" s="974"/>
      <c r="S125" s="974"/>
    </row>
    <row r="126" spans="2:19" x14ac:dyDescent="0.25">
      <c r="B126" s="974">
        <v>36</v>
      </c>
      <c r="C126" s="974" t="s">
        <v>938</v>
      </c>
      <c r="D126" s="974">
        <v>100.24</v>
      </c>
      <c r="E126" s="974">
        <v>1.7000000000000001E-2</v>
      </c>
      <c r="F126" s="974">
        <v>0.27300000000000002</v>
      </c>
      <c r="G126" s="974"/>
      <c r="H126" s="974">
        <v>0.6</v>
      </c>
      <c r="I126" s="974">
        <v>10</v>
      </c>
      <c r="J126" s="974">
        <v>135.9</v>
      </c>
      <c r="K126" s="974">
        <v>0</v>
      </c>
      <c r="L126" s="974"/>
      <c r="M126" s="974"/>
      <c r="N126" s="974"/>
      <c r="O126" s="974">
        <v>0</v>
      </c>
      <c r="P126" s="974">
        <v>0</v>
      </c>
      <c r="Q126" s="974">
        <v>0</v>
      </c>
      <c r="R126" s="974">
        <v>0.25259999999999999</v>
      </c>
      <c r="S126" s="974"/>
    </row>
    <row r="127" spans="2:19" x14ac:dyDescent="0.25">
      <c r="B127" s="974"/>
      <c r="C127" s="974"/>
      <c r="D127" s="974"/>
      <c r="E127" s="974"/>
      <c r="F127" s="974"/>
      <c r="G127" s="974">
        <v>0.27300000000000002</v>
      </c>
      <c r="H127" s="974"/>
      <c r="I127" s="974"/>
      <c r="J127" s="974"/>
      <c r="K127" s="974">
        <v>0</v>
      </c>
      <c r="L127" s="974">
        <v>6.1800000000000001E-2</v>
      </c>
      <c r="M127" s="974">
        <v>1</v>
      </c>
      <c r="N127" s="974">
        <v>7.4999999999999997E-2</v>
      </c>
      <c r="O127" s="974">
        <v>0.96</v>
      </c>
      <c r="P127" s="974">
        <v>0.08</v>
      </c>
      <c r="Q127" s="974">
        <v>2.02</v>
      </c>
      <c r="R127" s="974"/>
      <c r="S127" s="974"/>
    </row>
    <row r="128" spans="2:19" x14ac:dyDescent="0.25">
      <c r="B128" s="974">
        <v>37</v>
      </c>
      <c r="C128" s="974" t="s">
        <v>939</v>
      </c>
      <c r="D128" s="974">
        <v>120.2</v>
      </c>
      <c r="E128" s="974">
        <v>2.4E-2</v>
      </c>
      <c r="F128" s="974">
        <v>0.42499999999999999</v>
      </c>
      <c r="G128" s="974"/>
      <c r="H128" s="974">
        <v>0.6</v>
      </c>
      <c r="I128" s="974">
        <v>10</v>
      </c>
      <c r="J128" s="974">
        <v>135.9</v>
      </c>
      <c r="K128" s="974">
        <v>0</v>
      </c>
      <c r="L128" s="974"/>
      <c r="M128" s="974"/>
      <c r="N128" s="974"/>
      <c r="O128" s="974">
        <v>0</v>
      </c>
      <c r="P128" s="974">
        <v>0</v>
      </c>
      <c r="Q128" s="974">
        <v>0</v>
      </c>
      <c r="R128" s="974">
        <v>0.30230000000000001</v>
      </c>
      <c r="S128" s="974"/>
    </row>
    <row r="129" spans="2:19" x14ac:dyDescent="0.25">
      <c r="B129" s="974"/>
      <c r="C129" s="974"/>
      <c r="D129" s="974"/>
      <c r="E129" s="974"/>
      <c r="F129" s="974"/>
      <c r="G129" s="974">
        <v>0.42499999999999999</v>
      </c>
      <c r="H129" s="974"/>
      <c r="I129" s="974"/>
      <c r="J129" s="974"/>
      <c r="K129" s="974">
        <v>0</v>
      </c>
      <c r="L129" s="974">
        <v>9.6299999999999997E-2</v>
      </c>
      <c r="M129" s="974">
        <v>2</v>
      </c>
      <c r="N129" s="974">
        <v>7.4999999999999997E-2</v>
      </c>
      <c r="O129" s="974">
        <v>1.22</v>
      </c>
      <c r="P129" s="974">
        <v>0.09</v>
      </c>
      <c r="Q129" s="974">
        <v>2.25</v>
      </c>
      <c r="R129" s="974"/>
      <c r="S129" s="974"/>
    </row>
    <row r="130" spans="2:19" x14ac:dyDescent="0.25">
      <c r="B130" s="974">
        <v>38</v>
      </c>
      <c r="C130" s="974" t="s">
        <v>940</v>
      </c>
      <c r="D130" s="974">
        <v>47.93</v>
      </c>
      <c r="E130" s="974">
        <v>2.5999999999999999E-2</v>
      </c>
      <c r="F130" s="974">
        <v>9.7000000000000003E-2</v>
      </c>
      <c r="G130" s="974"/>
      <c r="H130" s="974">
        <v>0.6</v>
      </c>
      <c r="I130" s="974">
        <v>10</v>
      </c>
      <c r="J130" s="974">
        <v>135.9</v>
      </c>
      <c r="K130" s="974">
        <v>0</v>
      </c>
      <c r="L130" s="974"/>
      <c r="M130" s="974"/>
      <c r="N130" s="974"/>
      <c r="O130" s="974">
        <v>0</v>
      </c>
      <c r="P130" s="974">
        <v>0</v>
      </c>
      <c r="Q130" s="974">
        <v>0</v>
      </c>
      <c r="R130" s="974">
        <v>0.312</v>
      </c>
      <c r="S130" s="974"/>
    </row>
    <row r="131" spans="2:19" x14ac:dyDescent="0.25">
      <c r="B131" s="974"/>
      <c r="C131" s="974"/>
      <c r="D131" s="974"/>
      <c r="E131" s="974"/>
      <c r="F131" s="974"/>
      <c r="G131" s="974">
        <v>9.7000000000000003E-2</v>
      </c>
      <c r="H131" s="974"/>
      <c r="I131" s="974"/>
      <c r="J131" s="974"/>
      <c r="K131" s="974">
        <v>0</v>
      </c>
      <c r="L131" s="974">
        <v>2.1899999999999999E-2</v>
      </c>
      <c r="M131" s="974">
        <v>1</v>
      </c>
      <c r="N131" s="974">
        <v>7.4999999999999997E-2</v>
      </c>
      <c r="O131" s="974">
        <v>0.89</v>
      </c>
      <c r="P131" s="974">
        <v>0.06</v>
      </c>
      <c r="Q131" s="974">
        <v>1.19</v>
      </c>
      <c r="R131" s="974"/>
      <c r="S131" s="974"/>
    </row>
    <row r="132" spans="2:19" x14ac:dyDescent="0.25">
      <c r="B132" s="974">
        <v>39</v>
      </c>
      <c r="C132" s="974" t="s">
        <v>941</v>
      </c>
      <c r="D132" s="974">
        <v>123.8</v>
      </c>
      <c r="E132" s="974">
        <v>2.1000000000000001E-2</v>
      </c>
      <c r="F132" s="974">
        <v>0.45400000000000001</v>
      </c>
      <c r="G132" s="974"/>
      <c r="H132" s="974">
        <v>0.6</v>
      </c>
      <c r="I132" s="974">
        <v>10</v>
      </c>
      <c r="J132" s="974">
        <v>135.9</v>
      </c>
      <c r="K132" s="974">
        <v>0</v>
      </c>
      <c r="L132" s="974"/>
      <c r="M132" s="974"/>
      <c r="N132" s="974"/>
      <c r="O132" s="974">
        <v>0</v>
      </c>
      <c r="P132" s="974">
        <v>0</v>
      </c>
      <c r="Q132" s="974">
        <v>0</v>
      </c>
      <c r="R132" s="974">
        <v>0.2843</v>
      </c>
      <c r="S132" s="974"/>
    </row>
    <row r="133" spans="2:19" x14ac:dyDescent="0.25">
      <c r="B133" s="974"/>
      <c r="C133" s="974"/>
      <c r="D133" s="974"/>
      <c r="E133" s="974"/>
      <c r="F133" s="974"/>
      <c r="G133" s="974">
        <v>0.45400000000000001</v>
      </c>
      <c r="H133" s="974"/>
      <c r="I133" s="974"/>
      <c r="J133" s="974"/>
      <c r="K133" s="974">
        <v>0</v>
      </c>
      <c r="L133" s="974">
        <v>0.10290000000000001</v>
      </c>
      <c r="M133" s="974">
        <v>2</v>
      </c>
      <c r="N133" s="974">
        <v>7.4999999999999997E-2</v>
      </c>
      <c r="O133" s="974">
        <v>1.18</v>
      </c>
      <c r="P133" s="974">
        <v>0.09</v>
      </c>
      <c r="Q133" s="974">
        <v>2.36</v>
      </c>
      <c r="R133" s="974"/>
      <c r="S133" s="974"/>
    </row>
    <row r="134" spans="2:19" x14ac:dyDescent="0.25">
      <c r="B134" s="974">
        <v>40</v>
      </c>
      <c r="C134" s="974" t="s">
        <v>942</v>
      </c>
      <c r="D134" s="974">
        <v>34.93</v>
      </c>
      <c r="E134" s="974">
        <v>1.7000000000000001E-2</v>
      </c>
      <c r="F134" s="974">
        <v>5.2999999999999999E-2</v>
      </c>
      <c r="G134" s="974"/>
      <c r="H134" s="974">
        <v>0.6</v>
      </c>
      <c r="I134" s="974">
        <v>10</v>
      </c>
      <c r="J134" s="974">
        <v>135.9</v>
      </c>
      <c r="K134" s="974">
        <v>0</v>
      </c>
      <c r="L134" s="974"/>
      <c r="M134" s="974"/>
      <c r="N134" s="974"/>
      <c r="O134" s="974">
        <v>0</v>
      </c>
      <c r="P134" s="974">
        <v>0</v>
      </c>
      <c r="Q134" s="974">
        <v>0</v>
      </c>
      <c r="R134" s="974">
        <v>0.24990000000000001</v>
      </c>
      <c r="S134" s="974"/>
    </row>
    <row r="135" spans="2:19" x14ac:dyDescent="0.25">
      <c r="B135" s="974"/>
      <c r="C135" s="974"/>
      <c r="D135" s="974"/>
      <c r="E135" s="974"/>
      <c r="F135" s="974"/>
      <c r="G135" s="974">
        <v>5.2999999999999999E-2</v>
      </c>
      <c r="H135" s="974"/>
      <c r="I135" s="974"/>
      <c r="J135" s="974"/>
      <c r="K135" s="974">
        <v>0</v>
      </c>
      <c r="L135" s="974">
        <v>1.2E-2</v>
      </c>
      <c r="M135" s="974">
        <v>1</v>
      </c>
      <c r="N135" s="974">
        <v>7.4999999999999997E-2</v>
      </c>
      <c r="O135" s="974">
        <v>0.66</v>
      </c>
      <c r="P135" s="974">
        <v>0.05</v>
      </c>
      <c r="Q135" s="974">
        <v>1</v>
      </c>
      <c r="R135" s="974"/>
      <c r="S135" s="974"/>
    </row>
    <row r="136" spans="2:19" x14ac:dyDescent="0.25">
      <c r="B136" s="974">
        <v>41</v>
      </c>
      <c r="C136" s="974" t="s">
        <v>943</v>
      </c>
      <c r="D136" s="974">
        <v>123.71</v>
      </c>
      <c r="E136" s="974">
        <v>2.1999999999999999E-2</v>
      </c>
      <c r="F136" s="974">
        <v>0.23499999999999999</v>
      </c>
      <c r="G136" s="974"/>
      <c r="H136" s="974">
        <v>0.6</v>
      </c>
      <c r="I136" s="974">
        <v>10</v>
      </c>
      <c r="J136" s="974">
        <v>135.9</v>
      </c>
      <c r="K136" s="974">
        <v>0</v>
      </c>
      <c r="L136" s="974"/>
      <c r="M136" s="974"/>
      <c r="N136" s="974"/>
      <c r="O136" s="974">
        <v>0</v>
      </c>
      <c r="P136" s="974">
        <v>0</v>
      </c>
      <c r="Q136" s="974">
        <v>0</v>
      </c>
      <c r="R136" s="974">
        <v>0.28439999999999999</v>
      </c>
      <c r="S136" s="974"/>
    </row>
    <row r="137" spans="2:19" x14ac:dyDescent="0.25">
      <c r="B137" s="974"/>
      <c r="C137" s="974"/>
      <c r="D137" s="974"/>
      <c r="E137" s="974"/>
      <c r="F137" s="974"/>
      <c r="G137" s="974">
        <v>0.23499999999999999</v>
      </c>
      <c r="H137" s="974"/>
      <c r="I137" s="974"/>
      <c r="J137" s="974"/>
      <c r="K137" s="974">
        <v>0</v>
      </c>
      <c r="L137" s="974">
        <v>5.3100000000000001E-2</v>
      </c>
      <c r="M137" s="974">
        <v>1</v>
      </c>
      <c r="N137" s="974">
        <v>7.4999999999999997E-2</v>
      </c>
      <c r="O137" s="974">
        <v>1.01</v>
      </c>
      <c r="P137" s="974">
        <v>0.08</v>
      </c>
      <c r="Q137" s="974">
        <v>1.81</v>
      </c>
      <c r="R137" s="974"/>
      <c r="S137" s="974"/>
    </row>
    <row r="138" spans="2:19" x14ac:dyDescent="0.25">
      <c r="B138" s="974"/>
      <c r="C138" s="974" t="s">
        <v>944</v>
      </c>
      <c r="D138" s="974">
        <v>50.15</v>
      </c>
      <c r="E138" s="974">
        <v>1.9E-2</v>
      </c>
      <c r="F138" s="974">
        <v>8.8999999999999996E-2</v>
      </c>
      <c r="G138" s="974"/>
      <c r="H138" s="974">
        <v>0.6</v>
      </c>
      <c r="I138" s="974">
        <v>10</v>
      </c>
      <c r="J138" s="974">
        <v>135.9</v>
      </c>
      <c r="K138" s="974">
        <v>0</v>
      </c>
      <c r="L138" s="974"/>
      <c r="M138" s="974"/>
      <c r="N138" s="974"/>
      <c r="O138" s="974">
        <v>0</v>
      </c>
      <c r="P138" s="974">
        <v>0</v>
      </c>
      <c r="Q138" s="974">
        <v>0</v>
      </c>
      <c r="R138" s="974">
        <v>0.26979999999999998</v>
      </c>
      <c r="S138" s="974"/>
    </row>
    <row r="139" spans="2:19" x14ac:dyDescent="0.25">
      <c r="B139" s="974"/>
      <c r="C139" s="974"/>
      <c r="D139" s="974"/>
      <c r="E139" s="974"/>
      <c r="F139" s="974"/>
      <c r="G139" s="974">
        <v>8.8999999999999996E-2</v>
      </c>
      <c r="H139" s="974"/>
      <c r="I139" s="974"/>
      <c r="J139" s="974"/>
      <c r="K139" s="974">
        <v>0</v>
      </c>
      <c r="L139" s="974">
        <v>0.02</v>
      </c>
      <c r="M139" s="974">
        <v>1</v>
      </c>
      <c r="N139" s="974">
        <v>7.4999999999999997E-2</v>
      </c>
      <c r="O139" s="974">
        <v>0.78</v>
      </c>
      <c r="P139" s="974">
        <v>0.06</v>
      </c>
      <c r="Q139" s="974">
        <v>1.23</v>
      </c>
      <c r="R139" s="974"/>
      <c r="S139" s="974"/>
    </row>
    <row r="140" spans="2:19" x14ac:dyDescent="0.25">
      <c r="B140" s="974">
        <v>42</v>
      </c>
      <c r="C140" s="974" t="s">
        <v>945</v>
      </c>
      <c r="D140" s="974">
        <v>45.78</v>
      </c>
      <c r="E140" s="974">
        <v>2.1000000000000001E-2</v>
      </c>
      <c r="F140" s="974">
        <v>9.8000000000000004E-2</v>
      </c>
      <c r="G140" s="974"/>
      <c r="H140" s="974">
        <v>0.6</v>
      </c>
      <c r="I140" s="974">
        <v>10</v>
      </c>
      <c r="J140" s="974">
        <v>135.9</v>
      </c>
      <c r="K140" s="974">
        <v>0</v>
      </c>
      <c r="L140" s="974"/>
      <c r="M140" s="974"/>
      <c r="N140" s="974"/>
      <c r="O140" s="974">
        <v>0</v>
      </c>
      <c r="P140" s="974">
        <v>0</v>
      </c>
      <c r="Q140" s="974">
        <v>0</v>
      </c>
      <c r="R140" s="974">
        <v>0.2838</v>
      </c>
      <c r="S140" s="974"/>
    </row>
    <row r="141" spans="2:19" x14ac:dyDescent="0.25">
      <c r="B141" s="974"/>
      <c r="C141" s="974"/>
      <c r="D141" s="974"/>
      <c r="E141" s="974"/>
      <c r="F141" s="974"/>
      <c r="G141" s="974">
        <v>9.8000000000000004E-2</v>
      </c>
      <c r="H141" s="974"/>
      <c r="I141" s="974"/>
      <c r="J141" s="974"/>
      <c r="K141" s="974">
        <v>0</v>
      </c>
      <c r="L141" s="974">
        <v>2.2100000000000002E-2</v>
      </c>
      <c r="M141" s="974">
        <v>1</v>
      </c>
      <c r="N141" s="974">
        <v>7.4999999999999997E-2</v>
      </c>
      <c r="O141" s="974">
        <v>0.83</v>
      </c>
      <c r="P141" s="974">
        <v>0.06</v>
      </c>
      <c r="Q141" s="974">
        <v>1.25</v>
      </c>
      <c r="R141" s="974"/>
      <c r="S141" s="974"/>
    </row>
    <row r="142" spans="2:19" x14ac:dyDescent="0.25">
      <c r="B142" s="974">
        <v>43</v>
      </c>
      <c r="C142" s="974" t="s">
        <v>946</v>
      </c>
      <c r="D142" s="974">
        <v>11.57</v>
      </c>
      <c r="E142" s="974">
        <v>2.7E-2</v>
      </c>
      <c r="F142" s="974">
        <v>2.1000000000000001E-2</v>
      </c>
      <c r="G142" s="974"/>
      <c r="H142" s="974">
        <v>0.6</v>
      </c>
      <c r="I142" s="974">
        <v>10</v>
      </c>
      <c r="J142" s="974">
        <v>135.9</v>
      </c>
      <c r="K142" s="974">
        <v>0</v>
      </c>
      <c r="L142" s="974"/>
      <c r="M142" s="974"/>
      <c r="N142" s="974"/>
      <c r="O142" s="974">
        <v>0</v>
      </c>
      <c r="P142" s="974">
        <v>0</v>
      </c>
      <c r="Q142" s="974">
        <v>0</v>
      </c>
      <c r="R142" s="974">
        <v>0.31740000000000002</v>
      </c>
      <c r="S142" s="974"/>
    </row>
    <row r="143" spans="2:19" x14ac:dyDescent="0.25">
      <c r="B143" s="974"/>
      <c r="C143" s="974"/>
      <c r="D143" s="974"/>
      <c r="E143" s="974"/>
      <c r="F143" s="974"/>
      <c r="G143" s="974">
        <v>2.1000000000000001E-2</v>
      </c>
      <c r="H143" s="974"/>
      <c r="I143" s="974"/>
      <c r="J143" s="974"/>
      <c r="K143" s="974">
        <v>0</v>
      </c>
      <c r="L143" s="974">
        <v>4.7000000000000002E-3</v>
      </c>
      <c r="M143" s="974">
        <v>1</v>
      </c>
      <c r="N143" s="974">
        <v>7.4999999999999997E-2</v>
      </c>
      <c r="O143" s="974">
        <v>0.68</v>
      </c>
      <c r="P143" s="974">
        <v>0.04</v>
      </c>
      <c r="Q143" s="974">
        <v>0.5</v>
      </c>
      <c r="R143" s="974"/>
      <c r="S143" s="974"/>
    </row>
    <row r="144" spans="2:19" x14ac:dyDescent="0.25">
      <c r="B144" s="974">
        <v>44</v>
      </c>
      <c r="C144" s="974" t="s">
        <v>947</v>
      </c>
      <c r="D144" s="974">
        <v>44.13</v>
      </c>
      <c r="E144" s="974">
        <v>1.4999999999999999E-2</v>
      </c>
      <c r="F144" s="974">
        <v>7.6999999999999999E-2</v>
      </c>
      <c r="G144" s="974"/>
      <c r="H144" s="974">
        <v>0.6</v>
      </c>
      <c r="I144" s="974">
        <v>10</v>
      </c>
      <c r="J144" s="974">
        <v>135.9</v>
      </c>
      <c r="K144" s="974">
        <v>0</v>
      </c>
      <c r="L144" s="974"/>
      <c r="M144" s="974"/>
      <c r="N144" s="974"/>
      <c r="O144" s="974">
        <v>0</v>
      </c>
      <c r="P144" s="974">
        <v>0</v>
      </c>
      <c r="Q144" s="974">
        <v>0</v>
      </c>
      <c r="R144" s="974">
        <v>0.2354</v>
      </c>
      <c r="S144" s="974"/>
    </row>
    <row r="145" spans="2:19" x14ac:dyDescent="0.25">
      <c r="B145" s="974"/>
      <c r="C145" s="974"/>
      <c r="D145" s="974"/>
      <c r="E145" s="974"/>
      <c r="F145" s="974"/>
      <c r="G145" s="974">
        <v>7.6999999999999999E-2</v>
      </c>
      <c r="H145" s="974"/>
      <c r="I145" s="974"/>
      <c r="J145" s="974"/>
      <c r="K145" s="974">
        <v>0</v>
      </c>
      <c r="L145" s="974">
        <v>1.7399999999999999E-2</v>
      </c>
      <c r="M145" s="974">
        <v>1</v>
      </c>
      <c r="N145" s="974">
        <v>7.4999999999999997E-2</v>
      </c>
      <c r="O145" s="974">
        <v>0.68</v>
      </c>
      <c r="P145" s="974">
        <v>0.06</v>
      </c>
      <c r="Q145" s="974">
        <v>1.22</v>
      </c>
      <c r="R145" s="974"/>
      <c r="S145" s="974"/>
    </row>
    <row r="146" spans="2:19" x14ac:dyDescent="0.25">
      <c r="B146" s="974">
        <v>45</v>
      </c>
      <c r="C146" s="974" t="s">
        <v>948</v>
      </c>
      <c r="D146" s="974">
        <v>45.2</v>
      </c>
      <c r="E146" s="974">
        <v>2.1999999999999999E-2</v>
      </c>
      <c r="F146" s="974">
        <v>8.8999999999999996E-2</v>
      </c>
      <c r="G146" s="974"/>
      <c r="H146" s="974">
        <v>0.6</v>
      </c>
      <c r="I146" s="974">
        <v>10</v>
      </c>
      <c r="J146" s="974">
        <v>135.9</v>
      </c>
      <c r="K146" s="974">
        <v>0</v>
      </c>
      <c r="L146" s="974"/>
      <c r="M146" s="974"/>
      <c r="N146" s="974"/>
      <c r="O146" s="974">
        <v>0</v>
      </c>
      <c r="P146" s="974">
        <v>0</v>
      </c>
      <c r="Q146" s="974">
        <v>0</v>
      </c>
      <c r="R146" s="974">
        <v>0.28560000000000002</v>
      </c>
      <c r="S146" s="974"/>
    </row>
    <row r="147" spans="2:19" x14ac:dyDescent="0.25">
      <c r="B147" s="974"/>
      <c r="C147" s="974"/>
      <c r="D147" s="974"/>
      <c r="E147" s="974"/>
      <c r="F147" s="974"/>
      <c r="G147" s="974">
        <v>8.8999999999999996E-2</v>
      </c>
      <c r="H147" s="974"/>
      <c r="I147" s="974"/>
      <c r="J147" s="974"/>
      <c r="K147" s="974">
        <v>0</v>
      </c>
      <c r="L147" s="974">
        <v>2.0199999999999999E-2</v>
      </c>
      <c r="M147" s="974">
        <v>1</v>
      </c>
      <c r="N147" s="974">
        <v>7.4999999999999997E-2</v>
      </c>
      <c r="O147" s="974">
        <v>0.82</v>
      </c>
      <c r="P147" s="974">
        <v>0.06</v>
      </c>
      <c r="Q147" s="974">
        <v>1.2</v>
      </c>
      <c r="R147" s="974"/>
      <c r="S147" s="974"/>
    </row>
    <row r="148" spans="2:19" x14ac:dyDescent="0.25">
      <c r="B148" s="974">
        <v>46</v>
      </c>
      <c r="C148" s="974" t="s">
        <v>949</v>
      </c>
      <c r="D148" s="974">
        <v>10.49</v>
      </c>
      <c r="E148" s="974">
        <v>0.03</v>
      </c>
      <c r="F148" s="974">
        <v>1.9E-2</v>
      </c>
      <c r="G148" s="974"/>
      <c r="H148" s="974">
        <v>0.6</v>
      </c>
      <c r="I148" s="974">
        <v>10</v>
      </c>
      <c r="J148" s="974">
        <v>135.9</v>
      </c>
      <c r="K148" s="974">
        <v>0</v>
      </c>
      <c r="L148" s="974"/>
      <c r="M148" s="974"/>
      <c r="N148" s="974"/>
      <c r="O148" s="974">
        <v>0</v>
      </c>
      <c r="P148" s="974">
        <v>0</v>
      </c>
      <c r="Q148" s="974">
        <v>0</v>
      </c>
      <c r="R148" s="974">
        <v>0.33339999999999997</v>
      </c>
      <c r="S148" s="974"/>
    </row>
    <row r="149" spans="2:19" x14ac:dyDescent="0.25">
      <c r="B149" s="974"/>
      <c r="C149" s="974"/>
      <c r="D149" s="974"/>
      <c r="E149" s="974"/>
      <c r="F149" s="974"/>
      <c r="G149" s="974">
        <v>1.9E-2</v>
      </c>
      <c r="H149" s="974"/>
      <c r="I149" s="974"/>
      <c r="J149" s="974"/>
      <c r="K149" s="974">
        <v>0</v>
      </c>
      <c r="L149" s="974">
        <v>4.3E-3</v>
      </c>
      <c r="M149" s="974">
        <v>1</v>
      </c>
      <c r="N149" s="974">
        <v>7.4999999999999997E-2</v>
      </c>
      <c r="O149" s="974">
        <v>0.69</v>
      </c>
      <c r="P149" s="974">
        <v>0.03</v>
      </c>
      <c r="Q149" s="974">
        <v>0.45</v>
      </c>
      <c r="R149" s="974"/>
      <c r="S149" s="974"/>
    </row>
    <row r="150" spans="2:19" x14ac:dyDescent="0.25">
      <c r="B150" s="974">
        <v>47</v>
      </c>
      <c r="C150" s="974" t="s">
        <v>950</v>
      </c>
      <c r="D150" s="974">
        <v>27.63</v>
      </c>
      <c r="E150" s="974">
        <v>0</v>
      </c>
      <c r="F150" s="974">
        <v>4.2999999999999997E-2</v>
      </c>
      <c r="G150" s="974"/>
      <c r="H150" s="974">
        <v>0.6</v>
      </c>
      <c r="I150" s="974">
        <v>10</v>
      </c>
      <c r="J150" s="974">
        <v>135.9</v>
      </c>
      <c r="K150" s="974">
        <v>0</v>
      </c>
      <c r="L150" s="974"/>
      <c r="M150" s="974"/>
      <c r="N150" s="974"/>
      <c r="O150" s="974">
        <v>0</v>
      </c>
      <c r="P150" s="974">
        <v>0</v>
      </c>
      <c r="Q150" s="974">
        <v>0</v>
      </c>
      <c r="R150" s="974">
        <v>3.6900000000000002E-2</v>
      </c>
      <c r="S150" s="974"/>
    </row>
    <row r="151" spans="2:19" x14ac:dyDescent="0.25">
      <c r="B151" s="974"/>
      <c r="C151" s="974"/>
      <c r="D151" s="974"/>
      <c r="E151" s="974"/>
      <c r="F151" s="974"/>
      <c r="G151" s="974">
        <v>4.2999999999999997E-2</v>
      </c>
      <c r="H151" s="974"/>
      <c r="I151" s="974"/>
      <c r="J151" s="974"/>
      <c r="K151" s="974">
        <v>9.7000000000000003E-3</v>
      </c>
      <c r="L151" s="974"/>
      <c r="M151" s="974"/>
      <c r="N151" s="974"/>
      <c r="O151" s="974">
        <v>0.14000000000000001</v>
      </c>
      <c r="P151" s="974">
        <v>0.08</v>
      </c>
      <c r="Q151" s="974">
        <v>2.08</v>
      </c>
      <c r="R151" s="974"/>
      <c r="S151" s="974"/>
    </row>
    <row r="152" spans="2:19" x14ac:dyDescent="0.25">
      <c r="B152" s="974"/>
      <c r="C152" s="974" t="s">
        <v>951</v>
      </c>
      <c r="D152" s="974">
        <v>6.98</v>
      </c>
      <c r="E152" s="974">
        <v>1E-3</v>
      </c>
      <c r="F152" s="974">
        <v>0</v>
      </c>
      <c r="G152" s="974"/>
      <c r="H152" s="974">
        <v>0.6</v>
      </c>
      <c r="I152" s="974">
        <v>19.12</v>
      </c>
      <c r="J152" s="974">
        <v>135.9</v>
      </c>
      <c r="K152" s="974">
        <v>9.7000000000000003E-3</v>
      </c>
      <c r="L152" s="974"/>
      <c r="M152" s="974"/>
      <c r="N152" s="974"/>
      <c r="O152" s="974">
        <v>0.17</v>
      </c>
      <c r="P152" s="974">
        <v>7.0000000000000007E-2</v>
      </c>
      <c r="Q152" s="974">
        <v>2.2799999999999998</v>
      </c>
      <c r="R152" s="974">
        <v>6.8500000000000005E-2</v>
      </c>
      <c r="S152" s="974"/>
    </row>
    <row r="153" spans="2:19" x14ac:dyDescent="0.25">
      <c r="B153" s="974"/>
      <c r="C153" s="974"/>
      <c r="D153" s="974"/>
      <c r="E153" s="974"/>
      <c r="F153" s="974"/>
      <c r="G153" s="974">
        <v>4.2999999999999997E-2</v>
      </c>
      <c r="H153" s="974"/>
      <c r="I153" s="974"/>
      <c r="J153" s="974"/>
      <c r="K153" s="974">
        <v>9.7000000000000003E-3</v>
      </c>
      <c r="L153" s="974"/>
      <c r="M153" s="974"/>
      <c r="N153" s="974"/>
      <c r="O153" s="974">
        <v>0.17</v>
      </c>
      <c r="P153" s="974">
        <v>7.0000000000000007E-2</v>
      </c>
      <c r="Q153" s="974">
        <v>2.2799999999999998</v>
      </c>
      <c r="R153" s="974"/>
      <c r="S153" s="974"/>
    </row>
    <row r="154" spans="2:19" x14ac:dyDescent="0.25">
      <c r="B154" s="974"/>
      <c r="C154" s="974" t="s">
        <v>952</v>
      </c>
      <c r="D154" s="974">
        <v>6.18</v>
      </c>
      <c r="E154" s="974">
        <v>2.5999999999999999E-2</v>
      </c>
      <c r="F154" s="974">
        <v>0</v>
      </c>
      <c r="G154" s="974"/>
      <c r="H154" s="974">
        <v>0.6</v>
      </c>
      <c r="I154" s="974">
        <v>19.34</v>
      </c>
      <c r="J154" s="974">
        <v>135.9</v>
      </c>
      <c r="K154" s="974">
        <v>2.1899999999999999E-2</v>
      </c>
      <c r="L154" s="974"/>
      <c r="M154" s="974"/>
      <c r="N154" s="974"/>
      <c r="O154" s="974">
        <v>0.77</v>
      </c>
      <c r="P154" s="974">
        <v>0.06</v>
      </c>
      <c r="Q154" s="974">
        <v>1.58</v>
      </c>
      <c r="R154" s="974">
        <v>0.34860000000000002</v>
      </c>
      <c r="S154" s="974" t="s">
        <v>889</v>
      </c>
    </row>
    <row r="155" spans="2:19" x14ac:dyDescent="0.25">
      <c r="B155" s="974"/>
      <c r="C155" s="974"/>
      <c r="D155" s="974"/>
      <c r="E155" s="974"/>
      <c r="F155" s="974"/>
      <c r="G155" s="974">
        <v>9.7000000000000003E-2</v>
      </c>
      <c r="H155" s="974"/>
      <c r="I155" s="974"/>
      <c r="J155" s="974"/>
      <c r="K155" s="974">
        <v>2.1899999999999999E-2</v>
      </c>
      <c r="L155" s="974"/>
      <c r="M155" s="974"/>
      <c r="N155" s="974"/>
      <c r="O155" s="974">
        <v>0.77</v>
      </c>
      <c r="P155" s="974">
        <v>0.06</v>
      </c>
      <c r="Q155" s="974">
        <v>1.58</v>
      </c>
      <c r="R155" s="974"/>
      <c r="S155" s="974"/>
    </row>
    <row r="156" spans="2:19" x14ac:dyDescent="0.25">
      <c r="B156" s="974">
        <v>48</v>
      </c>
      <c r="C156" s="974" t="s">
        <v>953</v>
      </c>
      <c r="D156" s="974">
        <v>75.58</v>
      </c>
      <c r="E156" s="974">
        <v>1.0999999999999999E-2</v>
      </c>
      <c r="F156" s="974">
        <v>0.223</v>
      </c>
      <c r="G156" s="974"/>
      <c r="H156" s="974">
        <v>0.6</v>
      </c>
      <c r="I156" s="974">
        <v>10</v>
      </c>
      <c r="J156" s="974">
        <v>135.9</v>
      </c>
      <c r="K156" s="974">
        <v>0</v>
      </c>
      <c r="L156" s="974"/>
      <c r="M156" s="974"/>
      <c r="N156" s="974"/>
      <c r="O156" s="974">
        <v>0</v>
      </c>
      <c r="P156" s="974">
        <v>0</v>
      </c>
      <c r="Q156" s="974">
        <v>0</v>
      </c>
      <c r="R156" s="974">
        <v>0.20200000000000001</v>
      </c>
      <c r="S156" s="974" t="s">
        <v>889</v>
      </c>
    </row>
    <row r="157" spans="2:19" x14ac:dyDescent="0.25">
      <c r="B157" s="974"/>
      <c r="C157" s="974"/>
      <c r="D157" s="974"/>
      <c r="E157" s="974"/>
      <c r="F157" s="974"/>
      <c r="G157" s="974">
        <v>0.223</v>
      </c>
      <c r="H157" s="974"/>
      <c r="I157" s="974"/>
      <c r="J157" s="974"/>
      <c r="K157" s="974">
        <v>5.0500000000000003E-2</v>
      </c>
      <c r="L157" s="974"/>
      <c r="M157" s="974"/>
      <c r="N157" s="974"/>
      <c r="O157" s="974">
        <v>0.77</v>
      </c>
      <c r="P157" s="974">
        <v>0.08</v>
      </c>
      <c r="Q157" s="974">
        <v>2.04</v>
      </c>
      <c r="R157" s="974"/>
      <c r="S157" s="974"/>
    </row>
    <row r="158" spans="2:19" x14ac:dyDescent="0.25">
      <c r="B158" s="974"/>
      <c r="C158" s="974" t="s">
        <v>954</v>
      </c>
      <c r="D158" s="974">
        <v>14.94</v>
      </c>
      <c r="E158" s="974">
        <v>1.7999999999999999E-2</v>
      </c>
      <c r="F158" s="974">
        <v>0</v>
      </c>
      <c r="G158" s="974"/>
      <c r="H158" s="974">
        <v>0.6</v>
      </c>
      <c r="I158" s="974">
        <v>11.06</v>
      </c>
      <c r="J158" s="974">
        <v>135.9</v>
      </c>
      <c r="K158" s="974">
        <v>5.0500000000000003E-2</v>
      </c>
      <c r="L158" s="974"/>
      <c r="M158" s="974"/>
      <c r="N158" s="974"/>
      <c r="O158" s="974">
        <v>0.71</v>
      </c>
      <c r="P158" s="974">
        <v>0.06</v>
      </c>
      <c r="Q158" s="974">
        <v>1.78</v>
      </c>
      <c r="R158" s="974">
        <v>0.60840000000000005</v>
      </c>
      <c r="S158" s="974" t="s">
        <v>891</v>
      </c>
    </row>
    <row r="159" spans="2:19" x14ac:dyDescent="0.25">
      <c r="B159" s="974"/>
      <c r="C159" s="974"/>
      <c r="D159" s="974"/>
      <c r="E159" s="974"/>
      <c r="F159" s="974"/>
      <c r="G159" s="974">
        <v>0.223</v>
      </c>
      <c r="H159" s="974"/>
      <c r="I159" s="974"/>
      <c r="J159" s="974"/>
      <c r="K159" s="974">
        <v>5.0500000000000003E-2</v>
      </c>
      <c r="L159" s="974"/>
      <c r="M159" s="974"/>
      <c r="N159" s="974"/>
      <c r="O159" s="974">
        <v>0.71</v>
      </c>
      <c r="P159" s="974">
        <v>0.06</v>
      </c>
      <c r="Q159" s="974">
        <v>1.78</v>
      </c>
      <c r="R159" s="974"/>
      <c r="S159" s="974"/>
    </row>
    <row r="160" spans="2:19" x14ac:dyDescent="0.25">
      <c r="B160" s="974"/>
      <c r="C160" s="974" t="s">
        <v>955</v>
      </c>
      <c r="D160" s="974">
        <v>98.52</v>
      </c>
      <c r="E160" s="974">
        <v>3.0000000000000001E-3</v>
      </c>
      <c r="F160" s="974">
        <v>0.29199999999999998</v>
      </c>
      <c r="G160" s="974"/>
      <c r="H160" s="974">
        <v>0.6</v>
      </c>
      <c r="I160" s="974">
        <v>11.29</v>
      </c>
      <c r="J160" s="974">
        <v>135.9</v>
      </c>
      <c r="K160" s="974">
        <v>5.0500000000000003E-2</v>
      </c>
      <c r="L160" s="974"/>
      <c r="M160" s="974"/>
      <c r="N160" s="974"/>
      <c r="O160" s="974">
        <v>0.47</v>
      </c>
      <c r="P160" s="974">
        <v>0.1</v>
      </c>
      <c r="Q160" s="974">
        <v>2.64</v>
      </c>
      <c r="R160" s="974">
        <v>0.1052</v>
      </c>
      <c r="S160" s="974"/>
    </row>
    <row r="161" spans="2:19" x14ac:dyDescent="0.25">
      <c r="B161" s="974"/>
      <c r="C161" s="974"/>
      <c r="D161" s="974"/>
      <c r="E161" s="974"/>
      <c r="F161" s="974"/>
      <c r="G161" s="974">
        <v>0.51500000000000001</v>
      </c>
      <c r="H161" s="974"/>
      <c r="I161" s="974"/>
      <c r="J161" s="974"/>
      <c r="K161" s="974">
        <v>0</v>
      </c>
      <c r="L161" s="974">
        <v>0.1166</v>
      </c>
      <c r="M161" s="974">
        <v>2</v>
      </c>
      <c r="N161" s="974">
        <v>7.4999999999999997E-2</v>
      </c>
      <c r="O161" s="974">
        <v>0.57999999999999996</v>
      </c>
      <c r="P161" s="974">
        <v>0.13</v>
      </c>
      <c r="Q161" s="974">
        <v>3.65</v>
      </c>
      <c r="R161" s="974"/>
      <c r="S161" s="974"/>
    </row>
    <row r="162" spans="2:19" x14ac:dyDescent="0.25">
      <c r="B162" s="974">
        <v>49</v>
      </c>
      <c r="C162" s="974" t="s">
        <v>956</v>
      </c>
      <c r="D162" s="974">
        <v>76</v>
      </c>
      <c r="E162" s="974">
        <v>1.4E-2</v>
      </c>
      <c r="F162" s="974">
        <v>0.19600000000000001</v>
      </c>
      <c r="G162" s="974"/>
      <c r="H162" s="974">
        <v>0.6</v>
      </c>
      <c r="I162" s="974">
        <v>10</v>
      </c>
      <c r="J162" s="974">
        <v>135.9</v>
      </c>
      <c r="K162" s="974">
        <v>0</v>
      </c>
      <c r="L162" s="974"/>
      <c r="M162" s="974"/>
      <c r="N162" s="974"/>
      <c r="O162" s="974">
        <v>0</v>
      </c>
      <c r="P162" s="974">
        <v>0</v>
      </c>
      <c r="Q162" s="974">
        <v>0</v>
      </c>
      <c r="R162" s="974">
        <v>0.23230000000000001</v>
      </c>
      <c r="S162" s="974" t="s">
        <v>889</v>
      </c>
    </row>
    <row r="163" spans="2:19" x14ac:dyDescent="0.25">
      <c r="B163" s="974"/>
      <c r="C163" s="974"/>
      <c r="D163" s="974"/>
      <c r="E163" s="974"/>
      <c r="F163" s="974"/>
      <c r="G163" s="974">
        <v>0.19600000000000001</v>
      </c>
      <c r="H163" s="974"/>
      <c r="I163" s="974"/>
      <c r="J163" s="974"/>
      <c r="K163" s="974">
        <v>4.4400000000000002E-2</v>
      </c>
      <c r="L163" s="974"/>
      <c r="M163" s="974"/>
      <c r="N163" s="974"/>
      <c r="O163" s="974">
        <v>0.83</v>
      </c>
      <c r="P163" s="974">
        <v>0.08</v>
      </c>
      <c r="Q163" s="974">
        <v>1.83</v>
      </c>
      <c r="R163" s="974"/>
      <c r="S163" s="974"/>
    </row>
    <row r="164" spans="2:19" x14ac:dyDescent="0.25">
      <c r="B164" s="974"/>
      <c r="C164" s="974" t="s">
        <v>957</v>
      </c>
      <c r="D164" s="974">
        <v>15.25</v>
      </c>
      <c r="E164" s="974">
        <v>1E-3</v>
      </c>
      <c r="F164" s="974">
        <v>0</v>
      </c>
      <c r="G164" s="974"/>
      <c r="H164" s="974">
        <v>0.6</v>
      </c>
      <c r="I164" s="974">
        <v>13.52</v>
      </c>
      <c r="J164" s="974">
        <v>135.9</v>
      </c>
      <c r="K164" s="974">
        <v>4.4400000000000002E-2</v>
      </c>
      <c r="L164" s="974"/>
      <c r="M164" s="974"/>
      <c r="N164" s="974"/>
      <c r="O164" s="974">
        <v>0.22</v>
      </c>
      <c r="P164" s="974">
        <v>0.09</v>
      </c>
      <c r="Q164" s="974">
        <v>3.14</v>
      </c>
      <c r="R164" s="974">
        <v>0.1431</v>
      </c>
      <c r="S164" s="974" t="s">
        <v>891</v>
      </c>
    </row>
    <row r="165" spans="2:19" x14ac:dyDescent="0.25">
      <c r="B165" s="974"/>
      <c r="C165" s="974"/>
      <c r="D165" s="974"/>
      <c r="E165" s="974"/>
      <c r="F165" s="974"/>
      <c r="G165" s="974">
        <v>0.19600000000000001</v>
      </c>
      <c r="H165" s="974"/>
      <c r="I165" s="974"/>
      <c r="J165" s="974"/>
      <c r="K165" s="974">
        <v>4.4400000000000002E-2</v>
      </c>
      <c r="L165" s="974"/>
      <c r="M165" s="974"/>
      <c r="N165" s="974"/>
      <c r="O165" s="974">
        <v>0.22</v>
      </c>
      <c r="P165" s="974">
        <v>0.09</v>
      </c>
      <c r="Q165" s="974">
        <v>3.14</v>
      </c>
      <c r="R165" s="974"/>
      <c r="S165" s="974"/>
    </row>
    <row r="166" spans="2:19" x14ac:dyDescent="0.25">
      <c r="B166" s="974"/>
      <c r="C166" s="974" t="s">
        <v>958</v>
      </c>
      <c r="D166" s="974">
        <v>95.82</v>
      </c>
      <c r="E166" s="974">
        <v>1.2E-2</v>
      </c>
      <c r="F166" s="974">
        <v>0.26300000000000001</v>
      </c>
      <c r="G166" s="974"/>
      <c r="H166" s="974">
        <v>0.6</v>
      </c>
      <c r="I166" s="974">
        <v>13.83</v>
      </c>
      <c r="J166" s="974">
        <v>135.9</v>
      </c>
      <c r="K166" s="974">
        <v>4.4400000000000002E-2</v>
      </c>
      <c r="L166" s="974"/>
      <c r="M166" s="974"/>
      <c r="N166" s="974"/>
      <c r="O166" s="974">
        <v>0.78</v>
      </c>
      <c r="P166" s="974">
        <v>0.08</v>
      </c>
      <c r="Q166" s="974">
        <v>1.89</v>
      </c>
      <c r="R166" s="974">
        <v>0.21429999999999999</v>
      </c>
      <c r="S166" s="974"/>
    </row>
    <row r="167" spans="2:19" x14ac:dyDescent="0.25">
      <c r="B167" s="974"/>
      <c r="C167" s="974"/>
      <c r="D167" s="974"/>
      <c r="E167" s="974"/>
      <c r="F167" s="974"/>
      <c r="G167" s="974">
        <v>0.45900000000000002</v>
      </c>
      <c r="H167" s="974"/>
      <c r="I167" s="974"/>
      <c r="J167" s="974"/>
      <c r="K167" s="974">
        <v>0</v>
      </c>
      <c r="L167" s="974">
        <v>0.1041</v>
      </c>
      <c r="M167" s="974">
        <v>2</v>
      </c>
      <c r="N167" s="974">
        <v>7.4999999999999997E-2</v>
      </c>
      <c r="O167" s="974">
        <v>0.96</v>
      </c>
      <c r="P167" s="974">
        <v>0.1</v>
      </c>
      <c r="Q167" s="974">
        <v>2.65</v>
      </c>
      <c r="R167" s="974"/>
      <c r="S167" s="974"/>
    </row>
    <row r="168" spans="2:19" x14ac:dyDescent="0.25">
      <c r="B168" s="974">
        <v>50</v>
      </c>
      <c r="C168" s="974" t="s">
        <v>959</v>
      </c>
      <c r="D168" s="974">
        <v>75.819999999999993</v>
      </c>
      <c r="E168" s="974">
        <v>1.4E-2</v>
      </c>
      <c r="F168" s="974">
        <v>0.20399999999999999</v>
      </c>
      <c r="G168" s="974"/>
      <c r="H168" s="974">
        <v>0.6</v>
      </c>
      <c r="I168" s="974">
        <v>10</v>
      </c>
      <c r="J168" s="974">
        <v>135.9</v>
      </c>
      <c r="K168" s="974">
        <v>0</v>
      </c>
      <c r="L168" s="974"/>
      <c r="M168" s="974"/>
      <c r="N168" s="974"/>
      <c r="O168" s="974">
        <v>0</v>
      </c>
      <c r="P168" s="974">
        <v>0</v>
      </c>
      <c r="Q168" s="974">
        <v>0</v>
      </c>
      <c r="R168" s="974">
        <v>0.2283</v>
      </c>
      <c r="S168" s="974" t="s">
        <v>889</v>
      </c>
    </row>
    <row r="169" spans="2:19" x14ac:dyDescent="0.25">
      <c r="B169" s="974"/>
      <c r="C169" s="974"/>
      <c r="D169" s="974"/>
      <c r="E169" s="974"/>
      <c r="F169" s="974"/>
      <c r="G169" s="974">
        <v>0.20399999999999999</v>
      </c>
      <c r="H169" s="974"/>
      <c r="I169" s="974"/>
      <c r="J169" s="974"/>
      <c r="K169" s="974">
        <v>4.6100000000000002E-2</v>
      </c>
      <c r="L169" s="974"/>
      <c r="M169" s="974"/>
      <c r="N169" s="974"/>
      <c r="O169" s="974">
        <v>0.83</v>
      </c>
      <c r="P169" s="974">
        <v>0.08</v>
      </c>
      <c r="Q169" s="974">
        <v>1.87</v>
      </c>
      <c r="R169" s="974"/>
      <c r="S169" s="974"/>
    </row>
    <row r="170" spans="2:19" x14ac:dyDescent="0.25">
      <c r="B170" s="974"/>
      <c r="C170" s="974" t="s">
        <v>960</v>
      </c>
      <c r="D170" s="974">
        <v>14.74</v>
      </c>
      <c r="E170" s="974">
        <v>1E-3</v>
      </c>
      <c r="F170" s="974">
        <v>0</v>
      </c>
      <c r="G170" s="974"/>
      <c r="H170" s="974">
        <v>0.6</v>
      </c>
      <c r="I170" s="974">
        <v>19.420000000000002</v>
      </c>
      <c r="J170" s="974">
        <v>135.9</v>
      </c>
      <c r="K170" s="974">
        <v>4.6100000000000002E-2</v>
      </c>
      <c r="L170" s="974"/>
      <c r="M170" s="974"/>
      <c r="N170" s="974"/>
      <c r="O170" s="974">
        <v>0.22</v>
      </c>
      <c r="P170" s="974">
        <v>0.09</v>
      </c>
      <c r="Q170" s="974">
        <v>3.19</v>
      </c>
      <c r="R170" s="974">
        <v>0.1431</v>
      </c>
      <c r="S170" s="974" t="s">
        <v>891</v>
      </c>
    </row>
    <row r="171" spans="2:19" x14ac:dyDescent="0.25">
      <c r="B171" s="974"/>
      <c r="C171" s="974"/>
      <c r="D171" s="974"/>
      <c r="E171" s="974"/>
      <c r="F171" s="974"/>
      <c r="G171" s="974">
        <v>0.20399999999999999</v>
      </c>
      <c r="H171" s="974"/>
      <c r="I171" s="974"/>
      <c r="J171" s="974"/>
      <c r="K171" s="974">
        <v>4.6100000000000002E-2</v>
      </c>
      <c r="L171" s="974"/>
      <c r="M171" s="974"/>
      <c r="N171" s="974"/>
      <c r="O171" s="974">
        <v>0.22</v>
      </c>
      <c r="P171" s="974">
        <v>0.09</v>
      </c>
      <c r="Q171" s="974">
        <v>3.19</v>
      </c>
      <c r="R171" s="974"/>
      <c r="S171" s="974"/>
    </row>
    <row r="172" spans="2:19" x14ac:dyDescent="0.25">
      <c r="B172" s="974"/>
      <c r="C172" s="974" t="s">
        <v>961</v>
      </c>
      <c r="D172" s="974">
        <v>97.3</v>
      </c>
      <c r="E172" s="974">
        <v>1.6E-2</v>
      </c>
      <c r="F172" s="974">
        <v>0.26500000000000001</v>
      </c>
      <c r="G172" s="974"/>
      <c r="H172" s="974">
        <v>0.6</v>
      </c>
      <c r="I172" s="974">
        <v>19.559999999999999</v>
      </c>
      <c r="J172" s="974">
        <v>135.9</v>
      </c>
      <c r="K172" s="974">
        <v>4.6100000000000002E-2</v>
      </c>
      <c r="L172" s="974"/>
      <c r="M172" s="974"/>
      <c r="N172" s="974"/>
      <c r="O172" s="974">
        <v>0.88</v>
      </c>
      <c r="P172" s="974">
        <v>0.08</v>
      </c>
      <c r="Q172" s="974">
        <v>1.81</v>
      </c>
      <c r="R172" s="974">
        <v>0.2472</v>
      </c>
      <c r="S172" s="974"/>
    </row>
    <row r="173" spans="2:19" x14ac:dyDescent="0.25">
      <c r="B173" s="974"/>
      <c r="C173" s="974"/>
      <c r="D173" s="974"/>
      <c r="E173" s="974"/>
      <c r="F173" s="974"/>
      <c r="G173" s="974">
        <v>0.46899999999999997</v>
      </c>
      <c r="H173" s="974"/>
      <c r="I173" s="974"/>
      <c r="J173" s="974"/>
      <c r="K173" s="974">
        <v>0</v>
      </c>
      <c r="L173" s="974">
        <v>0.1062</v>
      </c>
      <c r="M173" s="974">
        <v>2</v>
      </c>
      <c r="N173" s="974">
        <v>7.4999999999999997E-2</v>
      </c>
      <c r="O173" s="974">
        <v>1.07</v>
      </c>
      <c r="P173" s="974">
        <v>0.1</v>
      </c>
      <c r="Q173" s="974">
        <v>2.5299999999999998</v>
      </c>
      <c r="R173" s="974"/>
      <c r="S173" s="974"/>
    </row>
    <row r="174" spans="2:19" x14ac:dyDescent="0.25">
      <c r="B174" s="974">
        <v>51</v>
      </c>
      <c r="C174" s="974" t="s">
        <v>962</v>
      </c>
      <c r="D174" s="974">
        <v>73.8</v>
      </c>
      <c r="E174" s="974">
        <v>1.7999999999999999E-2</v>
      </c>
      <c r="F174" s="974">
        <v>0.189</v>
      </c>
      <c r="G174" s="974"/>
      <c r="H174" s="974">
        <v>0.6</v>
      </c>
      <c r="I174" s="974">
        <v>10</v>
      </c>
      <c r="J174" s="974">
        <v>135.9</v>
      </c>
      <c r="K174" s="974">
        <v>0</v>
      </c>
      <c r="L174" s="974"/>
      <c r="M174" s="974"/>
      <c r="N174" s="974"/>
      <c r="O174" s="974">
        <v>0</v>
      </c>
      <c r="P174" s="974">
        <v>0</v>
      </c>
      <c r="Q174" s="974">
        <v>0</v>
      </c>
      <c r="R174" s="974">
        <v>0.26329999999999998</v>
      </c>
      <c r="S174" s="974" t="s">
        <v>889</v>
      </c>
    </row>
    <row r="175" spans="2:19" x14ac:dyDescent="0.25">
      <c r="B175" s="974"/>
      <c r="C175" s="974"/>
      <c r="D175" s="974"/>
      <c r="E175" s="974"/>
      <c r="F175" s="974"/>
      <c r="G175" s="974">
        <v>0.189</v>
      </c>
      <c r="H175" s="974"/>
      <c r="I175" s="974"/>
      <c r="J175" s="974"/>
      <c r="K175" s="974">
        <v>4.2900000000000001E-2</v>
      </c>
      <c r="L175" s="974"/>
      <c r="M175" s="974"/>
      <c r="N175" s="974"/>
      <c r="O175" s="974">
        <v>0.91</v>
      </c>
      <c r="P175" s="974">
        <v>7.0000000000000007E-2</v>
      </c>
      <c r="Q175" s="974">
        <v>1.72</v>
      </c>
      <c r="R175" s="974"/>
      <c r="S175" s="974"/>
    </row>
    <row r="176" spans="2:19" x14ac:dyDescent="0.25">
      <c r="B176" s="974"/>
      <c r="C176" s="974" t="s">
        <v>963</v>
      </c>
      <c r="D176" s="974">
        <v>14.74</v>
      </c>
      <c r="E176" s="974">
        <v>1E-3</v>
      </c>
      <c r="F176" s="974">
        <v>0</v>
      </c>
      <c r="G176" s="974"/>
      <c r="H176" s="974">
        <v>0.6</v>
      </c>
      <c r="I176" s="974">
        <v>19.579999999999998</v>
      </c>
      <c r="J176" s="974">
        <v>135.9</v>
      </c>
      <c r="K176" s="974">
        <v>4.2900000000000001E-2</v>
      </c>
      <c r="L176" s="974"/>
      <c r="M176" s="974"/>
      <c r="N176" s="974"/>
      <c r="O176" s="974">
        <v>0.22</v>
      </c>
      <c r="P176" s="974">
        <v>0.09</v>
      </c>
      <c r="Q176" s="974">
        <v>3.1</v>
      </c>
      <c r="R176" s="974">
        <v>0.1431</v>
      </c>
      <c r="S176" s="974" t="s">
        <v>891</v>
      </c>
    </row>
    <row r="177" spans="2:19" x14ac:dyDescent="0.25">
      <c r="B177" s="974"/>
      <c r="C177" s="974"/>
      <c r="D177" s="974"/>
      <c r="E177" s="974"/>
      <c r="F177" s="974"/>
      <c r="G177" s="974">
        <v>0.189</v>
      </c>
      <c r="H177" s="974"/>
      <c r="I177" s="974"/>
      <c r="J177" s="974"/>
      <c r="K177" s="974">
        <v>4.2900000000000001E-2</v>
      </c>
      <c r="L177" s="974"/>
      <c r="M177" s="974"/>
      <c r="N177" s="974"/>
      <c r="O177" s="974">
        <v>0.22</v>
      </c>
      <c r="P177" s="974">
        <v>0.09</v>
      </c>
      <c r="Q177" s="974">
        <v>3.1</v>
      </c>
      <c r="R177" s="974"/>
      <c r="S177" s="974"/>
    </row>
    <row r="178" spans="2:19" x14ac:dyDescent="0.25">
      <c r="B178" s="974"/>
      <c r="C178" s="974" t="s">
        <v>964</v>
      </c>
      <c r="D178" s="974">
        <v>96.31</v>
      </c>
      <c r="E178" s="974">
        <v>2.1000000000000001E-2</v>
      </c>
      <c r="F178" s="974">
        <v>0.25600000000000001</v>
      </c>
      <c r="G178" s="974"/>
      <c r="H178" s="974">
        <v>0.6</v>
      </c>
      <c r="I178" s="974">
        <v>20.37</v>
      </c>
      <c r="J178" s="974">
        <v>135.9</v>
      </c>
      <c r="K178" s="974">
        <v>8.3900000000000002E-2</v>
      </c>
      <c r="L178" s="974"/>
      <c r="M178" s="974"/>
      <c r="N178" s="974"/>
      <c r="O178" s="974">
        <v>1.1200000000000001</v>
      </c>
      <c r="P178" s="974">
        <v>0.09</v>
      </c>
      <c r="Q178" s="974">
        <v>2.19</v>
      </c>
      <c r="R178" s="974">
        <v>0.28160000000000002</v>
      </c>
      <c r="S178" s="974"/>
    </row>
    <row r="179" spans="2:19" x14ac:dyDescent="0.25">
      <c r="B179" s="974"/>
      <c r="C179" s="974"/>
      <c r="D179" s="974"/>
      <c r="E179" s="974"/>
      <c r="F179" s="974"/>
      <c r="G179" s="974">
        <v>0.627</v>
      </c>
      <c r="H179" s="974"/>
      <c r="I179" s="974"/>
      <c r="J179" s="974"/>
      <c r="K179" s="974">
        <v>0</v>
      </c>
      <c r="L179" s="974">
        <v>0.14199999999999999</v>
      </c>
      <c r="M179" s="974">
        <v>2</v>
      </c>
      <c r="N179" s="974">
        <v>7.4999999999999997E-2</v>
      </c>
      <c r="O179" s="974">
        <v>1.27</v>
      </c>
      <c r="P179" s="974">
        <v>0.1</v>
      </c>
      <c r="Q179" s="974">
        <v>2.69</v>
      </c>
      <c r="R179" s="974"/>
      <c r="S179" s="974"/>
    </row>
    <row r="180" spans="2:19" x14ac:dyDescent="0.25">
      <c r="B180" s="974">
        <v>52</v>
      </c>
      <c r="C180" s="974" t="s">
        <v>965</v>
      </c>
      <c r="D180" s="974">
        <v>45.32</v>
      </c>
      <c r="E180" s="974">
        <v>1.7999999999999999E-2</v>
      </c>
      <c r="F180" s="974">
        <v>0.124</v>
      </c>
      <c r="G180" s="974"/>
      <c r="H180" s="974">
        <v>0.6</v>
      </c>
      <c r="I180" s="974">
        <v>10</v>
      </c>
      <c r="J180" s="974">
        <v>135.9</v>
      </c>
      <c r="K180" s="974">
        <v>0</v>
      </c>
      <c r="L180" s="974"/>
      <c r="M180" s="974"/>
      <c r="N180" s="974"/>
      <c r="O180" s="974">
        <v>0</v>
      </c>
      <c r="P180" s="974">
        <v>0</v>
      </c>
      <c r="Q180" s="974">
        <v>0</v>
      </c>
      <c r="R180" s="974">
        <v>0.26090000000000002</v>
      </c>
      <c r="S180" s="974"/>
    </row>
    <row r="181" spans="2:19" x14ac:dyDescent="0.25">
      <c r="B181" s="974"/>
      <c r="C181" s="974"/>
      <c r="D181" s="974"/>
      <c r="E181" s="974"/>
      <c r="F181" s="974"/>
      <c r="G181" s="974">
        <v>0.124</v>
      </c>
      <c r="H181" s="974"/>
      <c r="I181" s="974"/>
      <c r="J181" s="974"/>
      <c r="K181" s="974">
        <v>0</v>
      </c>
      <c r="L181" s="974">
        <v>2.8000000000000001E-2</v>
      </c>
      <c r="M181" s="974">
        <v>1</v>
      </c>
      <c r="N181" s="974">
        <v>7.4999999999999997E-2</v>
      </c>
      <c r="O181" s="974">
        <v>0.82</v>
      </c>
      <c r="P181" s="974">
        <v>0.06</v>
      </c>
      <c r="Q181" s="974">
        <v>1.44</v>
      </c>
      <c r="R181" s="974"/>
      <c r="S181" s="974"/>
    </row>
    <row r="182" spans="2:19" x14ac:dyDescent="0.25">
      <c r="B182" s="974">
        <v>53</v>
      </c>
      <c r="C182" s="974" t="s">
        <v>966</v>
      </c>
      <c r="D182" s="974">
        <v>45.82</v>
      </c>
      <c r="E182" s="974">
        <v>1.7999999999999999E-2</v>
      </c>
      <c r="F182" s="974">
        <v>0.123</v>
      </c>
      <c r="G182" s="974"/>
      <c r="H182" s="974">
        <v>0.6</v>
      </c>
      <c r="I182" s="974">
        <v>10</v>
      </c>
      <c r="J182" s="974">
        <v>135.9</v>
      </c>
      <c r="K182" s="974">
        <v>0</v>
      </c>
      <c r="L182" s="974"/>
      <c r="M182" s="974"/>
      <c r="N182" s="974"/>
      <c r="O182" s="974">
        <v>0</v>
      </c>
      <c r="P182" s="974">
        <v>0</v>
      </c>
      <c r="Q182" s="974">
        <v>0</v>
      </c>
      <c r="R182" s="974">
        <v>0.25950000000000001</v>
      </c>
      <c r="S182" s="974"/>
    </row>
    <row r="183" spans="2:19" x14ac:dyDescent="0.25">
      <c r="B183" s="974"/>
      <c r="C183" s="974"/>
      <c r="D183" s="974"/>
      <c r="E183" s="974"/>
      <c r="F183" s="974"/>
      <c r="G183" s="974">
        <v>0.123</v>
      </c>
      <c r="H183" s="974"/>
      <c r="I183" s="974"/>
      <c r="J183" s="974"/>
      <c r="K183" s="974">
        <v>0</v>
      </c>
      <c r="L183" s="974">
        <v>2.7900000000000001E-2</v>
      </c>
      <c r="M183" s="974">
        <v>1</v>
      </c>
      <c r="N183" s="974">
        <v>7.4999999999999997E-2</v>
      </c>
      <c r="O183" s="974">
        <v>0.81</v>
      </c>
      <c r="P183" s="974">
        <v>0.06</v>
      </c>
      <c r="Q183" s="974">
        <v>1.44</v>
      </c>
      <c r="R183" s="974"/>
      <c r="S183" s="974"/>
    </row>
    <row r="184" spans="2:19" x14ac:dyDescent="0.25">
      <c r="B184" s="974">
        <v>54</v>
      </c>
      <c r="C184" s="974" t="s">
        <v>967</v>
      </c>
      <c r="D184" s="974">
        <v>44.81</v>
      </c>
      <c r="E184" s="974">
        <v>1.7999999999999999E-2</v>
      </c>
      <c r="F184" s="974">
        <v>0.123</v>
      </c>
      <c r="G184" s="974"/>
      <c r="H184" s="974">
        <v>0.6</v>
      </c>
      <c r="I184" s="974">
        <v>10</v>
      </c>
      <c r="J184" s="974">
        <v>135.9</v>
      </c>
      <c r="K184" s="974">
        <v>0</v>
      </c>
      <c r="L184" s="974"/>
      <c r="M184" s="974"/>
      <c r="N184" s="974"/>
      <c r="O184" s="974">
        <v>0</v>
      </c>
      <c r="P184" s="974">
        <v>0</v>
      </c>
      <c r="Q184" s="974">
        <v>0</v>
      </c>
      <c r="R184" s="974">
        <v>0.2576</v>
      </c>
      <c r="S184" s="974"/>
    </row>
    <row r="185" spans="2:19" x14ac:dyDescent="0.25">
      <c r="B185" s="974"/>
      <c r="C185" s="974"/>
      <c r="D185" s="974"/>
      <c r="E185" s="974"/>
      <c r="F185" s="974"/>
      <c r="G185" s="974">
        <v>0.123</v>
      </c>
      <c r="H185" s="974"/>
      <c r="I185" s="974"/>
      <c r="J185" s="974"/>
      <c r="K185" s="974">
        <v>0</v>
      </c>
      <c r="L185" s="974">
        <v>2.7799999999999998E-2</v>
      </c>
      <c r="M185" s="974">
        <v>1</v>
      </c>
      <c r="N185" s="974">
        <v>7.4999999999999997E-2</v>
      </c>
      <c r="O185" s="974">
        <v>0.81</v>
      </c>
      <c r="P185" s="974">
        <v>0.06</v>
      </c>
      <c r="Q185" s="974">
        <v>1.44</v>
      </c>
      <c r="R185" s="974"/>
      <c r="S185" s="974"/>
    </row>
    <row r="186" spans="2:19" x14ac:dyDescent="0.25">
      <c r="B186" s="974">
        <v>55</v>
      </c>
      <c r="C186" s="974" t="s">
        <v>968</v>
      </c>
      <c r="D186" s="974">
        <v>45.54</v>
      </c>
      <c r="E186" s="974">
        <v>1.7000000000000001E-2</v>
      </c>
      <c r="F186" s="974">
        <v>8.7999999999999995E-2</v>
      </c>
      <c r="G186" s="974"/>
      <c r="H186" s="974">
        <v>0.6</v>
      </c>
      <c r="I186" s="974">
        <v>10</v>
      </c>
      <c r="J186" s="974">
        <v>135.9</v>
      </c>
      <c r="K186" s="974">
        <v>0</v>
      </c>
      <c r="L186" s="974"/>
      <c r="M186" s="974"/>
      <c r="N186" s="974"/>
      <c r="O186" s="974">
        <v>0</v>
      </c>
      <c r="P186" s="974">
        <v>0</v>
      </c>
      <c r="Q186" s="974">
        <v>0</v>
      </c>
      <c r="R186" s="974">
        <v>0.2555</v>
      </c>
      <c r="S186" s="974"/>
    </row>
    <row r="187" spans="2:19" x14ac:dyDescent="0.25">
      <c r="B187" s="974"/>
      <c r="C187" s="974"/>
      <c r="D187" s="974"/>
      <c r="E187" s="974"/>
      <c r="F187" s="974"/>
      <c r="G187" s="974">
        <v>8.7999999999999995E-2</v>
      </c>
      <c r="H187" s="974"/>
      <c r="I187" s="974"/>
      <c r="J187" s="974"/>
      <c r="K187" s="974">
        <v>0</v>
      </c>
      <c r="L187" s="974">
        <v>0.02</v>
      </c>
      <c r="M187" s="974">
        <v>1</v>
      </c>
      <c r="N187" s="974">
        <v>7.4999999999999997E-2</v>
      </c>
      <c r="O187" s="974">
        <v>0.75</v>
      </c>
      <c r="P187" s="974">
        <v>0.06</v>
      </c>
      <c r="Q187" s="974">
        <v>1.25</v>
      </c>
      <c r="R187" s="974"/>
      <c r="S187" s="974"/>
    </row>
    <row r="188" spans="2:19" x14ac:dyDescent="0.25">
      <c r="B188" s="974">
        <v>56</v>
      </c>
      <c r="C188" s="974" t="s">
        <v>969</v>
      </c>
      <c r="D188" s="974">
        <v>99.3</v>
      </c>
      <c r="E188" s="974">
        <v>2.1999999999999999E-2</v>
      </c>
      <c r="F188" s="974">
        <v>0.27600000000000002</v>
      </c>
      <c r="G188" s="974"/>
      <c r="H188" s="974">
        <v>0.6</v>
      </c>
      <c r="I188" s="974">
        <v>10</v>
      </c>
      <c r="J188" s="974">
        <v>135.9</v>
      </c>
      <c r="K188" s="974">
        <v>0</v>
      </c>
      <c r="L188" s="974"/>
      <c r="M188" s="974"/>
      <c r="N188" s="974"/>
      <c r="O188" s="974">
        <v>0</v>
      </c>
      <c r="P188" s="974">
        <v>0</v>
      </c>
      <c r="Q188" s="974">
        <v>0</v>
      </c>
      <c r="R188" s="974">
        <v>0.28670000000000001</v>
      </c>
      <c r="S188" s="974"/>
    </row>
    <row r="189" spans="2:19" x14ac:dyDescent="0.25">
      <c r="B189" s="974"/>
      <c r="C189" s="974"/>
      <c r="D189" s="974"/>
      <c r="E189" s="974"/>
      <c r="F189" s="974"/>
      <c r="G189" s="974">
        <v>0.27600000000000002</v>
      </c>
      <c r="H189" s="974"/>
      <c r="I189" s="974"/>
      <c r="J189" s="974"/>
      <c r="K189" s="974">
        <v>0</v>
      </c>
      <c r="L189" s="974">
        <v>6.2399999999999997E-2</v>
      </c>
      <c r="M189" s="974">
        <v>1</v>
      </c>
      <c r="N189" s="974">
        <v>7.4999999999999997E-2</v>
      </c>
      <c r="O189" s="974">
        <v>1.06</v>
      </c>
      <c r="P189" s="974">
        <v>0.08</v>
      </c>
      <c r="Q189" s="974">
        <v>1.93</v>
      </c>
      <c r="R189" s="974"/>
      <c r="S189" s="974"/>
    </row>
    <row r="190" spans="2:19" x14ac:dyDescent="0.25">
      <c r="B190" s="974">
        <v>57</v>
      </c>
      <c r="C190" s="974" t="s">
        <v>970</v>
      </c>
      <c r="D190" s="974">
        <v>44.82</v>
      </c>
      <c r="E190" s="974">
        <v>2.5000000000000001E-2</v>
      </c>
      <c r="F190" s="974">
        <v>7.4999999999999997E-2</v>
      </c>
      <c r="G190" s="974"/>
      <c r="H190" s="974">
        <v>0.6</v>
      </c>
      <c r="I190" s="974">
        <v>10</v>
      </c>
      <c r="J190" s="974">
        <v>135.9</v>
      </c>
      <c r="K190" s="974">
        <v>0</v>
      </c>
      <c r="L190" s="974"/>
      <c r="M190" s="974"/>
      <c r="N190" s="974"/>
      <c r="O190" s="974">
        <v>0</v>
      </c>
      <c r="P190" s="974">
        <v>0</v>
      </c>
      <c r="Q190" s="974">
        <v>0</v>
      </c>
      <c r="R190" s="974">
        <v>0.30940000000000001</v>
      </c>
      <c r="S190" s="974"/>
    </row>
    <row r="191" spans="2:19" x14ac:dyDescent="0.25">
      <c r="B191" s="974"/>
      <c r="C191" s="974"/>
      <c r="D191" s="974"/>
      <c r="E191" s="974"/>
      <c r="F191" s="974"/>
      <c r="G191" s="974">
        <v>7.4999999999999997E-2</v>
      </c>
      <c r="H191" s="974"/>
      <c r="I191" s="974"/>
      <c r="J191" s="974"/>
      <c r="K191" s="974">
        <v>0</v>
      </c>
      <c r="L191" s="974">
        <v>1.7000000000000001E-2</v>
      </c>
      <c r="M191" s="974">
        <v>1</v>
      </c>
      <c r="N191" s="974">
        <v>7.4999999999999997E-2</v>
      </c>
      <c r="O191" s="974">
        <v>0.84</v>
      </c>
      <c r="P191" s="974">
        <v>0.05</v>
      </c>
      <c r="Q191" s="974">
        <v>1.07</v>
      </c>
      <c r="R191" s="974"/>
      <c r="S191" s="974"/>
    </row>
    <row r="192" spans="2:19" x14ac:dyDescent="0.25">
      <c r="B192" s="974">
        <v>58</v>
      </c>
      <c r="C192" s="974" t="s">
        <v>971</v>
      </c>
      <c r="D192" s="974">
        <v>45.63</v>
      </c>
      <c r="E192" s="974">
        <v>2.5000000000000001E-2</v>
      </c>
      <c r="F192" s="974">
        <v>9.1999999999999998E-2</v>
      </c>
      <c r="G192" s="974"/>
      <c r="H192" s="974">
        <v>0.6</v>
      </c>
      <c r="I192" s="974">
        <v>10</v>
      </c>
      <c r="J192" s="974">
        <v>135.9</v>
      </c>
      <c r="K192" s="974">
        <v>0</v>
      </c>
      <c r="L192" s="974"/>
      <c r="M192" s="974"/>
      <c r="N192" s="974"/>
      <c r="O192" s="974">
        <v>0</v>
      </c>
      <c r="P192" s="974">
        <v>0</v>
      </c>
      <c r="Q192" s="974">
        <v>0</v>
      </c>
      <c r="R192" s="974">
        <v>0.30659999999999998</v>
      </c>
      <c r="S192" s="974"/>
    </row>
    <row r="193" spans="2:19" x14ac:dyDescent="0.25">
      <c r="B193" s="974"/>
      <c r="C193" s="974"/>
      <c r="D193" s="974"/>
      <c r="E193" s="974"/>
      <c r="F193" s="974"/>
      <c r="G193" s="974">
        <v>9.1999999999999998E-2</v>
      </c>
      <c r="H193" s="974"/>
      <c r="I193" s="974"/>
      <c r="J193" s="974"/>
      <c r="K193" s="974">
        <v>0</v>
      </c>
      <c r="L193" s="974">
        <v>2.0799999999999999E-2</v>
      </c>
      <c r="M193" s="974">
        <v>1</v>
      </c>
      <c r="N193" s="974">
        <v>7.4999999999999997E-2</v>
      </c>
      <c r="O193" s="974">
        <v>0.87</v>
      </c>
      <c r="P193" s="974">
        <v>0.06</v>
      </c>
      <c r="Q193" s="974">
        <v>1.18</v>
      </c>
      <c r="R193" s="974"/>
      <c r="S193" s="974"/>
    </row>
    <row r="194" spans="2:19" x14ac:dyDescent="0.25">
      <c r="B194" s="974">
        <v>59</v>
      </c>
      <c r="C194" s="974" t="s">
        <v>972</v>
      </c>
      <c r="D194" s="974">
        <v>44.5</v>
      </c>
      <c r="E194" s="974">
        <v>1.4999999999999999E-2</v>
      </c>
      <c r="F194" s="974">
        <v>0.1</v>
      </c>
      <c r="G194" s="974"/>
      <c r="H194" s="974">
        <v>0.6</v>
      </c>
      <c r="I194" s="974">
        <v>10</v>
      </c>
      <c r="J194" s="974">
        <v>135.9</v>
      </c>
      <c r="K194" s="974">
        <v>0</v>
      </c>
      <c r="L194" s="974"/>
      <c r="M194" s="974"/>
      <c r="N194" s="974"/>
      <c r="O194" s="974">
        <v>0</v>
      </c>
      <c r="P194" s="974">
        <v>0</v>
      </c>
      <c r="Q194" s="974">
        <v>0</v>
      </c>
      <c r="R194" s="974">
        <v>0.2344</v>
      </c>
      <c r="S194" s="974"/>
    </row>
    <row r="195" spans="2:19" x14ac:dyDescent="0.25">
      <c r="B195" s="974"/>
      <c r="C195" s="974"/>
      <c r="D195" s="974"/>
      <c r="E195" s="974"/>
      <c r="F195" s="974"/>
      <c r="G195" s="974">
        <v>0.1</v>
      </c>
      <c r="H195" s="974"/>
      <c r="I195" s="974"/>
      <c r="J195" s="974"/>
      <c r="K195" s="974">
        <v>0</v>
      </c>
      <c r="L195" s="974">
        <v>2.2700000000000001E-2</v>
      </c>
      <c r="M195" s="974">
        <v>1</v>
      </c>
      <c r="N195" s="974">
        <v>7.4999999999999997E-2</v>
      </c>
      <c r="O195" s="974">
        <v>0.72</v>
      </c>
      <c r="P195" s="974">
        <v>0.06</v>
      </c>
      <c r="Q195" s="974">
        <v>1.38</v>
      </c>
      <c r="R195" s="974"/>
      <c r="S195" s="974"/>
    </row>
    <row r="196" spans="2:19" x14ac:dyDescent="0.25">
      <c r="B196" s="974">
        <v>60</v>
      </c>
      <c r="C196" s="974" t="s">
        <v>973</v>
      </c>
      <c r="D196" s="974">
        <v>27.08</v>
      </c>
      <c r="E196" s="974">
        <v>0</v>
      </c>
      <c r="F196" s="974">
        <v>5.3999999999999999E-2</v>
      </c>
      <c r="G196" s="974"/>
      <c r="H196" s="974">
        <v>0.6</v>
      </c>
      <c r="I196" s="974">
        <v>10</v>
      </c>
      <c r="J196" s="974">
        <v>135.9</v>
      </c>
      <c r="K196" s="974">
        <v>0</v>
      </c>
      <c r="L196" s="974"/>
      <c r="M196" s="974"/>
      <c r="N196" s="974"/>
      <c r="O196" s="974">
        <v>0</v>
      </c>
      <c r="P196" s="974">
        <v>0</v>
      </c>
      <c r="Q196" s="974">
        <v>0</v>
      </c>
      <c r="R196" s="974">
        <v>3.7199999999999997E-2</v>
      </c>
      <c r="S196" s="974"/>
    </row>
    <row r="197" spans="2:19" x14ac:dyDescent="0.25">
      <c r="B197" s="974"/>
      <c r="C197" s="974"/>
      <c r="D197" s="974"/>
      <c r="E197" s="974"/>
      <c r="F197" s="974"/>
      <c r="G197" s="974">
        <v>5.3999999999999999E-2</v>
      </c>
      <c r="H197" s="974"/>
      <c r="I197" s="974"/>
      <c r="J197" s="974"/>
      <c r="K197" s="974">
        <v>1.2200000000000001E-2</v>
      </c>
      <c r="L197" s="974"/>
      <c r="M197" s="974"/>
      <c r="N197" s="974"/>
      <c r="O197" s="974">
        <v>0.15</v>
      </c>
      <c r="P197" s="974">
        <v>0.09</v>
      </c>
      <c r="Q197" s="974">
        <v>2.27</v>
      </c>
      <c r="R197" s="974"/>
      <c r="S197" s="974"/>
    </row>
    <row r="198" spans="2:19" x14ac:dyDescent="0.25">
      <c r="B198" s="974">
        <v>61</v>
      </c>
      <c r="C198" s="974" t="s">
        <v>974</v>
      </c>
      <c r="D198" s="974">
        <v>57.74</v>
      </c>
      <c r="E198" s="974">
        <v>5.0000000000000001E-3</v>
      </c>
      <c r="F198" s="974">
        <v>0.126</v>
      </c>
      <c r="G198" s="974"/>
      <c r="H198" s="974">
        <v>0.6</v>
      </c>
      <c r="I198" s="974">
        <v>10</v>
      </c>
      <c r="J198" s="974">
        <v>135.9</v>
      </c>
      <c r="K198" s="974">
        <v>0</v>
      </c>
      <c r="L198" s="974"/>
      <c r="M198" s="974"/>
      <c r="N198" s="974"/>
      <c r="O198" s="974">
        <v>0</v>
      </c>
      <c r="P198" s="974">
        <v>0</v>
      </c>
      <c r="Q198" s="974">
        <v>0</v>
      </c>
      <c r="R198" s="974">
        <v>0.1421</v>
      </c>
      <c r="S198" s="974" t="s">
        <v>889</v>
      </c>
    </row>
    <row r="199" spans="2:19" x14ac:dyDescent="0.25">
      <c r="B199" s="974"/>
      <c r="C199" s="974"/>
      <c r="D199" s="974"/>
      <c r="E199" s="974"/>
      <c r="F199" s="974"/>
      <c r="G199" s="974">
        <v>0.126</v>
      </c>
      <c r="H199" s="974"/>
      <c r="I199" s="974"/>
      <c r="J199" s="974"/>
      <c r="K199" s="974">
        <v>2.86E-2</v>
      </c>
      <c r="L199" s="974"/>
      <c r="M199" s="974"/>
      <c r="N199" s="974"/>
      <c r="O199" s="974">
        <v>0.51</v>
      </c>
      <c r="P199" s="974">
        <v>0.08</v>
      </c>
      <c r="Q199" s="974">
        <v>1.87</v>
      </c>
      <c r="R199" s="974"/>
      <c r="S199" s="974"/>
    </row>
    <row r="200" spans="2:19" x14ac:dyDescent="0.25">
      <c r="B200" s="974"/>
      <c r="C200" s="974" t="s">
        <v>975</v>
      </c>
      <c r="D200" s="974">
        <v>7.11</v>
      </c>
      <c r="E200" s="974">
        <v>1E-3</v>
      </c>
      <c r="F200" s="974">
        <v>0</v>
      </c>
      <c r="G200" s="974"/>
      <c r="H200" s="974">
        <v>0.6</v>
      </c>
      <c r="I200" s="974">
        <v>17.32</v>
      </c>
      <c r="J200" s="974">
        <v>135.9</v>
      </c>
      <c r="K200" s="974">
        <v>2.86E-2</v>
      </c>
      <c r="L200" s="974"/>
      <c r="M200" s="974"/>
      <c r="N200" s="974"/>
      <c r="O200" s="974">
        <v>0.22</v>
      </c>
      <c r="P200" s="974">
        <v>0.1</v>
      </c>
      <c r="Q200" s="974">
        <v>3.55</v>
      </c>
      <c r="R200" s="974">
        <v>6.8500000000000005E-2</v>
      </c>
      <c r="S200" s="974"/>
    </row>
    <row r="201" spans="2:19" x14ac:dyDescent="0.25">
      <c r="B201" s="974"/>
      <c r="C201" s="974"/>
      <c r="D201" s="974"/>
      <c r="E201" s="974"/>
      <c r="F201" s="974"/>
      <c r="G201" s="974">
        <v>0.126</v>
      </c>
      <c r="H201" s="974"/>
      <c r="I201" s="974"/>
      <c r="J201" s="974"/>
      <c r="K201" s="974">
        <v>2.86E-2</v>
      </c>
      <c r="L201" s="974"/>
      <c r="M201" s="974"/>
      <c r="N201" s="974"/>
      <c r="O201" s="974">
        <v>0.22</v>
      </c>
      <c r="P201" s="974">
        <v>0.1</v>
      </c>
      <c r="Q201" s="974">
        <v>3.55</v>
      </c>
      <c r="R201" s="974"/>
      <c r="S201" s="974"/>
    </row>
    <row r="202" spans="2:19" x14ac:dyDescent="0.25">
      <c r="B202" s="974"/>
      <c r="C202" s="974" t="s">
        <v>976</v>
      </c>
      <c r="D202" s="974">
        <v>6.12</v>
      </c>
      <c r="E202" s="974">
        <v>2.3E-2</v>
      </c>
      <c r="F202" s="974">
        <v>0</v>
      </c>
      <c r="G202" s="974"/>
      <c r="H202" s="974">
        <v>0.6</v>
      </c>
      <c r="I202" s="974">
        <v>17.54</v>
      </c>
      <c r="J202" s="974">
        <v>135.9</v>
      </c>
      <c r="K202" s="974">
        <v>5.8200000000000002E-2</v>
      </c>
      <c r="L202" s="974"/>
      <c r="M202" s="974"/>
      <c r="N202" s="974"/>
      <c r="O202" s="974">
        <v>0.88</v>
      </c>
      <c r="P202" s="974">
        <v>7.0000000000000007E-2</v>
      </c>
      <c r="Q202" s="974">
        <v>2.5099999999999998</v>
      </c>
      <c r="R202" s="974">
        <v>0.32779999999999998</v>
      </c>
      <c r="S202" s="974" t="s">
        <v>889</v>
      </c>
    </row>
    <row r="203" spans="2:19" x14ac:dyDescent="0.25">
      <c r="B203" s="974"/>
      <c r="C203" s="974"/>
      <c r="D203" s="974"/>
      <c r="E203" s="974"/>
      <c r="F203" s="974"/>
      <c r="G203" s="974">
        <v>0.25700000000000001</v>
      </c>
      <c r="H203" s="974"/>
      <c r="I203" s="974"/>
      <c r="J203" s="974"/>
      <c r="K203" s="974">
        <v>5.8200000000000002E-2</v>
      </c>
      <c r="L203" s="974"/>
      <c r="M203" s="974"/>
      <c r="N203" s="974"/>
      <c r="O203" s="974">
        <v>0.88</v>
      </c>
      <c r="P203" s="974">
        <v>7.0000000000000007E-2</v>
      </c>
      <c r="Q203" s="974">
        <v>2.5099999999999998</v>
      </c>
      <c r="R203" s="974"/>
      <c r="S203" s="974"/>
    </row>
    <row r="204" spans="2:19" x14ac:dyDescent="0.25">
      <c r="B204" s="974">
        <v>62</v>
      </c>
      <c r="C204" s="974" t="s">
        <v>977</v>
      </c>
      <c r="D204" s="974">
        <v>44.59</v>
      </c>
      <c r="E204" s="974">
        <v>4.0000000000000001E-3</v>
      </c>
      <c r="F204" s="974">
        <v>7.3999999999999996E-2</v>
      </c>
      <c r="G204" s="974"/>
      <c r="H204" s="974">
        <v>0.6</v>
      </c>
      <c r="I204" s="974">
        <v>10</v>
      </c>
      <c r="J204" s="974">
        <v>135.9</v>
      </c>
      <c r="K204" s="974">
        <v>0</v>
      </c>
      <c r="L204" s="974"/>
      <c r="M204" s="974"/>
      <c r="N204" s="974"/>
      <c r="O204" s="974">
        <v>0</v>
      </c>
      <c r="P204" s="974">
        <v>0</v>
      </c>
      <c r="Q204" s="974">
        <v>0</v>
      </c>
      <c r="R204" s="974">
        <v>0.12659999999999999</v>
      </c>
      <c r="S204" s="974" t="s">
        <v>889</v>
      </c>
    </row>
    <row r="205" spans="2:19" x14ac:dyDescent="0.25">
      <c r="B205" s="974"/>
      <c r="C205" s="974"/>
      <c r="D205" s="974"/>
      <c r="E205" s="974"/>
      <c r="F205" s="974"/>
      <c r="G205" s="974">
        <v>7.3999999999999996E-2</v>
      </c>
      <c r="H205" s="974"/>
      <c r="I205" s="974"/>
      <c r="J205" s="974"/>
      <c r="K205" s="974">
        <v>1.6899999999999998E-2</v>
      </c>
      <c r="L205" s="974"/>
      <c r="M205" s="974"/>
      <c r="N205" s="974"/>
      <c r="O205" s="974">
        <v>0.42</v>
      </c>
      <c r="P205" s="974">
        <v>7.0000000000000007E-2</v>
      </c>
      <c r="Q205" s="974">
        <v>1.58</v>
      </c>
      <c r="R205" s="974"/>
      <c r="S205" s="974"/>
    </row>
    <row r="206" spans="2:19" x14ac:dyDescent="0.25">
      <c r="B206" s="974"/>
      <c r="C206" s="974" t="s">
        <v>978</v>
      </c>
      <c r="D206" s="974">
        <v>7.36</v>
      </c>
      <c r="E206" s="974">
        <v>1E-3</v>
      </c>
      <c r="F206" s="974">
        <v>0</v>
      </c>
      <c r="G206" s="974"/>
      <c r="H206" s="974">
        <v>0.6</v>
      </c>
      <c r="I206" s="974">
        <v>18.190000000000001</v>
      </c>
      <c r="J206" s="974">
        <v>135.9</v>
      </c>
      <c r="K206" s="974">
        <v>1.6899999999999998E-2</v>
      </c>
      <c r="L206" s="974"/>
      <c r="M206" s="974"/>
      <c r="N206" s="974"/>
      <c r="O206" s="974">
        <v>0.2</v>
      </c>
      <c r="P206" s="974">
        <v>0.08</v>
      </c>
      <c r="Q206" s="974">
        <v>2.87</v>
      </c>
      <c r="R206" s="974">
        <v>6.8500000000000005E-2</v>
      </c>
      <c r="S206" s="974"/>
    </row>
    <row r="207" spans="2:19" x14ac:dyDescent="0.25">
      <c r="B207" s="974"/>
      <c r="C207" s="974"/>
      <c r="D207" s="974"/>
      <c r="E207" s="974"/>
      <c r="F207" s="974"/>
      <c r="G207" s="974">
        <v>7.3999999999999996E-2</v>
      </c>
      <c r="H207" s="974"/>
      <c r="I207" s="974"/>
      <c r="J207" s="974"/>
      <c r="K207" s="974">
        <v>1.6899999999999998E-2</v>
      </c>
      <c r="L207" s="974"/>
      <c r="M207" s="974"/>
      <c r="N207" s="974"/>
      <c r="O207" s="974">
        <v>0.2</v>
      </c>
      <c r="P207" s="974">
        <v>0.08</v>
      </c>
      <c r="Q207" s="974">
        <v>2.87</v>
      </c>
      <c r="R207" s="974"/>
      <c r="S207" s="974"/>
    </row>
    <row r="208" spans="2:19" x14ac:dyDescent="0.25">
      <c r="B208" s="974"/>
      <c r="C208" s="974" t="s">
        <v>979</v>
      </c>
      <c r="D208" s="974">
        <v>6.09</v>
      </c>
      <c r="E208" s="974">
        <v>2.5000000000000001E-2</v>
      </c>
      <c r="F208" s="974">
        <v>0</v>
      </c>
      <c r="G208" s="974"/>
      <c r="H208" s="974">
        <v>0.6</v>
      </c>
      <c r="I208" s="974">
        <v>19.21</v>
      </c>
      <c r="J208" s="974">
        <v>135.9</v>
      </c>
      <c r="K208" s="974">
        <v>3.5999999999999997E-2</v>
      </c>
      <c r="L208" s="974"/>
      <c r="M208" s="974"/>
      <c r="N208" s="974"/>
      <c r="O208" s="974">
        <v>0.82</v>
      </c>
      <c r="P208" s="974">
        <v>0.06</v>
      </c>
      <c r="Q208" s="974">
        <v>2.0099999999999998</v>
      </c>
      <c r="R208" s="974">
        <v>0.34010000000000001</v>
      </c>
      <c r="S208" s="974" t="s">
        <v>889</v>
      </c>
    </row>
    <row r="209" spans="2:19" x14ac:dyDescent="0.25">
      <c r="B209" s="974"/>
      <c r="C209" s="974"/>
      <c r="D209" s="974"/>
      <c r="E209" s="974"/>
      <c r="F209" s="974"/>
      <c r="G209" s="974">
        <v>0.159</v>
      </c>
      <c r="H209" s="974"/>
      <c r="I209" s="974"/>
      <c r="J209" s="974"/>
      <c r="K209" s="974">
        <v>3.5999999999999997E-2</v>
      </c>
      <c r="L209" s="974"/>
      <c r="M209" s="974"/>
      <c r="N209" s="974"/>
      <c r="O209" s="974">
        <v>0.82</v>
      </c>
      <c r="P209" s="974">
        <v>0.06</v>
      </c>
      <c r="Q209" s="974">
        <v>2.0099999999999998</v>
      </c>
      <c r="R209" s="974"/>
      <c r="S209" s="974"/>
    </row>
    <row r="210" spans="2:19" x14ac:dyDescent="0.25">
      <c r="B210" s="974">
        <v>63</v>
      </c>
      <c r="C210" s="974" t="s">
        <v>980</v>
      </c>
      <c r="D210" s="974">
        <v>44.36</v>
      </c>
      <c r="E210" s="974">
        <v>5.0000000000000001E-3</v>
      </c>
      <c r="F210" s="974">
        <v>9.2999999999999999E-2</v>
      </c>
      <c r="G210" s="974"/>
      <c r="H210" s="974">
        <v>0.6</v>
      </c>
      <c r="I210" s="974">
        <v>10</v>
      </c>
      <c r="J210" s="974">
        <v>135.9</v>
      </c>
      <c r="K210" s="974">
        <v>0</v>
      </c>
      <c r="L210" s="974"/>
      <c r="M210" s="974"/>
      <c r="N210" s="974"/>
      <c r="O210" s="974">
        <v>0</v>
      </c>
      <c r="P210" s="974">
        <v>0</v>
      </c>
      <c r="Q210" s="974">
        <v>0</v>
      </c>
      <c r="R210" s="974">
        <v>0.1366</v>
      </c>
      <c r="S210" s="974" t="s">
        <v>889</v>
      </c>
    </row>
    <row r="211" spans="2:19" x14ac:dyDescent="0.25">
      <c r="B211" s="974"/>
      <c r="C211" s="974"/>
      <c r="D211" s="974"/>
      <c r="E211" s="974"/>
      <c r="F211" s="974"/>
      <c r="G211" s="974">
        <v>9.2999999999999999E-2</v>
      </c>
      <c r="H211" s="974"/>
      <c r="I211" s="974"/>
      <c r="J211" s="974"/>
      <c r="K211" s="974">
        <v>2.1000000000000001E-2</v>
      </c>
      <c r="L211" s="974"/>
      <c r="M211" s="974"/>
      <c r="N211" s="974"/>
      <c r="O211" s="974">
        <v>0.46</v>
      </c>
      <c r="P211" s="974">
        <v>7.0000000000000007E-2</v>
      </c>
      <c r="Q211" s="974">
        <v>1.68</v>
      </c>
      <c r="R211" s="974"/>
      <c r="S211" s="974"/>
    </row>
    <row r="212" spans="2:19" x14ac:dyDescent="0.25">
      <c r="B212" s="974"/>
      <c r="C212" s="974" t="s">
        <v>981</v>
      </c>
      <c r="D212" s="974">
        <v>6.72</v>
      </c>
      <c r="E212" s="974">
        <v>1E-3</v>
      </c>
      <c r="F212" s="974">
        <v>0</v>
      </c>
      <c r="G212" s="974"/>
      <c r="H212" s="974">
        <v>0.6</v>
      </c>
      <c r="I212" s="974">
        <v>19.149999999999999</v>
      </c>
      <c r="J212" s="974">
        <v>135.9</v>
      </c>
      <c r="K212" s="974">
        <v>2.1000000000000001E-2</v>
      </c>
      <c r="L212" s="974"/>
      <c r="M212" s="974"/>
      <c r="N212" s="974"/>
      <c r="O212" s="974">
        <v>0.21</v>
      </c>
      <c r="P212" s="974">
        <v>0.09</v>
      </c>
      <c r="Q212" s="974">
        <v>3.14</v>
      </c>
      <c r="R212" s="974">
        <v>6.8500000000000005E-2</v>
      </c>
      <c r="S212" s="974"/>
    </row>
    <row r="213" spans="2:19" x14ac:dyDescent="0.25">
      <c r="B213" s="974"/>
      <c r="C213" s="974"/>
      <c r="D213" s="974"/>
      <c r="E213" s="974"/>
      <c r="F213" s="974"/>
      <c r="G213" s="974">
        <v>9.2999999999999999E-2</v>
      </c>
      <c r="H213" s="974"/>
      <c r="I213" s="974"/>
      <c r="J213" s="974"/>
      <c r="K213" s="974">
        <v>2.1000000000000001E-2</v>
      </c>
      <c r="L213" s="974"/>
      <c r="M213" s="974"/>
      <c r="N213" s="974"/>
      <c r="O213" s="974">
        <v>0.21</v>
      </c>
      <c r="P213" s="974">
        <v>0.09</v>
      </c>
      <c r="Q213" s="974">
        <v>3.14</v>
      </c>
      <c r="R213" s="974"/>
      <c r="S213" s="974"/>
    </row>
    <row r="214" spans="2:19" x14ac:dyDescent="0.25">
      <c r="B214" s="974"/>
      <c r="C214" s="974" t="s">
        <v>982</v>
      </c>
      <c r="D214" s="974">
        <v>5.81</v>
      </c>
      <c r="E214" s="974">
        <v>2.1999999999999999E-2</v>
      </c>
      <c r="F214" s="974">
        <v>0</v>
      </c>
      <c r="G214" s="974"/>
      <c r="H214" s="974">
        <v>0.6</v>
      </c>
      <c r="I214" s="974">
        <v>20.14</v>
      </c>
      <c r="J214" s="974">
        <v>135.9</v>
      </c>
      <c r="K214" s="974">
        <v>4.1000000000000002E-2</v>
      </c>
      <c r="L214" s="974"/>
      <c r="M214" s="974"/>
      <c r="N214" s="974"/>
      <c r="O214" s="974">
        <v>0.81</v>
      </c>
      <c r="P214" s="974">
        <v>7.0000000000000007E-2</v>
      </c>
      <c r="Q214" s="974">
        <v>2.17</v>
      </c>
      <c r="R214" s="974">
        <v>0.32419999999999999</v>
      </c>
      <c r="S214" s="974" t="s">
        <v>889</v>
      </c>
    </row>
    <row r="215" spans="2:19" x14ac:dyDescent="0.25">
      <c r="B215" s="974"/>
      <c r="C215" s="974"/>
      <c r="D215" s="974"/>
      <c r="E215" s="974"/>
      <c r="F215" s="974"/>
      <c r="G215" s="974">
        <v>0.18099999999999999</v>
      </c>
      <c r="H215" s="974"/>
      <c r="I215" s="974"/>
      <c r="J215" s="974"/>
      <c r="K215" s="974">
        <v>4.1000000000000002E-2</v>
      </c>
      <c r="L215" s="974"/>
      <c r="M215" s="974"/>
      <c r="N215" s="974"/>
      <c r="O215" s="974">
        <v>0.81</v>
      </c>
      <c r="P215" s="974">
        <v>7.0000000000000007E-2</v>
      </c>
      <c r="Q215" s="974">
        <v>2.17</v>
      </c>
      <c r="R215" s="974"/>
      <c r="S215" s="974"/>
    </row>
    <row r="216" spans="2:19" x14ac:dyDescent="0.25">
      <c r="B216" s="974">
        <v>64</v>
      </c>
      <c r="C216" s="974" t="s">
        <v>983</v>
      </c>
      <c r="D216" s="974">
        <v>46.09</v>
      </c>
      <c r="E216" s="974">
        <v>4.0000000000000001E-3</v>
      </c>
      <c r="F216" s="974">
        <v>8.6999999999999994E-2</v>
      </c>
      <c r="G216" s="974"/>
      <c r="H216" s="974">
        <v>0.6</v>
      </c>
      <c r="I216" s="974">
        <v>10</v>
      </c>
      <c r="J216" s="974">
        <v>135.9</v>
      </c>
      <c r="K216" s="974">
        <v>0</v>
      </c>
      <c r="L216" s="974"/>
      <c r="M216" s="974"/>
      <c r="N216" s="974"/>
      <c r="O216" s="974">
        <v>0</v>
      </c>
      <c r="P216" s="974">
        <v>0</v>
      </c>
      <c r="Q216" s="974">
        <v>0</v>
      </c>
      <c r="R216" s="974">
        <v>0.1245</v>
      </c>
      <c r="S216" s="974" t="s">
        <v>889</v>
      </c>
    </row>
    <row r="217" spans="2:19" x14ac:dyDescent="0.25">
      <c r="B217" s="974"/>
      <c r="C217" s="974"/>
      <c r="D217" s="974"/>
      <c r="E217" s="974"/>
      <c r="F217" s="974"/>
      <c r="G217" s="974">
        <v>8.6999999999999994E-2</v>
      </c>
      <c r="H217" s="974"/>
      <c r="I217" s="974"/>
      <c r="J217" s="974"/>
      <c r="K217" s="974">
        <v>1.9599999999999999E-2</v>
      </c>
      <c r="L217" s="974"/>
      <c r="M217" s="974"/>
      <c r="N217" s="974"/>
      <c r="O217" s="974">
        <v>0.43</v>
      </c>
      <c r="P217" s="974">
        <v>7.0000000000000007E-2</v>
      </c>
      <c r="Q217" s="974">
        <v>1.69</v>
      </c>
      <c r="R217" s="974"/>
      <c r="S217" s="974"/>
    </row>
    <row r="218" spans="2:19" x14ac:dyDescent="0.25">
      <c r="B218" s="974"/>
      <c r="C218" s="974" t="s">
        <v>984</v>
      </c>
      <c r="D218" s="974">
        <v>6.93</v>
      </c>
      <c r="E218" s="974">
        <v>1E-3</v>
      </c>
      <c r="F218" s="974">
        <v>0</v>
      </c>
      <c r="G218" s="974"/>
      <c r="H218" s="974">
        <v>0.6</v>
      </c>
      <c r="I218" s="974">
        <v>18</v>
      </c>
      <c r="J218" s="974">
        <v>135.9</v>
      </c>
      <c r="K218" s="974">
        <v>1.9599999999999999E-2</v>
      </c>
      <c r="L218" s="974"/>
      <c r="M218" s="974"/>
      <c r="N218" s="974"/>
      <c r="O218" s="974">
        <v>0.2</v>
      </c>
      <c r="P218" s="974">
        <v>0.09</v>
      </c>
      <c r="Q218" s="974">
        <v>3.05</v>
      </c>
      <c r="R218" s="974">
        <v>6.8500000000000005E-2</v>
      </c>
      <c r="S218" s="974"/>
    </row>
    <row r="219" spans="2:19" x14ac:dyDescent="0.25">
      <c r="B219" s="974"/>
      <c r="C219" s="974"/>
      <c r="D219" s="974"/>
      <c r="E219" s="974"/>
      <c r="F219" s="974"/>
      <c r="G219" s="974">
        <v>8.6999999999999994E-2</v>
      </c>
      <c r="H219" s="974"/>
      <c r="I219" s="974"/>
      <c r="J219" s="974"/>
      <c r="K219" s="974">
        <v>1.9599999999999999E-2</v>
      </c>
      <c r="L219" s="974"/>
      <c r="M219" s="974"/>
      <c r="N219" s="974"/>
      <c r="O219" s="974">
        <v>0.2</v>
      </c>
      <c r="P219" s="974">
        <v>0.09</v>
      </c>
      <c r="Q219" s="974">
        <v>3.05</v>
      </c>
      <c r="R219" s="974"/>
      <c r="S219" s="974"/>
    </row>
    <row r="220" spans="2:19" x14ac:dyDescent="0.25">
      <c r="B220" s="974"/>
      <c r="C220" s="974" t="s">
        <v>985</v>
      </c>
      <c r="D220" s="974">
        <v>6.03</v>
      </c>
      <c r="E220" s="974">
        <v>2.8000000000000001E-2</v>
      </c>
      <c r="F220" s="974">
        <v>0</v>
      </c>
      <c r="G220" s="974"/>
      <c r="H220" s="974">
        <v>0.6</v>
      </c>
      <c r="I220" s="974">
        <v>19.899999999999999</v>
      </c>
      <c r="J220" s="974">
        <v>135.9</v>
      </c>
      <c r="K220" s="974">
        <v>3.7999999999999999E-2</v>
      </c>
      <c r="L220" s="974"/>
      <c r="M220" s="974"/>
      <c r="N220" s="974"/>
      <c r="O220" s="974">
        <v>0.87</v>
      </c>
      <c r="P220" s="974">
        <v>0.06</v>
      </c>
      <c r="Q220" s="974">
        <v>2</v>
      </c>
      <c r="R220" s="974">
        <v>0.36380000000000001</v>
      </c>
      <c r="S220" s="974" t="s">
        <v>889</v>
      </c>
    </row>
    <row r="221" spans="2:19" x14ac:dyDescent="0.25">
      <c r="B221" s="974"/>
      <c r="C221" s="974"/>
      <c r="D221" s="974"/>
      <c r="E221" s="974"/>
      <c r="F221" s="974"/>
      <c r="G221" s="974">
        <v>0.16800000000000001</v>
      </c>
      <c r="H221" s="974"/>
      <c r="I221" s="974"/>
      <c r="J221" s="974"/>
      <c r="K221" s="974">
        <v>3.7999999999999999E-2</v>
      </c>
      <c r="L221" s="974"/>
      <c r="M221" s="974"/>
      <c r="N221" s="974"/>
      <c r="O221" s="974">
        <v>0.87</v>
      </c>
      <c r="P221" s="974">
        <v>0.06</v>
      </c>
      <c r="Q221" s="974">
        <v>2</v>
      </c>
      <c r="R221" s="974"/>
      <c r="S221" s="974"/>
    </row>
    <row r="222" spans="2:19" x14ac:dyDescent="0.25">
      <c r="B222" s="974">
        <v>65</v>
      </c>
      <c r="C222" s="974" t="s">
        <v>986</v>
      </c>
      <c r="D222" s="974">
        <v>45.22</v>
      </c>
      <c r="E222" s="974">
        <v>6.0000000000000001E-3</v>
      </c>
      <c r="F222" s="974">
        <v>9.5000000000000001E-2</v>
      </c>
      <c r="G222" s="974"/>
      <c r="H222" s="974">
        <v>0.6</v>
      </c>
      <c r="I222" s="974">
        <v>10</v>
      </c>
      <c r="J222" s="974">
        <v>135.9</v>
      </c>
      <c r="K222" s="974">
        <v>0</v>
      </c>
      <c r="L222" s="974"/>
      <c r="M222" s="974"/>
      <c r="N222" s="974"/>
      <c r="O222" s="974">
        <v>0</v>
      </c>
      <c r="P222" s="974">
        <v>0</v>
      </c>
      <c r="Q222" s="974">
        <v>0</v>
      </c>
      <c r="R222" s="974">
        <v>0.15529999999999999</v>
      </c>
      <c r="S222" s="974" t="s">
        <v>889</v>
      </c>
    </row>
    <row r="223" spans="2:19" x14ac:dyDescent="0.25">
      <c r="B223" s="974"/>
      <c r="C223" s="974"/>
      <c r="D223" s="974"/>
      <c r="E223" s="974"/>
      <c r="F223" s="974"/>
      <c r="G223" s="974">
        <v>9.5000000000000001E-2</v>
      </c>
      <c r="H223" s="974"/>
      <c r="I223" s="974"/>
      <c r="J223" s="974"/>
      <c r="K223" s="974">
        <v>2.1600000000000001E-2</v>
      </c>
      <c r="L223" s="974"/>
      <c r="M223" s="974"/>
      <c r="N223" s="974"/>
      <c r="O223" s="974">
        <v>0.52</v>
      </c>
      <c r="P223" s="974">
        <v>7.0000000000000007E-2</v>
      </c>
      <c r="Q223" s="974">
        <v>1.61</v>
      </c>
      <c r="R223" s="974"/>
      <c r="S223" s="974"/>
    </row>
    <row r="224" spans="2:19" x14ac:dyDescent="0.25">
      <c r="B224" s="974"/>
      <c r="C224" s="974" t="s">
        <v>987</v>
      </c>
      <c r="D224" s="974">
        <v>6.39</v>
      </c>
      <c r="E224" s="974">
        <v>1E-3</v>
      </c>
      <c r="F224" s="974">
        <v>0</v>
      </c>
      <c r="G224" s="974"/>
      <c r="H224" s="974">
        <v>0.6</v>
      </c>
      <c r="I224" s="974">
        <v>17.72</v>
      </c>
      <c r="J224" s="974">
        <v>135.9</v>
      </c>
      <c r="K224" s="974">
        <v>2.1600000000000001E-2</v>
      </c>
      <c r="L224" s="974"/>
      <c r="M224" s="974"/>
      <c r="N224" s="974"/>
      <c r="O224" s="974">
        <v>0.21</v>
      </c>
      <c r="P224" s="974">
        <v>0.09</v>
      </c>
      <c r="Q224" s="974">
        <v>3.17</v>
      </c>
      <c r="R224" s="974">
        <v>6.8500000000000005E-2</v>
      </c>
      <c r="S224" s="974"/>
    </row>
    <row r="225" spans="2:19" x14ac:dyDescent="0.25">
      <c r="B225" s="974"/>
      <c r="C225" s="974"/>
      <c r="D225" s="974"/>
      <c r="E225" s="974"/>
      <c r="F225" s="974"/>
      <c r="G225" s="974">
        <v>9.5000000000000001E-2</v>
      </c>
      <c r="H225" s="974"/>
      <c r="I225" s="974"/>
      <c r="J225" s="974"/>
      <c r="K225" s="974">
        <v>2.1600000000000001E-2</v>
      </c>
      <c r="L225" s="974"/>
      <c r="M225" s="974"/>
      <c r="N225" s="974"/>
      <c r="O225" s="974">
        <v>0.21</v>
      </c>
      <c r="P225" s="974">
        <v>0.09</v>
      </c>
      <c r="Q225" s="974">
        <v>3.17</v>
      </c>
      <c r="R225" s="974"/>
      <c r="S225" s="974"/>
    </row>
    <row r="226" spans="2:19" x14ac:dyDescent="0.25">
      <c r="B226" s="974"/>
      <c r="C226" s="974" t="s">
        <v>988</v>
      </c>
      <c r="D226" s="974">
        <v>6.65</v>
      </c>
      <c r="E226" s="974">
        <v>3.5999999999999997E-2</v>
      </c>
      <c r="F226" s="974">
        <v>0</v>
      </c>
      <c r="G226" s="974"/>
      <c r="H226" s="974">
        <v>0.6</v>
      </c>
      <c r="I226" s="974">
        <v>19.37</v>
      </c>
      <c r="J226" s="974">
        <v>135.9</v>
      </c>
      <c r="K226" s="974">
        <v>4.07E-2</v>
      </c>
      <c r="L226" s="974"/>
      <c r="M226" s="974"/>
      <c r="N226" s="974"/>
      <c r="O226" s="974">
        <v>0.98</v>
      </c>
      <c r="P226" s="974">
        <v>0.06</v>
      </c>
      <c r="Q226" s="974">
        <v>1.95</v>
      </c>
      <c r="R226" s="974">
        <v>0.41189999999999999</v>
      </c>
      <c r="S226" s="974" t="s">
        <v>889</v>
      </c>
    </row>
    <row r="227" spans="2:19" x14ac:dyDescent="0.25">
      <c r="B227" s="974"/>
      <c r="C227" s="974"/>
      <c r="D227" s="974"/>
      <c r="E227" s="974"/>
      <c r="F227" s="974"/>
      <c r="G227" s="974">
        <v>0.17899999999999999</v>
      </c>
      <c r="H227" s="974"/>
      <c r="I227" s="974"/>
      <c r="J227" s="974"/>
      <c r="K227" s="974">
        <v>4.07E-2</v>
      </c>
      <c r="L227" s="974"/>
      <c r="M227" s="974"/>
      <c r="N227" s="974"/>
      <c r="O227" s="974">
        <v>0.98</v>
      </c>
      <c r="P227" s="974">
        <v>0.06</v>
      </c>
      <c r="Q227" s="974">
        <v>1.95</v>
      </c>
      <c r="R227" s="974"/>
      <c r="S227" s="974"/>
    </row>
    <row r="228" spans="2:19" x14ac:dyDescent="0.25">
      <c r="B228" s="974">
        <v>66</v>
      </c>
      <c r="C228" s="974" t="s">
        <v>989</v>
      </c>
      <c r="D228" s="974">
        <v>44.13</v>
      </c>
      <c r="E228" s="974">
        <v>1.0999999999999999E-2</v>
      </c>
      <c r="F228" s="974">
        <v>7.4999999999999997E-2</v>
      </c>
      <c r="G228" s="974"/>
      <c r="H228" s="974">
        <v>0.6</v>
      </c>
      <c r="I228" s="974">
        <v>10</v>
      </c>
      <c r="J228" s="974">
        <v>135.9</v>
      </c>
      <c r="K228" s="974">
        <v>0</v>
      </c>
      <c r="L228" s="974"/>
      <c r="M228" s="974"/>
      <c r="N228" s="974"/>
      <c r="O228" s="974">
        <v>0</v>
      </c>
      <c r="P228" s="974">
        <v>0</v>
      </c>
      <c r="Q228" s="974">
        <v>0</v>
      </c>
      <c r="R228" s="974">
        <v>0.2044</v>
      </c>
      <c r="S228" s="974" t="s">
        <v>889</v>
      </c>
    </row>
    <row r="229" spans="2:19" x14ac:dyDescent="0.25">
      <c r="B229" s="974"/>
      <c r="C229" s="974"/>
      <c r="D229" s="974"/>
      <c r="E229" s="974"/>
      <c r="F229" s="974"/>
      <c r="G229" s="974">
        <v>7.4999999999999997E-2</v>
      </c>
      <c r="H229" s="974"/>
      <c r="I229" s="974"/>
      <c r="J229" s="974"/>
      <c r="K229" s="974">
        <v>1.7000000000000001E-2</v>
      </c>
      <c r="L229" s="974"/>
      <c r="M229" s="974"/>
      <c r="N229" s="974"/>
      <c r="O229" s="974">
        <v>0.61</v>
      </c>
      <c r="P229" s="974">
        <v>0.06</v>
      </c>
      <c r="Q229" s="974">
        <v>1.29</v>
      </c>
      <c r="R229" s="974"/>
      <c r="S229" s="974"/>
    </row>
    <row r="230" spans="2:19" x14ac:dyDescent="0.25">
      <c r="B230" s="974"/>
      <c r="C230" s="974" t="s">
        <v>990</v>
      </c>
      <c r="D230" s="974">
        <v>6.41</v>
      </c>
      <c r="E230" s="974">
        <v>1E-3</v>
      </c>
      <c r="F230" s="974">
        <v>0</v>
      </c>
      <c r="G230" s="974"/>
      <c r="H230" s="974">
        <v>0.6</v>
      </c>
      <c r="I230" s="974">
        <v>18.13</v>
      </c>
      <c r="J230" s="974">
        <v>135.9</v>
      </c>
      <c r="K230" s="974">
        <v>1.7000000000000001E-2</v>
      </c>
      <c r="L230" s="974"/>
      <c r="M230" s="974"/>
      <c r="N230" s="974"/>
      <c r="O230" s="974">
        <v>0.2</v>
      </c>
      <c r="P230" s="974">
        <v>0.08</v>
      </c>
      <c r="Q230" s="974">
        <v>2.88</v>
      </c>
      <c r="R230" s="974">
        <v>6.8500000000000005E-2</v>
      </c>
      <c r="S230" s="974"/>
    </row>
    <row r="231" spans="2:19" x14ac:dyDescent="0.25">
      <c r="B231" s="974"/>
      <c r="C231" s="974"/>
      <c r="D231" s="974"/>
      <c r="E231" s="974"/>
      <c r="F231" s="974"/>
      <c r="G231" s="974">
        <v>7.4999999999999997E-2</v>
      </c>
      <c r="H231" s="974"/>
      <c r="I231" s="974"/>
      <c r="J231" s="974"/>
      <c r="K231" s="974">
        <v>1.7000000000000001E-2</v>
      </c>
      <c r="L231" s="974"/>
      <c r="M231" s="974"/>
      <c r="N231" s="974"/>
      <c r="O231" s="974">
        <v>0.2</v>
      </c>
      <c r="P231" s="974">
        <v>0.08</v>
      </c>
      <c r="Q231" s="974">
        <v>2.88</v>
      </c>
      <c r="R231" s="974"/>
      <c r="S231" s="974"/>
    </row>
    <row r="232" spans="2:19" x14ac:dyDescent="0.25">
      <c r="B232" s="974"/>
      <c r="C232" s="974" t="s">
        <v>991</v>
      </c>
      <c r="D232" s="974">
        <v>8.19</v>
      </c>
      <c r="E232" s="974">
        <v>1.0999999999999999E-2</v>
      </c>
      <c r="F232" s="974">
        <v>0</v>
      </c>
      <c r="G232" s="974"/>
      <c r="H232" s="974">
        <v>0.6</v>
      </c>
      <c r="I232" s="974">
        <v>20.88</v>
      </c>
      <c r="J232" s="974">
        <v>135.9</v>
      </c>
      <c r="K232" s="974">
        <v>3.32E-2</v>
      </c>
      <c r="L232" s="974"/>
      <c r="M232" s="974"/>
      <c r="N232" s="974"/>
      <c r="O232" s="974">
        <v>0.57999999999999996</v>
      </c>
      <c r="P232" s="974">
        <v>7.0000000000000007E-2</v>
      </c>
      <c r="Q232" s="974">
        <v>2.31</v>
      </c>
      <c r="R232" s="974">
        <v>0.22720000000000001</v>
      </c>
      <c r="S232" s="974" t="s">
        <v>889</v>
      </c>
    </row>
    <row r="233" spans="2:19" x14ac:dyDescent="0.25">
      <c r="B233" s="974"/>
      <c r="C233" s="974"/>
      <c r="D233" s="974"/>
      <c r="E233" s="974"/>
      <c r="F233" s="974"/>
      <c r="G233" s="974">
        <v>0.14699999999999999</v>
      </c>
      <c r="H233" s="974"/>
      <c r="I233" s="974"/>
      <c r="J233" s="974"/>
      <c r="K233" s="974">
        <v>3.32E-2</v>
      </c>
      <c r="L233" s="974"/>
      <c r="M233" s="974"/>
      <c r="N233" s="974"/>
      <c r="O233" s="974">
        <v>0.57999999999999996</v>
      </c>
      <c r="P233" s="974">
        <v>7.0000000000000007E-2</v>
      </c>
      <c r="Q233" s="974">
        <v>2.31</v>
      </c>
      <c r="R233" s="974"/>
      <c r="S233" s="974"/>
    </row>
    <row r="234" spans="2:19" x14ac:dyDescent="0.25">
      <c r="B234" s="974">
        <v>67</v>
      </c>
      <c r="C234" s="974" t="s">
        <v>992</v>
      </c>
      <c r="D234" s="974">
        <v>45.03</v>
      </c>
      <c r="E234" s="974">
        <v>1.0999999999999999E-2</v>
      </c>
      <c r="F234" s="974">
        <v>8.5999999999999993E-2</v>
      </c>
      <c r="G234" s="974"/>
      <c r="H234" s="974">
        <v>0.6</v>
      </c>
      <c r="I234" s="974">
        <v>10</v>
      </c>
      <c r="J234" s="974">
        <v>135.9</v>
      </c>
      <c r="K234" s="974">
        <v>0</v>
      </c>
      <c r="L234" s="974"/>
      <c r="M234" s="974"/>
      <c r="N234" s="974"/>
      <c r="O234" s="974">
        <v>0</v>
      </c>
      <c r="P234" s="974">
        <v>0</v>
      </c>
      <c r="Q234" s="974">
        <v>0</v>
      </c>
      <c r="R234" s="974">
        <v>0.2044</v>
      </c>
      <c r="S234" s="974" t="s">
        <v>889</v>
      </c>
    </row>
    <row r="235" spans="2:19" x14ac:dyDescent="0.25">
      <c r="B235" s="974"/>
      <c r="C235" s="974"/>
      <c r="D235" s="974"/>
      <c r="E235" s="974"/>
      <c r="F235" s="974"/>
      <c r="G235" s="974">
        <v>8.5999999999999993E-2</v>
      </c>
      <c r="H235" s="974"/>
      <c r="I235" s="974"/>
      <c r="J235" s="974"/>
      <c r="K235" s="974">
        <v>1.9400000000000001E-2</v>
      </c>
      <c r="L235" s="974"/>
      <c r="M235" s="974"/>
      <c r="N235" s="974"/>
      <c r="O235" s="974">
        <v>0.62</v>
      </c>
      <c r="P235" s="974">
        <v>0.06</v>
      </c>
      <c r="Q235" s="974">
        <v>1.37</v>
      </c>
      <c r="R235" s="974"/>
      <c r="S235" s="974"/>
    </row>
    <row r="236" spans="2:19" x14ac:dyDescent="0.25">
      <c r="B236" s="974"/>
      <c r="C236" s="974" t="s">
        <v>993</v>
      </c>
      <c r="D236" s="974">
        <v>6.74</v>
      </c>
      <c r="E236" s="974">
        <v>1E-3</v>
      </c>
      <c r="F236" s="974">
        <v>0</v>
      </c>
      <c r="G236" s="974"/>
      <c r="H236" s="974">
        <v>0.6</v>
      </c>
      <c r="I236" s="974">
        <v>18.059999999999999</v>
      </c>
      <c r="J236" s="974">
        <v>135.9</v>
      </c>
      <c r="K236" s="974">
        <v>1.9400000000000001E-2</v>
      </c>
      <c r="L236" s="974"/>
      <c r="M236" s="974"/>
      <c r="N236" s="974"/>
      <c r="O236" s="974">
        <v>0.2</v>
      </c>
      <c r="P236" s="974">
        <v>0.08</v>
      </c>
      <c r="Q236" s="974">
        <v>3.04</v>
      </c>
      <c r="R236" s="974">
        <v>6.8500000000000005E-2</v>
      </c>
      <c r="S236" s="974"/>
    </row>
    <row r="237" spans="2:19" x14ac:dyDescent="0.25">
      <c r="B237" s="974"/>
      <c r="C237" s="974"/>
      <c r="D237" s="974"/>
      <c r="E237" s="974"/>
      <c r="F237" s="974"/>
      <c r="G237" s="974">
        <v>8.5999999999999993E-2</v>
      </c>
      <c r="H237" s="974"/>
      <c r="I237" s="974"/>
      <c r="J237" s="974"/>
      <c r="K237" s="974">
        <v>1.9400000000000001E-2</v>
      </c>
      <c r="L237" s="974"/>
      <c r="M237" s="974"/>
      <c r="N237" s="974"/>
      <c r="O237" s="974">
        <v>0.2</v>
      </c>
      <c r="P237" s="974">
        <v>0.08</v>
      </c>
      <c r="Q237" s="974">
        <v>3.04</v>
      </c>
      <c r="R237" s="974"/>
      <c r="S237" s="974"/>
    </row>
    <row r="238" spans="2:19" x14ac:dyDescent="0.25">
      <c r="B238" s="974"/>
      <c r="C238" s="974" t="s">
        <v>994</v>
      </c>
      <c r="D238" s="974">
        <v>7.89</v>
      </c>
      <c r="E238" s="974">
        <v>1.4E-2</v>
      </c>
      <c r="F238" s="974">
        <v>0</v>
      </c>
      <c r="G238" s="974"/>
      <c r="H238" s="974">
        <v>0.6</v>
      </c>
      <c r="I238" s="974">
        <v>19.190000000000001</v>
      </c>
      <c r="J238" s="974">
        <v>135.9</v>
      </c>
      <c r="K238" s="974">
        <v>3.78E-2</v>
      </c>
      <c r="L238" s="974"/>
      <c r="M238" s="974"/>
      <c r="N238" s="974"/>
      <c r="O238" s="974">
        <v>0.66</v>
      </c>
      <c r="P238" s="974">
        <v>7.0000000000000007E-2</v>
      </c>
      <c r="Q238" s="974">
        <v>2.3199999999999998</v>
      </c>
      <c r="R238" s="974">
        <v>0.25600000000000001</v>
      </c>
      <c r="S238" s="974" t="s">
        <v>889</v>
      </c>
    </row>
    <row r="239" spans="2:19" x14ac:dyDescent="0.25">
      <c r="B239" s="974"/>
      <c r="C239" s="974"/>
      <c r="D239" s="974"/>
      <c r="E239" s="974"/>
      <c r="F239" s="974"/>
      <c r="G239" s="974">
        <v>0.16700000000000001</v>
      </c>
      <c r="H239" s="974"/>
      <c r="I239" s="974"/>
      <c r="J239" s="974"/>
      <c r="K239" s="974">
        <v>3.78E-2</v>
      </c>
      <c r="L239" s="974"/>
      <c r="M239" s="974"/>
      <c r="N239" s="974"/>
      <c r="O239" s="974">
        <v>0.66</v>
      </c>
      <c r="P239" s="974">
        <v>7.0000000000000007E-2</v>
      </c>
      <c r="Q239" s="974">
        <v>2.3199999999999998</v>
      </c>
      <c r="R239" s="974"/>
      <c r="S239" s="974"/>
    </row>
    <row r="240" spans="2:19" x14ac:dyDescent="0.25">
      <c r="B240" s="974">
        <v>68</v>
      </c>
      <c r="C240" s="974" t="s">
        <v>995</v>
      </c>
      <c r="D240" s="974">
        <v>45.91</v>
      </c>
      <c r="E240" s="974">
        <v>1.0999999999999999E-2</v>
      </c>
      <c r="F240" s="974">
        <v>8.4000000000000005E-2</v>
      </c>
      <c r="G240" s="974"/>
      <c r="H240" s="974">
        <v>0.6</v>
      </c>
      <c r="I240" s="974">
        <v>10</v>
      </c>
      <c r="J240" s="974">
        <v>135.9</v>
      </c>
      <c r="K240" s="974">
        <v>0</v>
      </c>
      <c r="L240" s="974"/>
      <c r="M240" s="974"/>
      <c r="N240" s="974"/>
      <c r="O240" s="974">
        <v>0</v>
      </c>
      <c r="P240" s="974">
        <v>0</v>
      </c>
      <c r="Q240" s="974">
        <v>0</v>
      </c>
      <c r="R240" s="974">
        <v>0.20039999999999999</v>
      </c>
      <c r="S240" s="974"/>
    </row>
    <row r="241" spans="2:19" x14ac:dyDescent="0.25">
      <c r="B241" s="974"/>
      <c r="C241" s="974"/>
      <c r="D241" s="974"/>
      <c r="E241" s="974"/>
      <c r="F241" s="974"/>
      <c r="G241" s="974">
        <v>8.4000000000000005E-2</v>
      </c>
      <c r="H241" s="974"/>
      <c r="I241" s="974"/>
      <c r="J241" s="974"/>
      <c r="K241" s="974">
        <v>0</v>
      </c>
      <c r="L241" s="974">
        <v>1.9E-2</v>
      </c>
      <c r="M241" s="974">
        <v>1</v>
      </c>
      <c r="N241" s="974">
        <v>7.4999999999999997E-2</v>
      </c>
      <c r="O241" s="974">
        <v>0.61</v>
      </c>
      <c r="P241" s="974">
        <v>0.06</v>
      </c>
      <c r="Q241" s="974">
        <v>1.37</v>
      </c>
      <c r="R241" s="974"/>
      <c r="S241" s="974"/>
    </row>
    <row r="242" spans="2:19" x14ac:dyDescent="0.25">
      <c r="B242" s="974">
        <v>69</v>
      </c>
      <c r="C242" s="974" t="s">
        <v>996</v>
      </c>
      <c r="D242" s="974">
        <v>57.92</v>
      </c>
      <c r="E242" s="974">
        <v>5.0000000000000001E-3</v>
      </c>
      <c r="F242" s="974">
        <v>0.13100000000000001</v>
      </c>
      <c r="G242" s="974"/>
      <c r="H242" s="974">
        <v>0.6</v>
      </c>
      <c r="I242" s="974">
        <v>10</v>
      </c>
      <c r="J242" s="974">
        <v>135.9</v>
      </c>
      <c r="K242" s="974">
        <v>0</v>
      </c>
      <c r="L242" s="974"/>
      <c r="M242" s="974"/>
      <c r="N242" s="974"/>
      <c r="O242" s="974">
        <v>0</v>
      </c>
      <c r="P242" s="974">
        <v>0</v>
      </c>
      <c r="Q242" s="974">
        <v>0</v>
      </c>
      <c r="R242" s="974">
        <v>0.1419</v>
      </c>
      <c r="S242" s="974" t="s">
        <v>889</v>
      </c>
    </row>
    <row r="243" spans="2:19" x14ac:dyDescent="0.25">
      <c r="B243" s="974"/>
      <c r="C243" s="974"/>
      <c r="D243" s="974"/>
      <c r="E243" s="974"/>
      <c r="F243" s="974"/>
      <c r="G243" s="974">
        <v>0.13100000000000001</v>
      </c>
      <c r="H243" s="974"/>
      <c r="I243" s="974"/>
      <c r="J243" s="974"/>
      <c r="K243" s="974">
        <v>2.9600000000000001E-2</v>
      </c>
      <c r="L243" s="974"/>
      <c r="M243" s="974"/>
      <c r="N243" s="974"/>
      <c r="O243" s="974">
        <v>0.52</v>
      </c>
      <c r="P243" s="974">
        <v>0.08</v>
      </c>
      <c r="Q243" s="974">
        <v>1.9</v>
      </c>
      <c r="R243" s="974"/>
      <c r="S243" s="974"/>
    </row>
    <row r="244" spans="2:19" x14ac:dyDescent="0.25">
      <c r="B244" s="974">
        <v>70</v>
      </c>
      <c r="C244" s="974" t="s">
        <v>997</v>
      </c>
      <c r="D244" s="974">
        <v>42.72</v>
      </c>
      <c r="E244" s="974">
        <v>4.0000000000000001E-3</v>
      </c>
      <c r="F244" s="974">
        <v>8.4000000000000005E-2</v>
      </c>
      <c r="G244" s="974"/>
      <c r="H244" s="974">
        <v>0.6</v>
      </c>
      <c r="I244" s="974">
        <v>10</v>
      </c>
      <c r="J244" s="974">
        <v>135.9</v>
      </c>
      <c r="K244" s="974">
        <v>0</v>
      </c>
      <c r="L244" s="974"/>
      <c r="M244" s="974"/>
      <c r="N244" s="974"/>
      <c r="O244" s="974">
        <v>0</v>
      </c>
      <c r="P244" s="974">
        <v>0</v>
      </c>
      <c r="Q244" s="974">
        <v>0</v>
      </c>
      <c r="R244" s="974">
        <v>0.12939999999999999</v>
      </c>
      <c r="S244" s="974" t="s">
        <v>889</v>
      </c>
    </row>
    <row r="245" spans="2:19" x14ac:dyDescent="0.25">
      <c r="B245" s="974"/>
      <c r="C245" s="974"/>
      <c r="D245" s="974"/>
      <c r="E245" s="974"/>
      <c r="F245" s="974"/>
      <c r="G245" s="974">
        <v>8.4000000000000005E-2</v>
      </c>
      <c r="H245" s="974"/>
      <c r="I245" s="974"/>
      <c r="J245" s="974"/>
      <c r="K245" s="974">
        <v>1.9099999999999999E-2</v>
      </c>
      <c r="L245" s="974"/>
      <c r="M245" s="974"/>
      <c r="N245" s="974"/>
      <c r="O245" s="974">
        <v>0.44</v>
      </c>
      <c r="P245" s="974">
        <v>7.0000000000000007E-2</v>
      </c>
      <c r="Q245" s="974">
        <v>1.65</v>
      </c>
      <c r="R245" s="974"/>
      <c r="S245" s="974"/>
    </row>
    <row r="246" spans="2:19" x14ac:dyDescent="0.25">
      <c r="B246" s="974">
        <v>71</v>
      </c>
      <c r="C246" s="974" t="s">
        <v>998</v>
      </c>
      <c r="D246" s="974">
        <v>44.99</v>
      </c>
      <c r="E246" s="974">
        <v>5.0000000000000001E-3</v>
      </c>
      <c r="F246" s="974">
        <v>8.7999999999999995E-2</v>
      </c>
      <c r="G246" s="974"/>
      <c r="H246" s="974">
        <v>0.6</v>
      </c>
      <c r="I246" s="974">
        <v>10</v>
      </c>
      <c r="J246" s="974">
        <v>135.9</v>
      </c>
      <c r="K246" s="974">
        <v>0</v>
      </c>
      <c r="L246" s="974"/>
      <c r="M246" s="974"/>
      <c r="N246" s="974"/>
      <c r="O246" s="974">
        <v>0</v>
      </c>
      <c r="P246" s="974">
        <v>0</v>
      </c>
      <c r="Q246" s="974">
        <v>0</v>
      </c>
      <c r="R246" s="974">
        <v>0.1356</v>
      </c>
      <c r="S246" s="974" t="s">
        <v>889</v>
      </c>
    </row>
    <row r="247" spans="2:19" x14ac:dyDescent="0.25">
      <c r="B247" s="974"/>
      <c r="C247" s="974"/>
      <c r="D247" s="974"/>
      <c r="E247" s="974"/>
      <c r="F247" s="974"/>
      <c r="G247" s="974">
        <v>8.7999999999999995E-2</v>
      </c>
      <c r="H247" s="974"/>
      <c r="I247" s="974"/>
      <c r="J247" s="974"/>
      <c r="K247" s="974">
        <v>0.02</v>
      </c>
      <c r="L247" s="974"/>
      <c r="M247" s="974"/>
      <c r="N247" s="974"/>
      <c r="O247" s="974">
        <v>0.46</v>
      </c>
      <c r="P247" s="974">
        <v>7.0000000000000007E-2</v>
      </c>
      <c r="Q247" s="974">
        <v>1.65</v>
      </c>
      <c r="R247" s="974"/>
      <c r="S247" s="974"/>
    </row>
    <row r="248" spans="2:19" x14ac:dyDescent="0.25">
      <c r="B248" s="974">
        <v>72</v>
      </c>
      <c r="C248" s="974" t="s">
        <v>999</v>
      </c>
      <c r="D248" s="974">
        <v>46.42</v>
      </c>
      <c r="E248" s="974">
        <v>4.0000000000000001E-3</v>
      </c>
      <c r="F248" s="974">
        <v>8.1000000000000003E-2</v>
      </c>
      <c r="G248" s="974"/>
      <c r="H248" s="974">
        <v>0.6</v>
      </c>
      <c r="I248" s="974">
        <v>10</v>
      </c>
      <c r="J248" s="974">
        <v>135.9</v>
      </c>
      <c r="K248" s="974">
        <v>0</v>
      </c>
      <c r="L248" s="974"/>
      <c r="M248" s="974"/>
      <c r="N248" s="974"/>
      <c r="O248" s="974">
        <v>0</v>
      </c>
      <c r="P248" s="974">
        <v>0</v>
      </c>
      <c r="Q248" s="974">
        <v>0</v>
      </c>
      <c r="R248" s="974">
        <v>0.1241</v>
      </c>
      <c r="S248" s="974" t="s">
        <v>889</v>
      </c>
    </row>
    <row r="249" spans="2:19" x14ac:dyDescent="0.25">
      <c r="B249" s="974"/>
      <c r="C249" s="974"/>
      <c r="D249" s="974"/>
      <c r="E249" s="974"/>
      <c r="F249" s="974"/>
      <c r="G249" s="974">
        <v>8.1000000000000003E-2</v>
      </c>
      <c r="H249" s="974"/>
      <c r="I249" s="974"/>
      <c r="J249" s="974"/>
      <c r="K249" s="974">
        <v>1.83E-2</v>
      </c>
      <c r="L249" s="974"/>
      <c r="M249" s="974"/>
      <c r="N249" s="974"/>
      <c r="O249" s="974">
        <v>0.42</v>
      </c>
      <c r="P249" s="974">
        <v>7.0000000000000007E-2</v>
      </c>
      <c r="Q249" s="974">
        <v>1.65</v>
      </c>
      <c r="R249" s="974"/>
      <c r="S249" s="974"/>
    </row>
    <row r="250" spans="2:19" x14ac:dyDescent="0.25">
      <c r="B250" s="974">
        <v>73</v>
      </c>
      <c r="C250" s="974" t="s">
        <v>1000</v>
      </c>
      <c r="D250" s="974">
        <v>46.76</v>
      </c>
      <c r="E250" s="974">
        <v>6.0000000000000001E-3</v>
      </c>
      <c r="F250" s="974">
        <v>8.4000000000000005E-2</v>
      </c>
      <c r="G250" s="974"/>
      <c r="H250" s="974">
        <v>0.6</v>
      </c>
      <c r="I250" s="974">
        <v>10</v>
      </c>
      <c r="J250" s="974">
        <v>135.9</v>
      </c>
      <c r="K250" s="974">
        <v>0</v>
      </c>
      <c r="L250" s="974"/>
      <c r="M250" s="974"/>
      <c r="N250" s="974"/>
      <c r="O250" s="974">
        <v>0</v>
      </c>
      <c r="P250" s="974">
        <v>0</v>
      </c>
      <c r="Q250" s="974">
        <v>0</v>
      </c>
      <c r="R250" s="974">
        <v>0.15279999999999999</v>
      </c>
      <c r="S250" s="974" t="s">
        <v>889</v>
      </c>
    </row>
    <row r="251" spans="2:19" x14ac:dyDescent="0.25">
      <c r="B251" s="974"/>
      <c r="C251" s="974"/>
      <c r="D251" s="974"/>
      <c r="E251" s="974"/>
      <c r="F251" s="974"/>
      <c r="G251" s="974">
        <v>8.4000000000000005E-2</v>
      </c>
      <c r="H251" s="974"/>
      <c r="I251" s="974"/>
      <c r="J251" s="974"/>
      <c r="K251" s="974">
        <v>1.9099999999999999E-2</v>
      </c>
      <c r="L251" s="974"/>
      <c r="M251" s="974"/>
      <c r="N251" s="974"/>
      <c r="O251" s="974">
        <v>0.49</v>
      </c>
      <c r="P251" s="974">
        <v>7.0000000000000007E-2</v>
      </c>
      <c r="Q251" s="974">
        <v>1.54</v>
      </c>
      <c r="R251" s="974"/>
      <c r="S251" s="974"/>
    </row>
    <row r="252" spans="2:19" x14ac:dyDescent="0.25">
      <c r="B252" s="974">
        <v>74</v>
      </c>
      <c r="C252" s="974" t="s">
        <v>1001</v>
      </c>
      <c r="D252" s="974">
        <v>43.74</v>
      </c>
      <c r="E252" s="974">
        <v>1.0999999999999999E-2</v>
      </c>
      <c r="F252" s="974">
        <v>7.1999999999999995E-2</v>
      </c>
      <c r="G252" s="974"/>
      <c r="H252" s="974">
        <v>0.6</v>
      </c>
      <c r="I252" s="974">
        <v>10</v>
      </c>
      <c r="J252" s="974">
        <v>135.9</v>
      </c>
      <c r="K252" s="974">
        <v>0</v>
      </c>
      <c r="L252" s="974"/>
      <c r="M252" s="974"/>
      <c r="N252" s="974"/>
      <c r="O252" s="974">
        <v>0</v>
      </c>
      <c r="P252" s="974">
        <v>0</v>
      </c>
      <c r="Q252" s="974">
        <v>0</v>
      </c>
      <c r="R252" s="974">
        <v>0.20530000000000001</v>
      </c>
      <c r="S252" s="974" t="s">
        <v>889</v>
      </c>
    </row>
    <row r="253" spans="2:19" x14ac:dyDescent="0.25">
      <c r="B253" s="974"/>
      <c r="C253" s="974"/>
      <c r="D253" s="974"/>
      <c r="E253" s="974"/>
      <c r="F253" s="974"/>
      <c r="G253" s="974">
        <v>7.1999999999999995E-2</v>
      </c>
      <c r="H253" s="974"/>
      <c r="I253" s="974"/>
      <c r="J253" s="974"/>
      <c r="K253" s="974">
        <v>1.6199999999999999E-2</v>
      </c>
      <c r="L253" s="974"/>
      <c r="M253" s="974"/>
      <c r="N253" s="974"/>
      <c r="O253" s="974">
        <v>0.6</v>
      </c>
      <c r="P253" s="974">
        <v>0.06</v>
      </c>
      <c r="Q253" s="974">
        <v>1.26</v>
      </c>
      <c r="R253" s="974"/>
      <c r="S253" s="974"/>
    </row>
    <row r="254" spans="2:19" x14ac:dyDescent="0.25">
      <c r="B254" s="974">
        <v>75</v>
      </c>
      <c r="C254" s="974" t="s">
        <v>1002</v>
      </c>
      <c r="D254" s="974">
        <v>43.4</v>
      </c>
      <c r="E254" s="974">
        <v>1.2E-2</v>
      </c>
      <c r="F254" s="974">
        <v>8.1000000000000003E-2</v>
      </c>
      <c r="G254" s="974"/>
      <c r="H254" s="974">
        <v>0.6</v>
      </c>
      <c r="I254" s="974">
        <v>10</v>
      </c>
      <c r="J254" s="974">
        <v>135.9</v>
      </c>
      <c r="K254" s="974">
        <v>0</v>
      </c>
      <c r="L254" s="974"/>
      <c r="M254" s="974"/>
      <c r="N254" s="974"/>
      <c r="O254" s="974">
        <v>0</v>
      </c>
      <c r="P254" s="974">
        <v>0</v>
      </c>
      <c r="Q254" s="974">
        <v>0</v>
      </c>
      <c r="R254" s="974">
        <v>0.2082</v>
      </c>
      <c r="S254" s="974" t="s">
        <v>889</v>
      </c>
    </row>
    <row r="255" spans="2:19" x14ac:dyDescent="0.25">
      <c r="B255" s="974"/>
      <c r="C255" s="974"/>
      <c r="D255" s="974"/>
      <c r="E255" s="974"/>
      <c r="F255" s="974"/>
      <c r="G255" s="974">
        <v>8.1000000000000003E-2</v>
      </c>
      <c r="H255" s="974"/>
      <c r="I255" s="974"/>
      <c r="J255" s="974"/>
      <c r="K255" s="974">
        <v>1.84E-2</v>
      </c>
      <c r="L255" s="974"/>
      <c r="M255" s="974"/>
      <c r="N255" s="974"/>
      <c r="O255" s="974">
        <v>0.62</v>
      </c>
      <c r="P255" s="974">
        <v>0.06</v>
      </c>
      <c r="Q255" s="974">
        <v>1.32</v>
      </c>
      <c r="R255" s="974"/>
      <c r="S255" s="974"/>
    </row>
    <row r="256" spans="2:19" x14ac:dyDescent="0.25">
      <c r="B256" s="974">
        <v>76</v>
      </c>
      <c r="C256" s="974" t="s">
        <v>1003</v>
      </c>
      <c r="D256" s="974">
        <v>44.61</v>
      </c>
      <c r="E256" s="974">
        <v>1.0999999999999999E-2</v>
      </c>
      <c r="F256" s="974">
        <v>7.5999999999999998E-2</v>
      </c>
      <c r="G256" s="974"/>
      <c r="H256" s="974">
        <v>0.6</v>
      </c>
      <c r="I256" s="974">
        <v>10</v>
      </c>
      <c r="J256" s="974">
        <v>135.9</v>
      </c>
      <c r="K256" s="974">
        <v>0</v>
      </c>
      <c r="L256" s="974"/>
      <c r="M256" s="974"/>
      <c r="N256" s="974"/>
      <c r="O256" s="974">
        <v>0</v>
      </c>
      <c r="P256" s="974">
        <v>0</v>
      </c>
      <c r="Q256" s="974">
        <v>0</v>
      </c>
      <c r="R256" s="974">
        <v>0.20330000000000001</v>
      </c>
      <c r="S256" s="974"/>
    </row>
    <row r="257" spans="2:19" x14ac:dyDescent="0.25">
      <c r="B257" s="974"/>
      <c r="C257" s="974"/>
      <c r="D257" s="974"/>
      <c r="E257" s="974"/>
      <c r="F257" s="974"/>
      <c r="G257" s="974">
        <v>7.5999999999999998E-2</v>
      </c>
      <c r="H257" s="974"/>
      <c r="I257" s="974"/>
      <c r="J257" s="974"/>
      <c r="K257" s="974">
        <v>0</v>
      </c>
      <c r="L257" s="974">
        <v>1.7299999999999999E-2</v>
      </c>
      <c r="M257" s="974">
        <v>1</v>
      </c>
      <c r="N257" s="974">
        <v>7.4999999999999997E-2</v>
      </c>
      <c r="O257" s="974">
        <v>0.61</v>
      </c>
      <c r="P257" s="974">
        <v>0.06</v>
      </c>
      <c r="Q257" s="974">
        <v>1.3</v>
      </c>
      <c r="R257" s="974"/>
      <c r="S257" s="974"/>
    </row>
    <row r="258" spans="2:19" x14ac:dyDescent="0.25">
      <c r="B258" s="974">
        <v>77</v>
      </c>
      <c r="C258" s="974" t="s">
        <v>1004</v>
      </c>
      <c r="D258" s="974">
        <v>68.64</v>
      </c>
      <c r="E258" s="974">
        <v>4.0000000000000001E-3</v>
      </c>
      <c r="F258" s="974">
        <v>0.13900000000000001</v>
      </c>
      <c r="G258" s="974"/>
      <c r="H258" s="974">
        <v>0.6</v>
      </c>
      <c r="I258" s="974">
        <v>10</v>
      </c>
      <c r="J258" s="974">
        <v>135.9</v>
      </c>
      <c r="K258" s="974">
        <v>0</v>
      </c>
      <c r="L258" s="974"/>
      <c r="M258" s="974"/>
      <c r="N258" s="974"/>
      <c r="O258" s="974">
        <v>0</v>
      </c>
      <c r="P258" s="974">
        <v>0</v>
      </c>
      <c r="Q258" s="974">
        <v>0</v>
      </c>
      <c r="R258" s="974">
        <v>0.12609999999999999</v>
      </c>
      <c r="S258" s="974"/>
    </row>
    <row r="259" spans="2:19" x14ac:dyDescent="0.25">
      <c r="B259" s="974"/>
      <c r="C259" s="974"/>
      <c r="D259" s="974"/>
      <c r="E259" s="974"/>
      <c r="F259" s="974"/>
      <c r="G259" s="974">
        <v>0.13900000000000001</v>
      </c>
      <c r="H259" s="974"/>
      <c r="I259" s="974"/>
      <c r="J259" s="974"/>
      <c r="K259" s="974">
        <v>0</v>
      </c>
      <c r="L259" s="974">
        <v>3.1600000000000003E-2</v>
      </c>
      <c r="M259" s="974">
        <v>1</v>
      </c>
      <c r="N259" s="974">
        <v>7.4999999999999997E-2</v>
      </c>
      <c r="O259" s="974">
        <v>0.48</v>
      </c>
      <c r="P259" s="974">
        <v>0.08</v>
      </c>
      <c r="Q259" s="974">
        <v>2.04</v>
      </c>
      <c r="R259" s="974"/>
      <c r="S259" s="974"/>
    </row>
    <row r="260" spans="2:19" x14ac:dyDescent="0.25">
      <c r="B260" s="974">
        <v>78</v>
      </c>
      <c r="C260" s="974" t="s">
        <v>1005</v>
      </c>
      <c r="D260" s="974">
        <v>67.599999999999994</v>
      </c>
      <c r="E260" s="974">
        <v>4.0000000000000001E-3</v>
      </c>
      <c r="F260" s="974">
        <v>0.19600000000000001</v>
      </c>
      <c r="G260" s="974"/>
      <c r="H260" s="974">
        <v>0.6</v>
      </c>
      <c r="I260" s="974">
        <v>10</v>
      </c>
      <c r="J260" s="974">
        <v>135.9</v>
      </c>
      <c r="K260" s="974">
        <v>0</v>
      </c>
      <c r="L260" s="974"/>
      <c r="M260" s="974"/>
      <c r="N260" s="974"/>
      <c r="O260" s="974">
        <v>0</v>
      </c>
      <c r="P260" s="974">
        <v>0</v>
      </c>
      <c r="Q260" s="974">
        <v>0</v>
      </c>
      <c r="R260" s="974">
        <v>0.127</v>
      </c>
      <c r="S260" s="974"/>
    </row>
    <row r="261" spans="2:19" x14ac:dyDescent="0.25">
      <c r="B261" s="974"/>
      <c r="C261" s="974"/>
      <c r="D261" s="974"/>
      <c r="E261" s="974"/>
      <c r="F261" s="974"/>
      <c r="G261" s="974">
        <v>0.19600000000000001</v>
      </c>
      <c r="H261" s="974"/>
      <c r="I261" s="974"/>
      <c r="J261" s="974"/>
      <c r="K261" s="974">
        <v>0</v>
      </c>
      <c r="L261" s="974">
        <v>4.4400000000000002E-2</v>
      </c>
      <c r="M261" s="974">
        <v>1</v>
      </c>
      <c r="N261" s="974">
        <v>7.4999999999999997E-2</v>
      </c>
      <c r="O261" s="974">
        <v>0.52</v>
      </c>
      <c r="P261" s="974">
        <v>0.09</v>
      </c>
      <c r="Q261" s="974">
        <v>2.33</v>
      </c>
      <c r="R261" s="974"/>
      <c r="S261" s="974"/>
    </row>
    <row r="262" spans="2:19" x14ac:dyDescent="0.25">
      <c r="B262" s="974">
        <v>79</v>
      </c>
      <c r="C262" s="974" t="s">
        <v>1006</v>
      </c>
      <c r="D262" s="974">
        <v>42.96</v>
      </c>
      <c r="E262" s="974">
        <v>0</v>
      </c>
      <c r="F262" s="974">
        <v>8.6999999999999994E-2</v>
      </c>
      <c r="G262" s="974"/>
      <c r="H262" s="974">
        <v>0.6</v>
      </c>
      <c r="I262" s="974">
        <v>10</v>
      </c>
      <c r="J262" s="974">
        <v>135.9</v>
      </c>
      <c r="K262" s="974">
        <v>0</v>
      </c>
      <c r="L262" s="974"/>
      <c r="M262" s="974"/>
      <c r="N262" s="974"/>
      <c r="O262" s="974">
        <v>0</v>
      </c>
      <c r="P262" s="974">
        <v>0</v>
      </c>
      <c r="Q262" s="974">
        <v>0</v>
      </c>
      <c r="R262" s="974">
        <v>2.9600000000000001E-2</v>
      </c>
      <c r="S262" s="974"/>
    </row>
    <row r="263" spans="2:19" x14ac:dyDescent="0.25">
      <c r="B263" s="974"/>
      <c r="C263" s="974"/>
      <c r="D263" s="974"/>
      <c r="E263" s="974"/>
      <c r="F263" s="974"/>
      <c r="G263" s="974">
        <v>8.6999999999999994E-2</v>
      </c>
      <c r="H263" s="974"/>
      <c r="I263" s="974"/>
      <c r="J263" s="974"/>
      <c r="K263" s="974">
        <v>0</v>
      </c>
      <c r="L263" s="974">
        <v>1.9699999999999999E-2</v>
      </c>
      <c r="M263" s="974">
        <v>1</v>
      </c>
      <c r="N263" s="974">
        <v>7.4999999999999997E-2</v>
      </c>
      <c r="O263" s="974">
        <v>0.14000000000000001</v>
      </c>
      <c r="P263" s="974">
        <v>0.11</v>
      </c>
      <c r="Q263" s="974">
        <v>2.99</v>
      </c>
      <c r="R263" s="974"/>
      <c r="S263" s="974"/>
    </row>
    <row r="264" spans="2:19" x14ac:dyDescent="0.25">
      <c r="B264" s="974">
        <v>80</v>
      </c>
      <c r="C264" s="974" t="s">
        <v>1007</v>
      </c>
      <c r="D264" s="974">
        <v>46.8</v>
      </c>
      <c r="E264" s="974">
        <v>0</v>
      </c>
      <c r="F264" s="974">
        <v>0.10100000000000001</v>
      </c>
      <c r="G264" s="974"/>
      <c r="H264" s="974">
        <v>0.6</v>
      </c>
      <c r="I264" s="974">
        <v>10</v>
      </c>
      <c r="J264" s="974">
        <v>135.9</v>
      </c>
      <c r="K264" s="974">
        <v>0</v>
      </c>
      <c r="L264" s="974"/>
      <c r="M264" s="974"/>
      <c r="N264" s="974"/>
      <c r="O264" s="974">
        <v>0</v>
      </c>
      <c r="P264" s="974">
        <v>0</v>
      </c>
      <c r="Q264" s="974">
        <v>0</v>
      </c>
      <c r="R264" s="974">
        <v>2.8299999999999999E-2</v>
      </c>
      <c r="S264" s="974"/>
    </row>
    <row r="265" spans="2:19" x14ac:dyDescent="0.25">
      <c r="B265" s="974"/>
      <c r="C265" s="974"/>
      <c r="D265" s="974"/>
      <c r="E265" s="974"/>
      <c r="F265" s="974"/>
      <c r="G265" s="974">
        <v>0.10100000000000001</v>
      </c>
      <c r="H265" s="974"/>
      <c r="I265" s="974"/>
      <c r="J265" s="974"/>
      <c r="K265" s="974">
        <v>0</v>
      </c>
      <c r="L265" s="974">
        <v>2.29E-2</v>
      </c>
      <c r="M265" s="974">
        <v>1</v>
      </c>
      <c r="N265" s="974">
        <v>7.4999999999999997E-2</v>
      </c>
      <c r="O265" s="974">
        <v>0.14000000000000001</v>
      </c>
      <c r="P265" s="974">
        <v>0.12</v>
      </c>
      <c r="Q265" s="974">
        <v>3.23</v>
      </c>
      <c r="R265" s="974"/>
      <c r="S265" s="974"/>
    </row>
    <row r="266" spans="2:19" x14ac:dyDescent="0.25">
      <c r="B266" s="974">
        <v>81</v>
      </c>
      <c r="C266" s="974" t="s">
        <v>1008</v>
      </c>
      <c r="D266" s="974">
        <v>43.34</v>
      </c>
      <c r="E266" s="974">
        <v>0</v>
      </c>
      <c r="F266" s="974">
        <v>8.2000000000000003E-2</v>
      </c>
      <c r="G266" s="974"/>
      <c r="H266" s="974">
        <v>0.6</v>
      </c>
      <c r="I266" s="974">
        <v>10</v>
      </c>
      <c r="J266" s="974">
        <v>135.9</v>
      </c>
      <c r="K266" s="974">
        <v>0</v>
      </c>
      <c r="L266" s="974"/>
      <c r="M266" s="974"/>
      <c r="N266" s="974"/>
      <c r="O266" s="974">
        <v>0</v>
      </c>
      <c r="P266" s="974">
        <v>0</v>
      </c>
      <c r="Q266" s="974">
        <v>0</v>
      </c>
      <c r="R266" s="974">
        <v>2.9499999999999998E-2</v>
      </c>
      <c r="S266" s="974"/>
    </row>
    <row r="267" spans="2:19" x14ac:dyDescent="0.25">
      <c r="B267" s="974"/>
      <c r="C267" s="974"/>
      <c r="D267" s="974"/>
      <c r="E267" s="974"/>
      <c r="F267" s="974"/>
      <c r="G267" s="974">
        <v>8.2000000000000003E-2</v>
      </c>
      <c r="H267" s="974"/>
      <c r="I267" s="974"/>
      <c r="J267" s="974"/>
      <c r="K267" s="974">
        <v>0</v>
      </c>
      <c r="L267" s="974">
        <v>1.8499999999999999E-2</v>
      </c>
      <c r="M267" s="974">
        <v>1</v>
      </c>
      <c r="N267" s="974">
        <v>7.4999999999999997E-2</v>
      </c>
      <c r="O267" s="974">
        <v>0.14000000000000001</v>
      </c>
      <c r="P267" s="974">
        <v>0.11</v>
      </c>
      <c r="Q267" s="974">
        <v>2.93</v>
      </c>
      <c r="R267" s="974"/>
      <c r="S267" s="974"/>
    </row>
    <row r="268" spans="2:19" x14ac:dyDescent="0.25">
      <c r="B268" s="974">
        <v>82</v>
      </c>
      <c r="C268" s="974" t="s">
        <v>1009</v>
      </c>
      <c r="D268" s="974">
        <v>43.36</v>
      </c>
      <c r="E268" s="974">
        <v>0</v>
      </c>
      <c r="F268" s="974">
        <v>8.6999999999999994E-2</v>
      </c>
      <c r="G268" s="974"/>
      <c r="H268" s="974">
        <v>0.6</v>
      </c>
      <c r="I268" s="974">
        <v>10</v>
      </c>
      <c r="J268" s="974">
        <v>135.9</v>
      </c>
      <c r="K268" s="974">
        <v>0</v>
      </c>
      <c r="L268" s="974"/>
      <c r="M268" s="974"/>
      <c r="N268" s="974"/>
      <c r="O268" s="974">
        <v>0</v>
      </c>
      <c r="P268" s="974">
        <v>0</v>
      </c>
      <c r="Q268" s="974">
        <v>0</v>
      </c>
      <c r="R268" s="974">
        <v>2.9399999999999999E-2</v>
      </c>
      <c r="S268" s="974"/>
    </row>
    <row r="269" spans="2:19" x14ac:dyDescent="0.25">
      <c r="B269" s="974"/>
      <c r="C269" s="974"/>
      <c r="D269" s="974"/>
      <c r="E269" s="974"/>
      <c r="F269" s="974"/>
      <c r="G269" s="974">
        <v>8.6999999999999994E-2</v>
      </c>
      <c r="H269" s="974"/>
      <c r="I269" s="974"/>
      <c r="J269" s="974"/>
      <c r="K269" s="974">
        <v>0</v>
      </c>
      <c r="L269" s="974">
        <v>1.9699999999999999E-2</v>
      </c>
      <c r="M269" s="974">
        <v>1</v>
      </c>
      <c r="N269" s="974">
        <v>7.4999999999999997E-2</v>
      </c>
      <c r="O269" s="974">
        <v>0.14000000000000001</v>
      </c>
      <c r="P269" s="974">
        <v>0.11</v>
      </c>
      <c r="Q269" s="974">
        <v>3</v>
      </c>
      <c r="R269" s="974"/>
      <c r="S269" s="974"/>
    </row>
    <row r="270" spans="2:19" x14ac:dyDescent="0.25">
      <c r="B270" s="974">
        <v>83</v>
      </c>
      <c r="C270" s="974" t="s">
        <v>1010</v>
      </c>
      <c r="D270" s="974">
        <v>43.83</v>
      </c>
      <c r="E270" s="974">
        <v>5.0000000000000001E-3</v>
      </c>
      <c r="F270" s="974">
        <v>0.113</v>
      </c>
      <c r="G270" s="974"/>
      <c r="H270" s="974">
        <v>0.6</v>
      </c>
      <c r="I270" s="974">
        <v>10</v>
      </c>
      <c r="J270" s="974">
        <v>135.9</v>
      </c>
      <c r="K270" s="974">
        <v>0</v>
      </c>
      <c r="L270" s="974"/>
      <c r="M270" s="974"/>
      <c r="N270" s="974"/>
      <c r="O270" s="974">
        <v>0</v>
      </c>
      <c r="P270" s="974">
        <v>0</v>
      </c>
      <c r="Q270" s="974">
        <v>0</v>
      </c>
      <c r="R270" s="974">
        <v>0.14349999999999999</v>
      </c>
      <c r="S270" s="974" t="s">
        <v>889</v>
      </c>
    </row>
    <row r="271" spans="2:19" x14ac:dyDescent="0.25">
      <c r="B271" s="974"/>
      <c r="C271" s="974"/>
      <c r="D271" s="974"/>
      <c r="E271" s="974"/>
      <c r="F271" s="974"/>
      <c r="G271" s="974">
        <v>0.113</v>
      </c>
      <c r="H271" s="974"/>
      <c r="I271" s="974"/>
      <c r="J271" s="974"/>
      <c r="K271" s="974">
        <v>2.5600000000000001E-2</v>
      </c>
      <c r="L271" s="974"/>
      <c r="M271" s="974"/>
      <c r="N271" s="974"/>
      <c r="O271" s="974">
        <v>0.5</v>
      </c>
      <c r="P271" s="974">
        <v>7.0000000000000007E-2</v>
      </c>
      <c r="Q271" s="974">
        <v>1.78</v>
      </c>
      <c r="R271" s="974"/>
      <c r="S271" s="974"/>
    </row>
    <row r="272" spans="2:19" x14ac:dyDescent="0.25">
      <c r="B272" s="974"/>
      <c r="C272" s="974" t="s">
        <v>1011</v>
      </c>
      <c r="D272" s="974">
        <v>64.11</v>
      </c>
      <c r="E272" s="974">
        <v>6.0000000000000001E-3</v>
      </c>
      <c r="F272" s="974">
        <v>0.189</v>
      </c>
      <c r="G272" s="974"/>
      <c r="H272" s="974">
        <v>0.6</v>
      </c>
      <c r="I272" s="974">
        <v>11.5</v>
      </c>
      <c r="J272" s="974">
        <v>135.9</v>
      </c>
      <c r="K272" s="974">
        <v>2.5600000000000001E-2</v>
      </c>
      <c r="L272" s="974"/>
      <c r="M272" s="974"/>
      <c r="N272" s="974"/>
      <c r="O272" s="974">
        <v>0.52</v>
      </c>
      <c r="P272" s="974">
        <v>7.0000000000000007E-2</v>
      </c>
      <c r="Q272" s="974">
        <v>1.75</v>
      </c>
      <c r="R272" s="974">
        <v>0.14929999999999999</v>
      </c>
      <c r="S272" s="974"/>
    </row>
    <row r="273" spans="2:19" x14ac:dyDescent="0.25">
      <c r="B273" s="974"/>
      <c r="C273" s="974"/>
      <c r="D273" s="974"/>
      <c r="E273" s="974"/>
      <c r="F273" s="974"/>
      <c r="G273" s="974">
        <v>0.30199999999999999</v>
      </c>
      <c r="H273" s="974"/>
      <c r="I273" s="974"/>
      <c r="J273" s="974"/>
      <c r="K273" s="974">
        <v>0</v>
      </c>
      <c r="L273" s="974">
        <v>6.83E-2</v>
      </c>
      <c r="M273" s="974">
        <v>1</v>
      </c>
      <c r="N273" s="974">
        <v>7.4999999999999997E-2</v>
      </c>
      <c r="O273" s="974">
        <v>0.66</v>
      </c>
      <c r="P273" s="974">
        <v>0.1</v>
      </c>
      <c r="Q273" s="974">
        <v>2.59</v>
      </c>
      <c r="R273" s="974"/>
      <c r="S273" s="974"/>
    </row>
    <row r="274" spans="2:19" x14ac:dyDescent="0.25">
      <c r="B274" s="974">
        <v>84</v>
      </c>
      <c r="C274" s="974" t="s">
        <v>1012</v>
      </c>
      <c r="D274" s="974">
        <v>45.6</v>
      </c>
      <c r="E274" s="974">
        <v>5.0000000000000001E-3</v>
      </c>
      <c r="F274" s="974">
        <v>8.7999999999999995E-2</v>
      </c>
      <c r="G274" s="974"/>
      <c r="H274" s="974">
        <v>0.6</v>
      </c>
      <c r="I274" s="974">
        <v>10</v>
      </c>
      <c r="J274" s="974">
        <v>135.9</v>
      </c>
      <c r="K274" s="974">
        <v>0</v>
      </c>
      <c r="L274" s="974"/>
      <c r="M274" s="974"/>
      <c r="N274" s="974"/>
      <c r="O274" s="974">
        <v>0</v>
      </c>
      <c r="P274" s="974">
        <v>0</v>
      </c>
      <c r="Q274" s="974">
        <v>0</v>
      </c>
      <c r="R274" s="974">
        <v>0.14069999999999999</v>
      </c>
      <c r="S274" s="974" t="s">
        <v>889</v>
      </c>
    </row>
    <row r="275" spans="2:19" x14ac:dyDescent="0.25">
      <c r="B275" s="974"/>
      <c r="C275" s="974"/>
      <c r="D275" s="974"/>
      <c r="E275" s="974"/>
      <c r="F275" s="974"/>
      <c r="G275" s="974">
        <v>8.7999999999999995E-2</v>
      </c>
      <c r="H275" s="974"/>
      <c r="I275" s="974"/>
      <c r="J275" s="974"/>
      <c r="K275" s="974">
        <v>0.02</v>
      </c>
      <c r="L275" s="974"/>
      <c r="M275" s="974"/>
      <c r="N275" s="974"/>
      <c r="O275" s="974">
        <v>0.47</v>
      </c>
      <c r="P275" s="974">
        <v>7.0000000000000007E-2</v>
      </c>
      <c r="Q275" s="974">
        <v>1.62</v>
      </c>
      <c r="R275" s="974"/>
      <c r="S275" s="974"/>
    </row>
    <row r="276" spans="2:19" x14ac:dyDescent="0.25">
      <c r="B276" s="974"/>
      <c r="C276" s="974" t="s">
        <v>1013</v>
      </c>
      <c r="D276" s="974">
        <v>5.65</v>
      </c>
      <c r="E276" s="974">
        <v>1.6E-2</v>
      </c>
      <c r="F276" s="974">
        <v>0</v>
      </c>
      <c r="G276" s="974"/>
      <c r="H276" s="974">
        <v>0.6</v>
      </c>
      <c r="I276" s="974">
        <v>12.6</v>
      </c>
      <c r="J276" s="974">
        <v>135.9</v>
      </c>
      <c r="K276" s="974">
        <v>0.02</v>
      </c>
      <c r="L276" s="974"/>
      <c r="M276" s="974"/>
      <c r="N276" s="974"/>
      <c r="O276" s="974">
        <v>0.62</v>
      </c>
      <c r="P276" s="974">
        <v>0.06</v>
      </c>
      <c r="Q276" s="974">
        <v>1.7</v>
      </c>
      <c r="R276" s="974">
        <v>0.27339999999999998</v>
      </c>
      <c r="S276" s="974" t="s">
        <v>889</v>
      </c>
    </row>
    <row r="277" spans="2:19" x14ac:dyDescent="0.25">
      <c r="B277" s="974"/>
      <c r="C277" s="974"/>
      <c r="D277" s="974"/>
      <c r="E277" s="974"/>
      <c r="F277" s="974"/>
      <c r="G277" s="974">
        <v>8.7999999999999995E-2</v>
      </c>
      <c r="H277" s="974"/>
      <c r="I277" s="974"/>
      <c r="J277" s="974"/>
      <c r="K277" s="974">
        <v>0.02</v>
      </c>
      <c r="L277" s="974"/>
      <c r="M277" s="974"/>
      <c r="N277" s="974"/>
      <c r="O277" s="974">
        <v>0.62</v>
      </c>
      <c r="P277" s="974">
        <v>0.06</v>
      </c>
      <c r="Q277" s="974">
        <v>1.7</v>
      </c>
      <c r="R277" s="974"/>
      <c r="S277" s="974"/>
    </row>
    <row r="278" spans="2:19" x14ac:dyDescent="0.25">
      <c r="B278" s="974"/>
      <c r="C278" s="974" t="s">
        <v>1014</v>
      </c>
      <c r="D278" s="974">
        <v>97.49</v>
      </c>
      <c r="E278" s="974">
        <v>2.1999999999999999E-2</v>
      </c>
      <c r="F278" s="974">
        <v>0.25700000000000001</v>
      </c>
      <c r="G278" s="974"/>
      <c r="H278" s="974">
        <v>0.6</v>
      </c>
      <c r="I278" s="974">
        <v>12.72</v>
      </c>
      <c r="J278" s="974">
        <v>135.9</v>
      </c>
      <c r="K278" s="974">
        <v>0.02</v>
      </c>
      <c r="L278" s="974"/>
      <c r="M278" s="974"/>
      <c r="N278" s="974"/>
      <c r="O278" s="974">
        <v>0.82</v>
      </c>
      <c r="P278" s="974">
        <v>0.06</v>
      </c>
      <c r="Q278" s="974">
        <v>1.19</v>
      </c>
      <c r="R278" s="974">
        <v>0.28939999999999999</v>
      </c>
      <c r="S278" s="974"/>
    </row>
    <row r="279" spans="2:19" x14ac:dyDescent="0.25">
      <c r="B279" s="974"/>
      <c r="C279" s="974"/>
      <c r="D279" s="974"/>
      <c r="E279" s="974"/>
      <c r="F279" s="974"/>
      <c r="G279" s="974">
        <v>0.34499999999999997</v>
      </c>
      <c r="H279" s="974"/>
      <c r="I279" s="974"/>
      <c r="J279" s="974"/>
      <c r="K279" s="974">
        <v>0</v>
      </c>
      <c r="L279" s="974">
        <v>7.8200000000000006E-2</v>
      </c>
      <c r="M279" s="974">
        <v>2</v>
      </c>
      <c r="N279" s="974">
        <v>7.4999999999999997E-2</v>
      </c>
      <c r="O279" s="974">
        <v>1.1200000000000001</v>
      </c>
      <c r="P279" s="974">
        <v>0.08</v>
      </c>
      <c r="Q279" s="974">
        <v>2.11</v>
      </c>
      <c r="R279" s="974"/>
      <c r="S279" s="974"/>
    </row>
    <row r="280" spans="2:19" x14ac:dyDescent="0.25">
      <c r="B280" s="974">
        <v>85</v>
      </c>
      <c r="C280" s="974" t="s">
        <v>1015</v>
      </c>
      <c r="D280" s="974">
        <v>49.6</v>
      </c>
      <c r="E280" s="974">
        <v>8.0000000000000002E-3</v>
      </c>
      <c r="F280" s="974">
        <v>0.106</v>
      </c>
      <c r="G280" s="974"/>
      <c r="H280" s="974">
        <v>0.6</v>
      </c>
      <c r="I280" s="974">
        <v>10</v>
      </c>
      <c r="J280" s="974">
        <v>135.9</v>
      </c>
      <c r="K280" s="974">
        <v>0</v>
      </c>
      <c r="L280" s="974"/>
      <c r="M280" s="974"/>
      <c r="N280" s="974"/>
      <c r="O280" s="974">
        <v>0</v>
      </c>
      <c r="P280" s="974">
        <v>0</v>
      </c>
      <c r="Q280" s="974">
        <v>0</v>
      </c>
      <c r="R280" s="974">
        <v>0.16980000000000001</v>
      </c>
      <c r="S280" s="974" t="s">
        <v>889</v>
      </c>
    </row>
    <row r="281" spans="2:19" x14ac:dyDescent="0.25">
      <c r="B281" s="974"/>
      <c r="C281" s="974"/>
      <c r="D281" s="974"/>
      <c r="E281" s="974"/>
      <c r="F281" s="974"/>
      <c r="G281" s="974">
        <v>0.106</v>
      </c>
      <c r="H281" s="974"/>
      <c r="I281" s="974"/>
      <c r="J281" s="974"/>
      <c r="K281" s="974">
        <v>2.4E-2</v>
      </c>
      <c r="L281" s="974"/>
      <c r="M281" s="974"/>
      <c r="N281" s="974"/>
      <c r="O281" s="974">
        <v>0.56999999999999995</v>
      </c>
      <c r="P281" s="974">
        <v>7.0000000000000007E-2</v>
      </c>
      <c r="Q281" s="974">
        <v>1.62</v>
      </c>
      <c r="R281" s="974"/>
      <c r="S281" s="974"/>
    </row>
    <row r="282" spans="2:19" x14ac:dyDescent="0.25">
      <c r="B282" s="974"/>
      <c r="C282" s="974" t="s">
        <v>1016</v>
      </c>
      <c r="D282" s="974">
        <v>7.3</v>
      </c>
      <c r="E282" s="974">
        <v>1E-3</v>
      </c>
      <c r="F282" s="974">
        <v>0</v>
      </c>
      <c r="G282" s="974"/>
      <c r="H282" s="974">
        <v>0.6</v>
      </c>
      <c r="I282" s="974">
        <v>16.59</v>
      </c>
      <c r="J282" s="974">
        <v>135.9</v>
      </c>
      <c r="K282" s="974">
        <v>2.4E-2</v>
      </c>
      <c r="L282" s="974"/>
      <c r="M282" s="974"/>
      <c r="N282" s="974"/>
      <c r="O282" s="974">
        <v>0.19</v>
      </c>
      <c r="P282" s="974">
        <v>7.0000000000000007E-2</v>
      </c>
      <c r="Q282" s="974">
        <v>2.4300000000000002</v>
      </c>
      <c r="R282" s="974">
        <v>0.1431</v>
      </c>
      <c r="S282" s="974" t="s">
        <v>891</v>
      </c>
    </row>
    <row r="283" spans="2:19" x14ac:dyDescent="0.25">
      <c r="B283" s="974"/>
      <c r="C283" s="974"/>
      <c r="D283" s="974"/>
      <c r="E283" s="974"/>
      <c r="F283" s="974"/>
      <c r="G283" s="974">
        <v>0.106</v>
      </c>
      <c r="H283" s="974"/>
      <c r="I283" s="974"/>
      <c r="J283" s="974"/>
      <c r="K283" s="974">
        <v>2.4E-2</v>
      </c>
      <c r="L283" s="974"/>
      <c r="M283" s="974"/>
      <c r="N283" s="974"/>
      <c r="O283" s="974">
        <v>0.19</v>
      </c>
      <c r="P283" s="974">
        <v>7.0000000000000007E-2</v>
      </c>
      <c r="Q283" s="974">
        <v>2.4300000000000002</v>
      </c>
      <c r="R283" s="974"/>
      <c r="S283" s="974"/>
    </row>
    <row r="284" spans="2:19" x14ac:dyDescent="0.25">
      <c r="B284" s="974"/>
      <c r="C284" s="974" t="s">
        <v>1017</v>
      </c>
      <c r="D284" s="974">
        <v>7.03</v>
      </c>
      <c r="E284" s="974">
        <v>1E-3</v>
      </c>
      <c r="F284" s="974">
        <v>0</v>
      </c>
      <c r="G284" s="974"/>
      <c r="H284" s="974">
        <v>0.6</v>
      </c>
      <c r="I284" s="974">
        <v>21.71</v>
      </c>
      <c r="J284" s="974">
        <v>135.9</v>
      </c>
      <c r="K284" s="974">
        <v>4.2599999999999999E-2</v>
      </c>
      <c r="L284" s="974"/>
      <c r="M284" s="974"/>
      <c r="N284" s="974"/>
      <c r="O284" s="974">
        <v>0.24</v>
      </c>
      <c r="P284" s="974">
        <v>0.11</v>
      </c>
      <c r="Q284" s="974">
        <v>4.1500000000000004</v>
      </c>
      <c r="R284" s="974">
        <v>6.8500000000000005E-2</v>
      </c>
      <c r="S284" s="974"/>
    </row>
    <row r="285" spans="2:19" x14ac:dyDescent="0.25">
      <c r="B285" s="974"/>
      <c r="C285" s="974"/>
      <c r="D285" s="974"/>
      <c r="E285" s="974"/>
      <c r="F285" s="974"/>
      <c r="G285" s="974">
        <v>0.188</v>
      </c>
      <c r="H285" s="974"/>
      <c r="I285" s="974"/>
      <c r="J285" s="974"/>
      <c r="K285" s="974">
        <v>4.2599999999999999E-2</v>
      </c>
      <c r="L285" s="974"/>
      <c r="M285" s="974"/>
      <c r="N285" s="974"/>
      <c r="O285" s="974">
        <v>0.24</v>
      </c>
      <c r="P285" s="974">
        <v>0.11</v>
      </c>
      <c r="Q285" s="974">
        <v>4.1500000000000004</v>
      </c>
      <c r="R285" s="974"/>
      <c r="S285" s="974"/>
    </row>
    <row r="286" spans="2:19" x14ac:dyDescent="0.25">
      <c r="B286" s="974"/>
      <c r="C286" s="974" t="s">
        <v>1018</v>
      </c>
      <c r="D286" s="974">
        <v>96.9</v>
      </c>
      <c r="E286" s="974">
        <v>1.7999999999999999E-2</v>
      </c>
      <c r="F286" s="974">
        <v>0.27600000000000002</v>
      </c>
      <c r="G286" s="974"/>
      <c r="H286" s="974">
        <v>0.6</v>
      </c>
      <c r="I286" s="974">
        <v>21.96</v>
      </c>
      <c r="J286" s="974">
        <v>135.9</v>
      </c>
      <c r="K286" s="974">
        <v>4.2599999999999999E-2</v>
      </c>
      <c r="L286" s="974"/>
      <c r="M286" s="974"/>
      <c r="N286" s="974"/>
      <c r="O286" s="974">
        <v>0.89</v>
      </c>
      <c r="P286" s="974">
        <v>7.0000000000000007E-2</v>
      </c>
      <c r="Q286" s="974">
        <v>1.73</v>
      </c>
      <c r="R286" s="974">
        <v>0.25690000000000002</v>
      </c>
      <c r="S286" s="974"/>
    </row>
    <row r="287" spans="2:19" x14ac:dyDescent="0.25">
      <c r="B287" s="974"/>
      <c r="C287" s="974"/>
      <c r="D287" s="974"/>
      <c r="E287" s="974"/>
      <c r="F287" s="974"/>
      <c r="G287" s="974">
        <v>0.46400000000000002</v>
      </c>
      <c r="H287" s="974"/>
      <c r="I287" s="974"/>
      <c r="J287" s="974"/>
      <c r="K287" s="974">
        <v>0</v>
      </c>
      <c r="L287" s="974">
        <v>0.105</v>
      </c>
      <c r="M287" s="974">
        <v>2</v>
      </c>
      <c r="N287" s="974">
        <v>7.4999999999999997E-2</v>
      </c>
      <c r="O287" s="974">
        <v>1.1000000000000001</v>
      </c>
      <c r="P287" s="974">
        <v>0.1</v>
      </c>
      <c r="Q287" s="974">
        <v>2.48</v>
      </c>
      <c r="R287" s="974"/>
      <c r="S287" s="974"/>
    </row>
    <row r="288" spans="2:19" x14ac:dyDescent="0.25">
      <c r="B288" s="974">
        <v>86</v>
      </c>
      <c r="C288" s="974" t="s">
        <v>1019</v>
      </c>
      <c r="D288" s="974">
        <v>42.71</v>
      </c>
      <c r="E288" s="974">
        <v>8.9999999999999993E-3</v>
      </c>
      <c r="F288" s="974">
        <v>7.0000000000000007E-2</v>
      </c>
      <c r="G288" s="974"/>
      <c r="H288" s="974">
        <v>0.6</v>
      </c>
      <c r="I288" s="974">
        <v>10</v>
      </c>
      <c r="J288" s="974">
        <v>135.9</v>
      </c>
      <c r="K288" s="974">
        <v>0</v>
      </c>
      <c r="L288" s="974"/>
      <c r="M288" s="974"/>
      <c r="N288" s="974"/>
      <c r="O288" s="974">
        <v>0</v>
      </c>
      <c r="P288" s="974">
        <v>0</v>
      </c>
      <c r="Q288" s="974">
        <v>0</v>
      </c>
      <c r="R288" s="974">
        <v>0.183</v>
      </c>
      <c r="S288" s="974"/>
    </row>
    <row r="289" spans="2:19" x14ac:dyDescent="0.25">
      <c r="B289" s="974"/>
      <c r="C289" s="974"/>
      <c r="D289" s="974"/>
      <c r="E289" s="974"/>
      <c r="F289" s="974"/>
      <c r="G289" s="974">
        <v>7.0000000000000007E-2</v>
      </c>
      <c r="H289" s="974"/>
      <c r="I289" s="974"/>
      <c r="J289" s="974"/>
      <c r="K289" s="974">
        <v>0</v>
      </c>
      <c r="L289" s="974">
        <v>1.5800000000000002E-2</v>
      </c>
      <c r="M289" s="974">
        <v>1</v>
      </c>
      <c r="N289" s="974">
        <v>7.4999999999999997E-2</v>
      </c>
      <c r="O289" s="974">
        <v>0.55000000000000004</v>
      </c>
      <c r="P289" s="974">
        <v>0.06</v>
      </c>
      <c r="Q289" s="974">
        <v>1.31</v>
      </c>
      <c r="R289" s="974"/>
      <c r="S289" s="974"/>
    </row>
    <row r="290" spans="2:19" x14ac:dyDescent="0.25">
      <c r="B290" s="974">
        <v>87</v>
      </c>
      <c r="C290" s="974" t="s">
        <v>1020</v>
      </c>
      <c r="D290" s="974">
        <v>48.24</v>
      </c>
      <c r="E290" s="974">
        <v>8.0000000000000002E-3</v>
      </c>
      <c r="F290" s="974">
        <v>8.2000000000000003E-2</v>
      </c>
      <c r="G290" s="974"/>
      <c r="H290" s="974">
        <v>0.6</v>
      </c>
      <c r="I290" s="974">
        <v>10</v>
      </c>
      <c r="J290" s="974">
        <v>135.9</v>
      </c>
      <c r="K290" s="974">
        <v>0</v>
      </c>
      <c r="L290" s="974"/>
      <c r="M290" s="974"/>
      <c r="N290" s="974"/>
      <c r="O290" s="974">
        <v>0</v>
      </c>
      <c r="P290" s="974">
        <v>0</v>
      </c>
      <c r="Q290" s="974">
        <v>0</v>
      </c>
      <c r="R290" s="974">
        <v>0.17219999999999999</v>
      </c>
      <c r="S290" s="974" t="s">
        <v>889</v>
      </c>
    </row>
    <row r="291" spans="2:19" x14ac:dyDescent="0.25">
      <c r="B291" s="974"/>
      <c r="C291" s="974"/>
      <c r="D291" s="974"/>
      <c r="E291" s="974"/>
      <c r="F291" s="974"/>
      <c r="G291" s="974">
        <v>8.2000000000000003E-2</v>
      </c>
      <c r="H291" s="974"/>
      <c r="I291" s="974"/>
      <c r="J291" s="974"/>
      <c r="K291" s="974">
        <v>1.8499999999999999E-2</v>
      </c>
      <c r="L291" s="974"/>
      <c r="M291" s="974"/>
      <c r="N291" s="974"/>
      <c r="O291" s="974">
        <v>0.54</v>
      </c>
      <c r="P291" s="974">
        <v>0.06</v>
      </c>
      <c r="Q291" s="974">
        <v>1.44</v>
      </c>
      <c r="R291" s="974"/>
      <c r="S291" s="974"/>
    </row>
    <row r="292" spans="2:19" x14ac:dyDescent="0.25">
      <c r="B292" s="974">
        <v>88</v>
      </c>
      <c r="C292" s="974" t="s">
        <v>1021</v>
      </c>
      <c r="D292" s="974">
        <v>43.87</v>
      </c>
      <c r="E292" s="974">
        <v>3.0000000000000001E-3</v>
      </c>
      <c r="F292" s="974">
        <v>9.2999999999999999E-2</v>
      </c>
      <c r="G292" s="974"/>
      <c r="H292" s="974">
        <v>0.6</v>
      </c>
      <c r="I292" s="974">
        <v>10</v>
      </c>
      <c r="J292" s="974">
        <v>135.9</v>
      </c>
      <c r="K292" s="974">
        <v>0</v>
      </c>
      <c r="L292" s="974"/>
      <c r="M292" s="974"/>
      <c r="N292" s="974"/>
      <c r="O292" s="974">
        <v>0</v>
      </c>
      <c r="P292" s="974">
        <v>0</v>
      </c>
      <c r="Q292" s="974">
        <v>0</v>
      </c>
      <c r="R292" s="974">
        <v>0.1056</v>
      </c>
      <c r="S292" s="974"/>
    </row>
    <row r="293" spans="2:19" x14ac:dyDescent="0.25">
      <c r="B293" s="974"/>
      <c r="C293" s="974"/>
      <c r="D293" s="974"/>
      <c r="E293" s="974"/>
      <c r="F293" s="974"/>
      <c r="G293" s="974">
        <v>9.2999999999999999E-2</v>
      </c>
      <c r="H293" s="974"/>
      <c r="I293" s="974"/>
      <c r="J293" s="974"/>
      <c r="K293" s="974">
        <v>0</v>
      </c>
      <c r="L293" s="974">
        <v>2.1000000000000001E-2</v>
      </c>
      <c r="M293" s="974">
        <v>1</v>
      </c>
      <c r="N293" s="974">
        <v>7.4999999999999997E-2</v>
      </c>
      <c r="O293" s="974">
        <v>0.38</v>
      </c>
      <c r="P293" s="974">
        <v>0.08</v>
      </c>
      <c r="Q293" s="974">
        <v>1.86</v>
      </c>
      <c r="R293" s="974"/>
      <c r="S293" s="974"/>
    </row>
    <row r="294" spans="2:19" x14ac:dyDescent="0.25">
      <c r="B294" s="974">
        <v>89</v>
      </c>
      <c r="C294" s="974" t="s">
        <v>1022</v>
      </c>
      <c r="D294" s="974">
        <v>44.66</v>
      </c>
      <c r="E294" s="974">
        <v>4.0000000000000001E-3</v>
      </c>
      <c r="F294" s="974">
        <v>9.1999999999999998E-2</v>
      </c>
      <c r="G294" s="974"/>
      <c r="H294" s="974">
        <v>0.6</v>
      </c>
      <c r="I294" s="974">
        <v>10</v>
      </c>
      <c r="J294" s="974">
        <v>135.9</v>
      </c>
      <c r="K294" s="974">
        <v>0</v>
      </c>
      <c r="L294" s="974"/>
      <c r="M294" s="974"/>
      <c r="N294" s="974"/>
      <c r="O294" s="974">
        <v>0</v>
      </c>
      <c r="P294" s="974">
        <v>0</v>
      </c>
      <c r="Q294" s="974">
        <v>0</v>
      </c>
      <c r="R294" s="974">
        <v>0.1232</v>
      </c>
      <c r="S294" s="974"/>
    </row>
    <row r="295" spans="2:19" x14ac:dyDescent="0.25">
      <c r="B295" s="974"/>
      <c r="C295" s="974"/>
      <c r="D295" s="974"/>
      <c r="E295" s="974"/>
      <c r="F295" s="974"/>
      <c r="G295" s="974">
        <v>9.1999999999999998E-2</v>
      </c>
      <c r="H295" s="974"/>
      <c r="I295" s="974"/>
      <c r="J295" s="974"/>
      <c r="K295" s="974">
        <v>0</v>
      </c>
      <c r="L295" s="974">
        <v>2.0899999999999998E-2</v>
      </c>
      <c r="M295" s="974">
        <v>1</v>
      </c>
      <c r="N295" s="974">
        <v>7.4999999999999997E-2</v>
      </c>
      <c r="O295" s="974">
        <v>0.43</v>
      </c>
      <c r="P295" s="974">
        <v>7.0000000000000007E-2</v>
      </c>
      <c r="Q295" s="974">
        <v>1.75</v>
      </c>
      <c r="R295" s="974"/>
      <c r="S295" s="974"/>
    </row>
    <row r="296" spans="2:19" x14ac:dyDescent="0.25">
      <c r="B296" s="974">
        <v>90</v>
      </c>
      <c r="C296" s="974" t="s">
        <v>1023</v>
      </c>
      <c r="D296" s="974">
        <v>45.62</v>
      </c>
      <c r="E296" s="974">
        <v>6.0000000000000001E-3</v>
      </c>
      <c r="F296" s="974">
        <v>8.1000000000000003E-2</v>
      </c>
      <c r="G296" s="974"/>
      <c r="H296" s="974">
        <v>0.6</v>
      </c>
      <c r="I296" s="974">
        <v>10</v>
      </c>
      <c r="J296" s="974">
        <v>135.9</v>
      </c>
      <c r="K296" s="974">
        <v>0</v>
      </c>
      <c r="L296" s="974"/>
      <c r="M296" s="974"/>
      <c r="N296" s="974"/>
      <c r="O296" s="974">
        <v>0</v>
      </c>
      <c r="P296" s="974">
        <v>0</v>
      </c>
      <c r="Q296" s="974">
        <v>0</v>
      </c>
      <c r="R296" s="974">
        <v>0.1492</v>
      </c>
      <c r="S296" s="974"/>
    </row>
    <row r="297" spans="2:19" x14ac:dyDescent="0.25">
      <c r="B297" s="974"/>
      <c r="C297" s="974"/>
      <c r="D297" s="974"/>
      <c r="E297" s="974"/>
      <c r="F297" s="974"/>
      <c r="G297" s="974">
        <v>8.1000000000000003E-2</v>
      </c>
      <c r="H297" s="974"/>
      <c r="I297" s="974"/>
      <c r="J297" s="974"/>
      <c r="K297" s="974">
        <v>0</v>
      </c>
      <c r="L297" s="974">
        <v>1.84E-2</v>
      </c>
      <c r="M297" s="974">
        <v>1</v>
      </c>
      <c r="N297" s="974">
        <v>7.4999999999999997E-2</v>
      </c>
      <c r="O297" s="974">
        <v>0.48</v>
      </c>
      <c r="P297" s="974">
        <v>7.0000000000000007E-2</v>
      </c>
      <c r="Q297" s="974">
        <v>1.53</v>
      </c>
      <c r="R297" s="974"/>
      <c r="S297" s="974"/>
    </row>
    <row r="298" spans="2:19" x14ac:dyDescent="0.25">
      <c r="B298" s="974">
        <v>91</v>
      </c>
      <c r="C298" s="974" t="s">
        <v>1024</v>
      </c>
      <c r="D298" s="974">
        <v>45.2</v>
      </c>
      <c r="E298" s="974">
        <v>8.0000000000000002E-3</v>
      </c>
      <c r="F298" s="974">
        <v>0.10199999999999999</v>
      </c>
      <c r="G298" s="974"/>
      <c r="H298" s="974">
        <v>0.6</v>
      </c>
      <c r="I298" s="974">
        <v>10</v>
      </c>
      <c r="J298" s="974">
        <v>135.9</v>
      </c>
      <c r="K298" s="974">
        <v>0</v>
      </c>
      <c r="L298" s="974"/>
      <c r="M298" s="974"/>
      <c r="N298" s="974"/>
      <c r="O298" s="974">
        <v>0</v>
      </c>
      <c r="P298" s="974">
        <v>0</v>
      </c>
      <c r="Q298" s="974">
        <v>0</v>
      </c>
      <c r="R298" s="974">
        <v>0.17780000000000001</v>
      </c>
      <c r="S298" s="974"/>
    </row>
    <row r="299" spans="2:19" x14ac:dyDescent="0.25">
      <c r="B299" s="974"/>
      <c r="C299" s="974"/>
      <c r="D299" s="974"/>
      <c r="E299" s="974"/>
      <c r="F299" s="974"/>
      <c r="G299" s="974">
        <v>0.10199999999999999</v>
      </c>
      <c r="H299" s="974"/>
      <c r="I299" s="974"/>
      <c r="J299" s="974"/>
      <c r="K299" s="974">
        <v>0</v>
      </c>
      <c r="L299" s="974">
        <v>2.3099999999999999E-2</v>
      </c>
      <c r="M299" s="974">
        <v>1</v>
      </c>
      <c r="N299" s="974">
        <v>7.4999999999999997E-2</v>
      </c>
      <c r="O299" s="974">
        <v>0.57999999999999996</v>
      </c>
      <c r="P299" s="974">
        <v>7.0000000000000007E-2</v>
      </c>
      <c r="Q299" s="974">
        <v>1.56</v>
      </c>
      <c r="R299" s="974"/>
      <c r="S299" s="974"/>
    </row>
    <row r="300" spans="2:19" x14ac:dyDescent="0.25">
      <c r="B300" s="974">
        <v>92</v>
      </c>
      <c r="C300" s="974" t="s">
        <v>1025</v>
      </c>
      <c r="D300" s="974">
        <v>44.91</v>
      </c>
      <c r="E300" s="974">
        <v>7.0000000000000001E-3</v>
      </c>
      <c r="F300" s="974">
        <v>9.2999999999999999E-2</v>
      </c>
      <c r="G300" s="974"/>
      <c r="H300" s="974">
        <v>0.6</v>
      </c>
      <c r="I300" s="974">
        <v>10</v>
      </c>
      <c r="J300" s="974">
        <v>135.9</v>
      </c>
      <c r="K300" s="974">
        <v>0</v>
      </c>
      <c r="L300" s="974"/>
      <c r="M300" s="974"/>
      <c r="N300" s="974"/>
      <c r="O300" s="974">
        <v>0</v>
      </c>
      <c r="P300" s="974">
        <v>0</v>
      </c>
      <c r="Q300" s="974">
        <v>0</v>
      </c>
      <c r="R300" s="974">
        <v>0.16370000000000001</v>
      </c>
      <c r="S300" s="974"/>
    </row>
    <row r="301" spans="2:19" x14ac:dyDescent="0.25">
      <c r="B301" s="974"/>
      <c r="C301" s="974"/>
      <c r="D301" s="974"/>
      <c r="E301" s="974"/>
      <c r="F301" s="974"/>
      <c r="G301" s="974">
        <v>9.2999999999999999E-2</v>
      </c>
      <c r="H301" s="974"/>
      <c r="I301" s="974"/>
      <c r="J301" s="974"/>
      <c r="K301" s="974">
        <v>0</v>
      </c>
      <c r="L301" s="974">
        <v>2.1100000000000001E-2</v>
      </c>
      <c r="M301" s="974">
        <v>1</v>
      </c>
      <c r="N301" s="974">
        <v>7.4999999999999997E-2</v>
      </c>
      <c r="O301" s="974">
        <v>0.53</v>
      </c>
      <c r="P301" s="974">
        <v>7.0000000000000007E-2</v>
      </c>
      <c r="Q301" s="974">
        <v>1.56</v>
      </c>
      <c r="R301" s="974"/>
      <c r="S301" s="974"/>
    </row>
    <row r="302" spans="2:19" x14ac:dyDescent="0.25">
      <c r="B302" s="974">
        <v>93</v>
      </c>
      <c r="C302" s="974" t="s">
        <v>1026</v>
      </c>
      <c r="D302" s="974">
        <v>46.75</v>
      </c>
      <c r="E302" s="974">
        <v>3.0000000000000001E-3</v>
      </c>
      <c r="F302" s="974">
        <v>9.2999999999999999E-2</v>
      </c>
      <c r="G302" s="974"/>
      <c r="H302" s="974">
        <v>0.6</v>
      </c>
      <c r="I302" s="974">
        <v>10</v>
      </c>
      <c r="J302" s="974">
        <v>135.9</v>
      </c>
      <c r="K302" s="974">
        <v>0</v>
      </c>
      <c r="L302" s="974"/>
      <c r="M302" s="974"/>
      <c r="N302" s="974"/>
      <c r="O302" s="974">
        <v>0</v>
      </c>
      <c r="P302" s="974">
        <v>0</v>
      </c>
      <c r="Q302" s="974">
        <v>0</v>
      </c>
      <c r="R302" s="974">
        <v>0.1023</v>
      </c>
      <c r="S302" s="974"/>
    </row>
    <row r="303" spans="2:19" x14ac:dyDescent="0.25">
      <c r="B303" s="974"/>
      <c r="C303" s="974"/>
      <c r="D303" s="974"/>
      <c r="E303" s="974"/>
      <c r="F303" s="974"/>
      <c r="G303" s="974">
        <v>9.2999999999999999E-2</v>
      </c>
      <c r="H303" s="974"/>
      <c r="I303" s="974"/>
      <c r="J303" s="974"/>
      <c r="K303" s="974">
        <v>0</v>
      </c>
      <c r="L303" s="974">
        <v>2.12E-2</v>
      </c>
      <c r="M303" s="974">
        <v>1</v>
      </c>
      <c r="N303" s="974">
        <v>7.4999999999999997E-2</v>
      </c>
      <c r="O303" s="974">
        <v>0.37</v>
      </c>
      <c r="P303" s="974">
        <v>0.08</v>
      </c>
      <c r="Q303" s="974">
        <v>1.89</v>
      </c>
      <c r="R303" s="974"/>
      <c r="S303" s="974"/>
    </row>
    <row r="304" spans="2:19" x14ac:dyDescent="0.25">
      <c r="B304" s="974">
        <v>94</v>
      </c>
      <c r="C304" s="974" t="s">
        <v>1027</v>
      </c>
      <c r="D304" s="974">
        <v>45.12</v>
      </c>
      <c r="E304" s="974">
        <v>4.0000000000000001E-3</v>
      </c>
      <c r="F304" s="974">
        <v>7.6999999999999999E-2</v>
      </c>
      <c r="G304" s="974"/>
      <c r="H304" s="974">
        <v>0.6</v>
      </c>
      <c r="I304" s="974">
        <v>10</v>
      </c>
      <c r="J304" s="974">
        <v>135.9</v>
      </c>
      <c r="K304" s="974">
        <v>0</v>
      </c>
      <c r="L304" s="974"/>
      <c r="M304" s="974"/>
      <c r="N304" s="974"/>
      <c r="O304" s="974">
        <v>0</v>
      </c>
      <c r="P304" s="974">
        <v>0</v>
      </c>
      <c r="Q304" s="974">
        <v>0</v>
      </c>
      <c r="R304" s="974">
        <v>0.1225</v>
      </c>
      <c r="S304" s="974"/>
    </row>
    <row r="305" spans="2:19" x14ac:dyDescent="0.25">
      <c r="B305" s="974"/>
      <c r="C305" s="974"/>
      <c r="D305" s="974"/>
      <c r="E305" s="974"/>
      <c r="F305" s="974"/>
      <c r="G305" s="974">
        <v>7.6999999999999999E-2</v>
      </c>
      <c r="H305" s="974"/>
      <c r="I305" s="974"/>
      <c r="J305" s="974"/>
      <c r="K305" s="974">
        <v>0</v>
      </c>
      <c r="L305" s="974">
        <v>1.7399999999999999E-2</v>
      </c>
      <c r="M305" s="974">
        <v>1</v>
      </c>
      <c r="N305" s="974">
        <v>7.4999999999999997E-2</v>
      </c>
      <c r="O305" s="974">
        <v>0.41</v>
      </c>
      <c r="P305" s="974">
        <v>7.0000000000000007E-2</v>
      </c>
      <c r="Q305" s="974">
        <v>1.62</v>
      </c>
      <c r="R305" s="974"/>
      <c r="S305" s="974"/>
    </row>
    <row r="306" spans="2:19" x14ac:dyDescent="0.25">
      <c r="B306" s="974">
        <v>95</v>
      </c>
      <c r="C306" s="974" t="s">
        <v>1028</v>
      </c>
      <c r="D306" s="974">
        <v>43.29</v>
      </c>
      <c r="E306" s="974">
        <v>6.0000000000000001E-3</v>
      </c>
      <c r="F306" s="974">
        <v>8.6999999999999994E-2</v>
      </c>
      <c r="G306" s="974"/>
      <c r="H306" s="974">
        <v>0.6</v>
      </c>
      <c r="I306" s="974">
        <v>10</v>
      </c>
      <c r="J306" s="974">
        <v>135.9</v>
      </c>
      <c r="K306" s="974">
        <v>0</v>
      </c>
      <c r="L306" s="974"/>
      <c r="M306" s="974"/>
      <c r="N306" s="974"/>
      <c r="O306" s="974">
        <v>0</v>
      </c>
      <c r="P306" s="974">
        <v>0</v>
      </c>
      <c r="Q306" s="974">
        <v>0</v>
      </c>
      <c r="R306" s="974">
        <v>0.1532</v>
      </c>
      <c r="S306" s="974"/>
    </row>
    <row r="307" spans="2:19" x14ac:dyDescent="0.25">
      <c r="B307" s="974"/>
      <c r="C307" s="974"/>
      <c r="D307" s="974"/>
      <c r="E307" s="974"/>
      <c r="F307" s="974"/>
      <c r="G307" s="974">
        <v>8.6999999999999994E-2</v>
      </c>
      <c r="H307" s="974"/>
      <c r="I307" s="974"/>
      <c r="J307" s="974"/>
      <c r="K307" s="974">
        <v>0</v>
      </c>
      <c r="L307" s="974">
        <v>1.9599999999999999E-2</v>
      </c>
      <c r="M307" s="974">
        <v>1</v>
      </c>
      <c r="N307" s="974">
        <v>7.4999999999999997E-2</v>
      </c>
      <c r="O307" s="974">
        <v>0.5</v>
      </c>
      <c r="P307" s="974">
        <v>7.0000000000000007E-2</v>
      </c>
      <c r="Q307" s="974">
        <v>1.55</v>
      </c>
      <c r="R307" s="974"/>
      <c r="S307" s="974"/>
    </row>
    <row r="308" spans="2:19" x14ac:dyDescent="0.25">
      <c r="B308" s="974">
        <v>96</v>
      </c>
      <c r="C308" s="974" t="s">
        <v>1029</v>
      </c>
      <c r="D308" s="974">
        <v>46.28</v>
      </c>
      <c r="E308" s="974">
        <v>8.0000000000000002E-3</v>
      </c>
      <c r="F308" s="974">
        <v>6.7000000000000004E-2</v>
      </c>
      <c r="G308" s="974"/>
      <c r="H308" s="974">
        <v>0.6</v>
      </c>
      <c r="I308" s="974">
        <v>10</v>
      </c>
      <c r="J308" s="974">
        <v>135.9</v>
      </c>
      <c r="K308" s="974">
        <v>0</v>
      </c>
      <c r="L308" s="974"/>
      <c r="M308" s="974"/>
      <c r="N308" s="974"/>
      <c r="O308" s="974">
        <v>0</v>
      </c>
      <c r="P308" s="974">
        <v>0</v>
      </c>
      <c r="Q308" s="974">
        <v>0</v>
      </c>
      <c r="R308" s="974">
        <v>0.17580000000000001</v>
      </c>
      <c r="S308" s="974"/>
    </row>
    <row r="309" spans="2:19" x14ac:dyDescent="0.25">
      <c r="B309" s="974"/>
      <c r="C309" s="974"/>
      <c r="D309" s="974"/>
      <c r="E309" s="974"/>
      <c r="F309" s="974"/>
      <c r="G309" s="974">
        <v>6.7000000000000004E-2</v>
      </c>
      <c r="H309" s="974"/>
      <c r="I309" s="974"/>
      <c r="J309" s="974"/>
      <c r="K309" s="974">
        <v>0</v>
      </c>
      <c r="L309" s="974">
        <v>1.52E-2</v>
      </c>
      <c r="M309" s="974">
        <v>1</v>
      </c>
      <c r="N309" s="974">
        <v>7.4999999999999997E-2</v>
      </c>
      <c r="O309" s="974">
        <v>0.52</v>
      </c>
      <c r="P309" s="974">
        <v>0.06</v>
      </c>
      <c r="Q309" s="974">
        <v>1.31</v>
      </c>
      <c r="R309" s="974"/>
      <c r="S309" s="974"/>
    </row>
    <row r="310" spans="2:19" x14ac:dyDescent="0.25">
      <c r="B310" s="974">
        <v>97</v>
      </c>
      <c r="C310" s="974" t="s">
        <v>1030</v>
      </c>
      <c r="D310" s="974">
        <v>42.39</v>
      </c>
      <c r="E310" s="974">
        <v>8.0000000000000002E-3</v>
      </c>
      <c r="F310" s="974">
        <v>7.5999999999999998E-2</v>
      </c>
      <c r="G310" s="974"/>
      <c r="H310" s="974">
        <v>0.6</v>
      </c>
      <c r="I310" s="974">
        <v>10</v>
      </c>
      <c r="J310" s="974">
        <v>135.9</v>
      </c>
      <c r="K310" s="974">
        <v>0</v>
      </c>
      <c r="L310" s="974"/>
      <c r="M310" s="974"/>
      <c r="N310" s="974"/>
      <c r="O310" s="974">
        <v>0</v>
      </c>
      <c r="P310" s="974">
        <v>0</v>
      </c>
      <c r="Q310" s="974">
        <v>0</v>
      </c>
      <c r="R310" s="974">
        <v>0.16850000000000001</v>
      </c>
      <c r="S310" s="974"/>
    </row>
    <row r="311" spans="2:19" x14ac:dyDescent="0.25">
      <c r="B311" s="974"/>
      <c r="C311" s="974"/>
      <c r="D311" s="974"/>
      <c r="E311" s="974"/>
      <c r="F311" s="974"/>
      <c r="G311" s="974">
        <v>7.5999999999999998E-2</v>
      </c>
      <c r="H311" s="974"/>
      <c r="I311" s="974"/>
      <c r="J311" s="974"/>
      <c r="K311" s="974">
        <v>0</v>
      </c>
      <c r="L311" s="974">
        <v>1.72E-2</v>
      </c>
      <c r="M311" s="974">
        <v>1</v>
      </c>
      <c r="N311" s="974">
        <v>7.4999999999999997E-2</v>
      </c>
      <c r="O311" s="974">
        <v>0.52</v>
      </c>
      <c r="P311" s="974">
        <v>0.06</v>
      </c>
      <c r="Q311" s="974">
        <v>1.41</v>
      </c>
      <c r="R311" s="974"/>
      <c r="S311" s="974"/>
    </row>
    <row r="312" spans="2:19" x14ac:dyDescent="0.25">
      <c r="B312" s="974">
        <v>98</v>
      </c>
      <c r="C312" s="974" t="s">
        <v>1031</v>
      </c>
      <c r="D312" s="974">
        <v>44.84</v>
      </c>
      <c r="E312" s="974">
        <v>3.0000000000000001E-3</v>
      </c>
      <c r="F312" s="974">
        <v>7.3999999999999996E-2</v>
      </c>
      <c r="G312" s="974"/>
      <c r="H312" s="974">
        <v>0.6</v>
      </c>
      <c r="I312" s="974">
        <v>10</v>
      </c>
      <c r="J312" s="974">
        <v>135.9</v>
      </c>
      <c r="K312" s="974">
        <v>0</v>
      </c>
      <c r="L312" s="974"/>
      <c r="M312" s="974"/>
      <c r="N312" s="974"/>
      <c r="O312" s="974">
        <v>0</v>
      </c>
      <c r="P312" s="974">
        <v>0</v>
      </c>
      <c r="Q312" s="974">
        <v>0</v>
      </c>
      <c r="R312" s="974">
        <v>0.10440000000000001</v>
      </c>
      <c r="S312" s="974"/>
    </row>
    <row r="313" spans="2:19" x14ac:dyDescent="0.25">
      <c r="B313" s="974"/>
      <c r="C313" s="974"/>
      <c r="D313" s="974"/>
      <c r="E313" s="974"/>
      <c r="F313" s="974"/>
      <c r="G313" s="974">
        <v>7.3999999999999996E-2</v>
      </c>
      <c r="H313" s="974"/>
      <c r="I313" s="974"/>
      <c r="J313" s="974"/>
      <c r="K313" s="974">
        <v>0</v>
      </c>
      <c r="L313" s="974">
        <v>1.67E-2</v>
      </c>
      <c r="M313" s="974">
        <v>1</v>
      </c>
      <c r="N313" s="974">
        <v>7.4999999999999997E-2</v>
      </c>
      <c r="O313" s="974">
        <v>0.36</v>
      </c>
      <c r="P313" s="974">
        <v>7.0000000000000007E-2</v>
      </c>
      <c r="Q313" s="974">
        <v>1.7</v>
      </c>
      <c r="R313" s="974"/>
      <c r="S313" s="974"/>
    </row>
    <row r="314" spans="2:19" x14ac:dyDescent="0.25">
      <c r="B314" s="974">
        <v>99</v>
      </c>
      <c r="C314" s="974" t="s">
        <v>1032</v>
      </c>
      <c r="D314" s="974">
        <v>25.73</v>
      </c>
      <c r="E314" s="974">
        <v>1E-3</v>
      </c>
      <c r="F314" s="974">
        <v>5.6000000000000001E-2</v>
      </c>
      <c r="G314" s="974"/>
      <c r="H314" s="974">
        <v>0.6</v>
      </c>
      <c r="I314" s="974">
        <v>10</v>
      </c>
      <c r="J314" s="974">
        <v>135.9</v>
      </c>
      <c r="K314" s="974">
        <v>0</v>
      </c>
      <c r="L314" s="974"/>
      <c r="M314" s="974"/>
      <c r="N314" s="974"/>
      <c r="O314" s="974">
        <v>0</v>
      </c>
      <c r="P314" s="974">
        <v>0</v>
      </c>
      <c r="Q314" s="974">
        <v>0</v>
      </c>
      <c r="R314" s="974">
        <v>6.6199999999999995E-2</v>
      </c>
      <c r="S314" s="974"/>
    </row>
    <row r="315" spans="2:19" x14ac:dyDescent="0.25">
      <c r="B315" s="974"/>
      <c r="C315" s="974"/>
      <c r="D315" s="974"/>
      <c r="E315" s="974"/>
      <c r="F315" s="974"/>
      <c r="G315" s="974">
        <v>5.6000000000000001E-2</v>
      </c>
      <c r="H315" s="974"/>
      <c r="I315" s="974"/>
      <c r="J315" s="974"/>
      <c r="K315" s="974">
        <v>0</v>
      </c>
      <c r="L315" s="974">
        <v>1.2699999999999999E-2</v>
      </c>
      <c r="M315" s="974">
        <v>1</v>
      </c>
      <c r="N315" s="974">
        <v>7.4999999999999997E-2</v>
      </c>
      <c r="O315" s="974">
        <v>0.24</v>
      </c>
      <c r="P315" s="974">
        <v>0.08</v>
      </c>
      <c r="Q315" s="974">
        <v>1.83</v>
      </c>
      <c r="R315" s="974"/>
      <c r="S315" s="974"/>
    </row>
    <row r="316" spans="2:19" x14ac:dyDescent="0.25">
      <c r="B316" s="974">
        <v>100</v>
      </c>
      <c r="C316" s="974" t="s">
        <v>1033</v>
      </c>
      <c r="D316" s="974">
        <v>43.37</v>
      </c>
      <c r="E316" s="974">
        <v>3.0000000000000001E-3</v>
      </c>
      <c r="F316" s="974">
        <v>0.08</v>
      </c>
      <c r="G316" s="974"/>
      <c r="H316" s="974">
        <v>0.6</v>
      </c>
      <c r="I316" s="974">
        <v>10</v>
      </c>
      <c r="J316" s="974">
        <v>135.9</v>
      </c>
      <c r="K316" s="974">
        <v>0</v>
      </c>
      <c r="L316" s="974"/>
      <c r="M316" s="974"/>
      <c r="N316" s="974"/>
      <c r="O316" s="974">
        <v>0</v>
      </c>
      <c r="P316" s="974">
        <v>0</v>
      </c>
      <c r="Q316" s="974">
        <v>0</v>
      </c>
      <c r="R316" s="974">
        <v>9.7699999999999995E-2</v>
      </c>
      <c r="S316" s="974"/>
    </row>
    <row r="317" spans="2:19" x14ac:dyDescent="0.25">
      <c r="B317" s="974"/>
      <c r="C317" s="974"/>
      <c r="D317" s="974"/>
      <c r="E317" s="974"/>
      <c r="F317" s="974"/>
      <c r="G317" s="974">
        <v>0.08</v>
      </c>
      <c r="H317" s="974"/>
      <c r="I317" s="974"/>
      <c r="J317" s="974"/>
      <c r="K317" s="974">
        <v>0</v>
      </c>
      <c r="L317" s="974">
        <v>1.8100000000000002E-2</v>
      </c>
      <c r="M317" s="974">
        <v>1</v>
      </c>
      <c r="N317" s="974">
        <v>7.4999999999999997E-2</v>
      </c>
      <c r="O317" s="974">
        <v>0.35</v>
      </c>
      <c r="P317" s="974">
        <v>0.08</v>
      </c>
      <c r="Q317" s="974">
        <v>1.81</v>
      </c>
      <c r="R317" s="974"/>
      <c r="S317" s="974"/>
    </row>
    <row r="318" spans="2:19" x14ac:dyDescent="0.25">
      <c r="B318" s="974">
        <v>101</v>
      </c>
      <c r="C318" s="974" t="s">
        <v>1034</v>
      </c>
      <c r="D318" s="974">
        <v>46.46</v>
      </c>
      <c r="E318" s="974">
        <v>2.1000000000000001E-2</v>
      </c>
      <c r="F318" s="974">
        <v>0.109</v>
      </c>
      <c r="G318" s="974"/>
      <c r="H318" s="974">
        <v>0.6</v>
      </c>
      <c r="I318" s="974">
        <v>10</v>
      </c>
      <c r="J318" s="974">
        <v>135.9</v>
      </c>
      <c r="K318" s="974">
        <v>0</v>
      </c>
      <c r="L318" s="974"/>
      <c r="M318" s="974"/>
      <c r="N318" s="974"/>
      <c r="O318" s="974">
        <v>0</v>
      </c>
      <c r="P318" s="974">
        <v>0</v>
      </c>
      <c r="Q318" s="974">
        <v>0</v>
      </c>
      <c r="R318" s="974">
        <v>0.27879999999999999</v>
      </c>
      <c r="S318" s="974"/>
    </row>
    <row r="319" spans="2:19" x14ac:dyDescent="0.25">
      <c r="B319" s="974"/>
      <c r="C319" s="974"/>
      <c r="D319" s="974"/>
      <c r="E319" s="974"/>
      <c r="F319" s="974"/>
      <c r="G319" s="974">
        <v>0.109</v>
      </c>
      <c r="H319" s="974"/>
      <c r="I319" s="974"/>
      <c r="J319" s="974"/>
      <c r="K319" s="974">
        <v>0</v>
      </c>
      <c r="L319" s="974">
        <v>2.4799999999999999E-2</v>
      </c>
      <c r="M319" s="974">
        <v>1</v>
      </c>
      <c r="N319" s="974">
        <v>7.4999999999999997E-2</v>
      </c>
      <c r="O319" s="974">
        <v>0.84</v>
      </c>
      <c r="P319" s="974">
        <v>0.06</v>
      </c>
      <c r="Q319" s="974">
        <v>1.33</v>
      </c>
      <c r="R319" s="974"/>
      <c r="S319" s="974"/>
    </row>
    <row r="320" spans="2:19" x14ac:dyDescent="0.25">
      <c r="B320" s="974">
        <v>102</v>
      </c>
      <c r="C320" s="974" t="s">
        <v>1035</v>
      </c>
      <c r="D320" s="974">
        <v>60.45</v>
      </c>
      <c r="E320" s="974">
        <v>4.0000000000000001E-3</v>
      </c>
      <c r="F320" s="974">
        <v>0.123</v>
      </c>
      <c r="G320" s="974"/>
      <c r="H320" s="974">
        <v>0.6</v>
      </c>
      <c r="I320" s="974">
        <v>10</v>
      </c>
      <c r="J320" s="974">
        <v>135.9</v>
      </c>
      <c r="K320" s="974">
        <v>0</v>
      </c>
      <c r="L320" s="974"/>
      <c r="M320" s="974"/>
      <c r="N320" s="974"/>
      <c r="O320" s="974">
        <v>0</v>
      </c>
      <c r="P320" s="974">
        <v>0</v>
      </c>
      <c r="Q320" s="974">
        <v>0</v>
      </c>
      <c r="R320" s="974">
        <v>0.11700000000000001</v>
      </c>
      <c r="S320" s="974"/>
    </row>
    <row r="321" spans="2:19" x14ac:dyDescent="0.25">
      <c r="B321" s="974"/>
      <c r="C321" s="974"/>
      <c r="D321" s="974"/>
      <c r="E321" s="974"/>
      <c r="F321" s="974"/>
      <c r="G321" s="974">
        <v>0.123</v>
      </c>
      <c r="H321" s="974"/>
      <c r="I321" s="974"/>
      <c r="J321" s="974"/>
      <c r="K321" s="974">
        <v>0</v>
      </c>
      <c r="L321" s="974">
        <v>2.7900000000000001E-2</v>
      </c>
      <c r="M321" s="974">
        <v>1</v>
      </c>
      <c r="N321" s="974">
        <v>7.4999999999999997E-2</v>
      </c>
      <c r="O321" s="974">
        <v>0.44</v>
      </c>
      <c r="P321" s="974">
        <v>0.08</v>
      </c>
      <c r="Q321" s="974">
        <v>2</v>
      </c>
      <c r="R321" s="974"/>
      <c r="S321" s="974"/>
    </row>
    <row r="322" spans="2:19" x14ac:dyDescent="0.25">
      <c r="B322" s="974">
        <v>103</v>
      </c>
      <c r="C322" s="974" t="s">
        <v>1036</v>
      </c>
      <c r="D322" s="974">
        <v>43.5</v>
      </c>
      <c r="E322" s="974">
        <v>1.0999999999999999E-2</v>
      </c>
      <c r="F322" s="974">
        <v>9.2999999999999999E-2</v>
      </c>
      <c r="G322" s="974"/>
      <c r="H322" s="974">
        <v>0.6</v>
      </c>
      <c r="I322" s="974">
        <v>10</v>
      </c>
      <c r="J322" s="974">
        <v>135.9</v>
      </c>
      <c r="K322" s="974">
        <v>0</v>
      </c>
      <c r="L322" s="974"/>
      <c r="M322" s="974"/>
      <c r="N322" s="974"/>
      <c r="O322" s="974">
        <v>0</v>
      </c>
      <c r="P322" s="974">
        <v>0</v>
      </c>
      <c r="Q322" s="974">
        <v>0</v>
      </c>
      <c r="R322" s="974">
        <v>0.20380000000000001</v>
      </c>
      <c r="S322" s="974"/>
    </row>
    <row r="323" spans="2:19" x14ac:dyDescent="0.25">
      <c r="B323" s="974"/>
      <c r="C323" s="974"/>
      <c r="D323" s="974"/>
      <c r="E323" s="974"/>
      <c r="F323" s="974"/>
      <c r="G323" s="974">
        <v>9.2999999999999999E-2</v>
      </c>
      <c r="H323" s="974"/>
      <c r="I323" s="974"/>
      <c r="J323" s="974"/>
      <c r="K323" s="974">
        <v>0</v>
      </c>
      <c r="L323" s="974">
        <v>2.1100000000000001E-2</v>
      </c>
      <c r="M323" s="974">
        <v>1</v>
      </c>
      <c r="N323" s="974">
        <v>7.4999999999999997E-2</v>
      </c>
      <c r="O323" s="974">
        <v>0.63</v>
      </c>
      <c r="P323" s="974">
        <v>0.06</v>
      </c>
      <c r="Q323" s="974">
        <v>1.42</v>
      </c>
      <c r="R323" s="974"/>
      <c r="S323" s="974"/>
    </row>
    <row r="324" spans="2:19" x14ac:dyDescent="0.25">
      <c r="B324" s="974">
        <v>104</v>
      </c>
      <c r="C324" s="974" t="s">
        <v>1037</v>
      </c>
      <c r="D324" s="974">
        <v>45.63</v>
      </c>
      <c r="E324" s="974">
        <v>1.0999999999999999E-2</v>
      </c>
      <c r="F324" s="974">
        <v>0.17399999999999999</v>
      </c>
      <c r="G324" s="974"/>
      <c r="H324" s="974">
        <v>0.6</v>
      </c>
      <c r="I324" s="974">
        <v>10</v>
      </c>
      <c r="J324" s="974">
        <v>135.9</v>
      </c>
      <c r="K324" s="974">
        <v>0</v>
      </c>
      <c r="L324" s="974"/>
      <c r="M324" s="974"/>
      <c r="N324" s="974"/>
      <c r="O324" s="974">
        <v>0</v>
      </c>
      <c r="P324" s="974">
        <v>0</v>
      </c>
      <c r="Q324" s="974">
        <v>0</v>
      </c>
      <c r="R324" s="974">
        <v>0.19889999999999999</v>
      </c>
      <c r="S324" s="974"/>
    </row>
    <row r="325" spans="2:19" x14ac:dyDescent="0.25">
      <c r="B325" s="974"/>
      <c r="C325" s="974"/>
      <c r="D325" s="974"/>
      <c r="E325" s="974"/>
      <c r="F325" s="974"/>
      <c r="G325" s="974">
        <v>0.17399999999999999</v>
      </c>
      <c r="H325" s="974"/>
      <c r="I325" s="974"/>
      <c r="J325" s="974"/>
      <c r="K325" s="974">
        <v>0</v>
      </c>
      <c r="L325" s="974">
        <v>3.9399999999999998E-2</v>
      </c>
      <c r="M325" s="974">
        <v>1</v>
      </c>
      <c r="N325" s="974">
        <v>7.4999999999999997E-2</v>
      </c>
      <c r="O325" s="974">
        <v>0.72</v>
      </c>
      <c r="P325" s="974">
        <v>0.08</v>
      </c>
      <c r="Q325" s="974">
        <v>1.86</v>
      </c>
      <c r="R325" s="974"/>
      <c r="S325" s="974"/>
    </row>
    <row r="326" spans="2:19" x14ac:dyDescent="0.25">
      <c r="B326" s="974">
        <v>105</v>
      </c>
      <c r="C326" s="974" t="s">
        <v>1038</v>
      </c>
      <c r="D326" s="974">
        <v>45.07</v>
      </c>
      <c r="E326" s="974">
        <v>8.9999999999999993E-3</v>
      </c>
      <c r="F326" s="974">
        <v>0.17399999999999999</v>
      </c>
      <c r="G326" s="974"/>
      <c r="H326" s="974">
        <v>0.6</v>
      </c>
      <c r="I326" s="974">
        <v>10</v>
      </c>
      <c r="J326" s="974">
        <v>135.9</v>
      </c>
      <c r="K326" s="974">
        <v>0</v>
      </c>
      <c r="L326" s="974"/>
      <c r="M326" s="974"/>
      <c r="N326" s="974"/>
      <c r="O326" s="974">
        <v>0</v>
      </c>
      <c r="P326" s="974">
        <v>0</v>
      </c>
      <c r="Q326" s="974">
        <v>0</v>
      </c>
      <c r="R326" s="974">
        <v>0.1804</v>
      </c>
      <c r="S326" s="974"/>
    </row>
    <row r="327" spans="2:19" x14ac:dyDescent="0.25">
      <c r="B327" s="974"/>
      <c r="C327" s="974"/>
      <c r="D327" s="974"/>
      <c r="E327" s="974"/>
      <c r="F327" s="974"/>
      <c r="G327" s="974">
        <v>0.17399999999999999</v>
      </c>
      <c r="H327" s="974"/>
      <c r="I327" s="974"/>
      <c r="J327" s="974"/>
      <c r="K327" s="974">
        <v>0</v>
      </c>
      <c r="L327" s="974">
        <v>3.9399999999999998E-2</v>
      </c>
      <c r="M327" s="974">
        <v>1</v>
      </c>
      <c r="N327" s="974">
        <v>7.4999999999999997E-2</v>
      </c>
      <c r="O327" s="974">
        <v>0.67</v>
      </c>
      <c r="P327" s="974">
        <v>0.08</v>
      </c>
      <c r="Q327" s="974">
        <v>1.93</v>
      </c>
      <c r="R327" s="974"/>
      <c r="S327" s="974"/>
    </row>
    <row r="328" spans="2:19" x14ac:dyDescent="0.25">
      <c r="B328" s="974">
        <v>106</v>
      </c>
      <c r="C328" s="974" t="s">
        <v>1039</v>
      </c>
      <c r="D328" s="974">
        <v>45.54</v>
      </c>
      <c r="E328" s="974">
        <v>7.0000000000000001E-3</v>
      </c>
      <c r="F328" s="974">
        <v>0.185</v>
      </c>
      <c r="G328" s="974"/>
      <c r="H328" s="974">
        <v>0.6</v>
      </c>
      <c r="I328" s="974">
        <v>10</v>
      </c>
      <c r="J328" s="974">
        <v>135.9</v>
      </c>
      <c r="K328" s="974">
        <v>0</v>
      </c>
      <c r="L328" s="974"/>
      <c r="M328" s="974"/>
      <c r="N328" s="974"/>
      <c r="O328" s="974">
        <v>0</v>
      </c>
      <c r="P328" s="974">
        <v>0</v>
      </c>
      <c r="Q328" s="974">
        <v>0</v>
      </c>
      <c r="R328" s="974">
        <v>0.16</v>
      </c>
      <c r="S328" s="974"/>
    </row>
    <row r="329" spans="2:19" x14ac:dyDescent="0.25">
      <c r="B329" s="974"/>
      <c r="C329" s="974"/>
      <c r="D329" s="974"/>
      <c r="E329" s="974"/>
      <c r="F329" s="974"/>
      <c r="G329" s="974">
        <v>0.185</v>
      </c>
      <c r="H329" s="974"/>
      <c r="I329" s="974"/>
      <c r="J329" s="974"/>
      <c r="K329" s="974">
        <v>0</v>
      </c>
      <c r="L329" s="974">
        <v>4.19E-2</v>
      </c>
      <c r="M329" s="974">
        <v>1</v>
      </c>
      <c r="N329" s="974">
        <v>7.4999999999999997E-2</v>
      </c>
      <c r="O329" s="974">
        <v>0.62</v>
      </c>
      <c r="P329" s="974">
        <v>0.08</v>
      </c>
      <c r="Q329" s="974">
        <v>2.08</v>
      </c>
      <c r="R329" s="974"/>
      <c r="S329" s="974"/>
    </row>
    <row r="330" spans="2:19" x14ac:dyDescent="0.25">
      <c r="B330" s="974">
        <v>107</v>
      </c>
      <c r="C330" s="974" t="s">
        <v>1040</v>
      </c>
      <c r="D330" s="974">
        <v>43.61</v>
      </c>
      <c r="E330" s="974">
        <v>7.0000000000000001E-3</v>
      </c>
      <c r="F330" s="974">
        <v>0.16500000000000001</v>
      </c>
      <c r="G330" s="974"/>
      <c r="H330" s="974">
        <v>0.6</v>
      </c>
      <c r="I330" s="974">
        <v>10</v>
      </c>
      <c r="J330" s="974">
        <v>135.9</v>
      </c>
      <c r="K330" s="974">
        <v>0</v>
      </c>
      <c r="L330" s="974"/>
      <c r="M330" s="974"/>
      <c r="N330" s="974"/>
      <c r="O330" s="974">
        <v>0</v>
      </c>
      <c r="P330" s="974">
        <v>0</v>
      </c>
      <c r="Q330" s="974">
        <v>0</v>
      </c>
      <c r="R330" s="974">
        <v>0.16350000000000001</v>
      </c>
      <c r="S330" s="974"/>
    </row>
    <row r="331" spans="2:19" x14ac:dyDescent="0.25">
      <c r="B331" s="974"/>
      <c r="C331" s="974"/>
      <c r="D331" s="974"/>
      <c r="E331" s="974"/>
      <c r="F331" s="974"/>
      <c r="G331" s="974">
        <v>0.16500000000000001</v>
      </c>
      <c r="H331" s="974"/>
      <c r="I331" s="974"/>
      <c r="J331" s="974"/>
      <c r="K331" s="974">
        <v>0</v>
      </c>
      <c r="L331" s="974">
        <v>3.7400000000000003E-2</v>
      </c>
      <c r="M331" s="974">
        <v>1</v>
      </c>
      <c r="N331" s="974">
        <v>7.4999999999999997E-2</v>
      </c>
      <c r="O331" s="974">
        <v>0.61</v>
      </c>
      <c r="P331" s="974">
        <v>0.08</v>
      </c>
      <c r="Q331" s="974">
        <v>1.97</v>
      </c>
      <c r="R331" s="974"/>
      <c r="S331" s="974"/>
    </row>
    <row r="332" spans="2:19" x14ac:dyDescent="0.25">
      <c r="B332" s="974">
        <v>108</v>
      </c>
      <c r="C332" s="974" t="s">
        <v>1041</v>
      </c>
      <c r="D332" s="974">
        <v>45.26</v>
      </c>
      <c r="E332" s="974">
        <v>0.01</v>
      </c>
      <c r="F332" s="974">
        <v>0.16500000000000001</v>
      </c>
      <c r="G332" s="974"/>
      <c r="H332" s="974">
        <v>0.6</v>
      </c>
      <c r="I332" s="974">
        <v>10</v>
      </c>
      <c r="J332" s="974">
        <v>135.9</v>
      </c>
      <c r="K332" s="974">
        <v>0</v>
      </c>
      <c r="L332" s="974"/>
      <c r="M332" s="974"/>
      <c r="N332" s="974"/>
      <c r="O332" s="974">
        <v>0</v>
      </c>
      <c r="P332" s="974">
        <v>0</v>
      </c>
      <c r="Q332" s="974">
        <v>0</v>
      </c>
      <c r="R332" s="974">
        <v>0.19550000000000001</v>
      </c>
      <c r="S332" s="974"/>
    </row>
    <row r="333" spans="2:19" x14ac:dyDescent="0.25">
      <c r="B333" s="974"/>
      <c r="C333" s="974"/>
      <c r="D333" s="974"/>
      <c r="E333" s="974"/>
      <c r="F333" s="974"/>
      <c r="G333" s="974">
        <v>0.16500000000000001</v>
      </c>
      <c r="H333" s="974"/>
      <c r="I333" s="974"/>
      <c r="J333" s="974"/>
      <c r="K333" s="974">
        <v>0</v>
      </c>
      <c r="L333" s="974">
        <v>3.73E-2</v>
      </c>
      <c r="M333" s="974">
        <v>1</v>
      </c>
      <c r="N333" s="974">
        <v>7.4999999999999997E-2</v>
      </c>
      <c r="O333" s="974">
        <v>0.7</v>
      </c>
      <c r="P333" s="974">
        <v>0.08</v>
      </c>
      <c r="Q333" s="974">
        <v>1.83</v>
      </c>
      <c r="R333" s="974"/>
      <c r="S333" s="974"/>
    </row>
    <row r="334" spans="2:19" x14ac:dyDescent="0.25">
      <c r="B334" s="974">
        <v>109</v>
      </c>
      <c r="C334" s="974" t="s">
        <v>1042</v>
      </c>
      <c r="D334" s="974">
        <v>43.2</v>
      </c>
      <c r="E334" s="974">
        <v>5.0000000000000001E-3</v>
      </c>
      <c r="F334" s="974">
        <v>0.151</v>
      </c>
      <c r="G334" s="974"/>
      <c r="H334" s="974">
        <v>0.6</v>
      </c>
      <c r="I334" s="974">
        <v>10</v>
      </c>
      <c r="J334" s="974">
        <v>135.9</v>
      </c>
      <c r="K334" s="974">
        <v>0</v>
      </c>
      <c r="L334" s="974"/>
      <c r="M334" s="974"/>
      <c r="N334" s="974"/>
      <c r="O334" s="974">
        <v>0</v>
      </c>
      <c r="P334" s="974">
        <v>0</v>
      </c>
      <c r="Q334" s="974">
        <v>0</v>
      </c>
      <c r="R334" s="974">
        <v>0.1384</v>
      </c>
      <c r="S334" s="974"/>
    </row>
    <row r="335" spans="2:19" x14ac:dyDescent="0.25">
      <c r="B335" s="974"/>
      <c r="C335" s="974"/>
      <c r="D335" s="974"/>
      <c r="E335" s="974"/>
      <c r="F335" s="974"/>
      <c r="G335" s="974">
        <v>0.151</v>
      </c>
      <c r="H335" s="974"/>
      <c r="I335" s="974"/>
      <c r="J335" s="974"/>
      <c r="K335" s="974">
        <v>0</v>
      </c>
      <c r="L335" s="974">
        <v>3.4200000000000001E-2</v>
      </c>
      <c r="M335" s="974">
        <v>1</v>
      </c>
      <c r="N335" s="974">
        <v>7.4999999999999997E-2</v>
      </c>
      <c r="O335" s="974">
        <v>0.53</v>
      </c>
      <c r="P335" s="974">
        <v>0.08</v>
      </c>
      <c r="Q335" s="974">
        <v>2.0299999999999998</v>
      </c>
      <c r="R335" s="974"/>
      <c r="S335" s="974"/>
    </row>
    <row r="336" spans="2:19" x14ac:dyDescent="0.25">
      <c r="B336" s="974">
        <v>110</v>
      </c>
      <c r="C336" s="974" t="s">
        <v>1043</v>
      </c>
      <c r="D336" s="974">
        <v>57.81</v>
      </c>
      <c r="E336" s="974">
        <v>2E-3</v>
      </c>
      <c r="F336" s="974">
        <v>0.33800000000000002</v>
      </c>
      <c r="G336" s="974"/>
      <c r="H336" s="974">
        <v>0.6</v>
      </c>
      <c r="I336" s="974">
        <v>10</v>
      </c>
      <c r="J336" s="974">
        <v>135.9</v>
      </c>
      <c r="K336" s="974">
        <v>0</v>
      </c>
      <c r="L336" s="974"/>
      <c r="M336" s="974"/>
      <c r="N336" s="974"/>
      <c r="O336" s="974">
        <v>0</v>
      </c>
      <c r="P336" s="974">
        <v>0</v>
      </c>
      <c r="Q336" s="974">
        <v>0</v>
      </c>
      <c r="R336" s="974">
        <v>8.8400000000000006E-2</v>
      </c>
      <c r="S336" s="974"/>
    </row>
    <row r="337" spans="2:19" x14ac:dyDescent="0.25">
      <c r="B337" s="974"/>
      <c r="C337" s="974"/>
      <c r="D337" s="974"/>
      <c r="E337" s="974"/>
      <c r="F337" s="974"/>
      <c r="G337" s="974">
        <v>0.33800000000000002</v>
      </c>
      <c r="H337" s="974"/>
      <c r="I337" s="974"/>
      <c r="J337" s="974"/>
      <c r="K337" s="974">
        <v>0</v>
      </c>
      <c r="L337" s="974">
        <v>7.6600000000000001E-2</v>
      </c>
      <c r="M337" s="974">
        <v>2</v>
      </c>
      <c r="N337" s="974">
        <v>7.4999999999999997E-2</v>
      </c>
      <c r="O337" s="974">
        <v>0.46</v>
      </c>
      <c r="P337" s="974">
        <v>0.12</v>
      </c>
      <c r="Q337" s="974">
        <v>3.31</v>
      </c>
      <c r="R337" s="974"/>
      <c r="S337" s="974"/>
    </row>
    <row r="338" spans="2:19" x14ac:dyDescent="0.25">
      <c r="B338" s="974">
        <v>111</v>
      </c>
      <c r="C338" s="974" t="s">
        <v>1044</v>
      </c>
      <c r="D338" s="974">
        <v>65.73</v>
      </c>
      <c r="E338" s="974">
        <v>0.01</v>
      </c>
      <c r="F338" s="974">
        <v>0.19700000000000001</v>
      </c>
      <c r="G338" s="974"/>
      <c r="H338" s="974">
        <v>0.6</v>
      </c>
      <c r="I338" s="974">
        <v>10</v>
      </c>
      <c r="J338" s="974">
        <v>135.9</v>
      </c>
      <c r="K338" s="974">
        <v>0</v>
      </c>
      <c r="L338" s="974"/>
      <c r="M338" s="974"/>
      <c r="N338" s="974"/>
      <c r="O338" s="974">
        <v>0</v>
      </c>
      <c r="P338" s="974">
        <v>0</v>
      </c>
      <c r="Q338" s="974">
        <v>0</v>
      </c>
      <c r="R338" s="974">
        <v>0.19289999999999999</v>
      </c>
      <c r="S338" s="974" t="s">
        <v>889</v>
      </c>
    </row>
    <row r="339" spans="2:19" x14ac:dyDescent="0.25">
      <c r="B339" s="974"/>
      <c r="C339" s="974"/>
      <c r="D339" s="974"/>
      <c r="E339" s="974"/>
      <c r="F339" s="974"/>
      <c r="G339" s="974">
        <v>0.19700000000000001</v>
      </c>
      <c r="H339" s="974"/>
      <c r="I339" s="974"/>
      <c r="J339" s="974"/>
      <c r="K339" s="974">
        <v>4.4699999999999997E-2</v>
      </c>
      <c r="L339" s="974"/>
      <c r="M339" s="974"/>
      <c r="N339" s="974"/>
      <c r="O339" s="974">
        <v>0.72</v>
      </c>
      <c r="P339" s="974">
        <v>0.08</v>
      </c>
      <c r="Q339" s="974">
        <v>1.98</v>
      </c>
      <c r="R339" s="974"/>
      <c r="S339" s="974"/>
    </row>
    <row r="340" spans="2:19" x14ac:dyDescent="0.25">
      <c r="B340" s="974"/>
      <c r="C340" s="974" t="s">
        <v>1045</v>
      </c>
      <c r="D340" s="974">
        <v>125.72</v>
      </c>
      <c r="E340" s="974">
        <v>0.01</v>
      </c>
      <c r="F340" s="974">
        <v>0.41899999999999998</v>
      </c>
      <c r="G340" s="974"/>
      <c r="H340" s="974">
        <v>0.6</v>
      </c>
      <c r="I340" s="974">
        <v>11.56</v>
      </c>
      <c r="J340" s="974">
        <v>135.9</v>
      </c>
      <c r="K340" s="974">
        <v>4.4699999999999997E-2</v>
      </c>
      <c r="L340" s="974"/>
      <c r="M340" s="974"/>
      <c r="N340" s="974"/>
      <c r="O340" s="974">
        <v>0.71</v>
      </c>
      <c r="P340" s="974">
        <v>0.08</v>
      </c>
      <c r="Q340" s="974">
        <v>2</v>
      </c>
      <c r="R340" s="974">
        <v>0.1895</v>
      </c>
      <c r="S340" s="974"/>
    </row>
    <row r="341" spans="2:19" x14ac:dyDescent="0.25">
      <c r="B341" s="974"/>
      <c r="C341" s="974"/>
      <c r="D341" s="974"/>
      <c r="E341" s="974"/>
      <c r="F341" s="974"/>
      <c r="G341" s="974">
        <v>0.61599999999999999</v>
      </c>
      <c r="H341" s="974"/>
      <c r="I341" s="974"/>
      <c r="J341" s="974"/>
      <c r="K341" s="974">
        <v>0</v>
      </c>
      <c r="L341" s="974">
        <v>0.13950000000000001</v>
      </c>
      <c r="M341" s="974">
        <v>2</v>
      </c>
      <c r="N341" s="974">
        <v>7.4999999999999997E-2</v>
      </c>
      <c r="O341" s="974">
        <v>0.94</v>
      </c>
      <c r="P341" s="974">
        <v>0.11</v>
      </c>
      <c r="Q341" s="974">
        <v>3.11</v>
      </c>
      <c r="R341" s="974"/>
      <c r="S341" s="974"/>
    </row>
    <row r="342" spans="2:19" x14ac:dyDescent="0.25">
      <c r="B342" s="974"/>
      <c r="C342" s="974" t="s">
        <v>1046</v>
      </c>
      <c r="D342" s="974">
        <v>123.65</v>
      </c>
      <c r="E342" s="974">
        <v>8.0000000000000002E-3</v>
      </c>
      <c r="F342" s="974">
        <v>0.41799999999999998</v>
      </c>
      <c r="G342" s="974"/>
      <c r="H342" s="974">
        <v>0.6</v>
      </c>
      <c r="I342" s="974">
        <v>11.56</v>
      </c>
      <c r="J342" s="974">
        <v>135.9</v>
      </c>
      <c r="K342" s="974">
        <v>0</v>
      </c>
      <c r="L342" s="974"/>
      <c r="M342" s="974"/>
      <c r="N342" s="974"/>
      <c r="O342" s="974">
        <v>0</v>
      </c>
      <c r="P342" s="974">
        <v>0</v>
      </c>
      <c r="Q342" s="974">
        <v>0</v>
      </c>
      <c r="R342" s="974">
        <v>0.17699999999999999</v>
      </c>
      <c r="S342" s="974" t="s">
        <v>889</v>
      </c>
    </row>
    <row r="343" spans="2:19" x14ac:dyDescent="0.25">
      <c r="B343" s="974"/>
      <c r="C343" s="974"/>
      <c r="D343" s="974"/>
      <c r="E343" s="974"/>
      <c r="F343" s="974"/>
      <c r="G343" s="974">
        <v>0.41799999999999998</v>
      </c>
      <c r="H343" s="974"/>
      <c r="I343" s="974"/>
      <c r="J343" s="974"/>
      <c r="K343" s="974">
        <v>9.4600000000000004E-2</v>
      </c>
      <c r="L343" s="974"/>
      <c r="M343" s="974"/>
      <c r="N343" s="974"/>
      <c r="O343" s="974">
        <v>0.81</v>
      </c>
      <c r="P343" s="974">
        <v>0.1</v>
      </c>
      <c r="Q343" s="974">
        <v>2.75</v>
      </c>
      <c r="R343" s="974"/>
      <c r="S343" s="974"/>
    </row>
    <row r="344" spans="2:19" x14ac:dyDescent="0.25">
      <c r="B344" s="974"/>
      <c r="C344" s="974" t="s">
        <v>1047</v>
      </c>
      <c r="D344" s="974">
        <v>60.19</v>
      </c>
      <c r="E344" s="974">
        <v>7.0000000000000001E-3</v>
      </c>
      <c r="F344" s="974">
        <v>0.221</v>
      </c>
      <c r="G344" s="974"/>
      <c r="H344" s="974">
        <v>0.6</v>
      </c>
      <c r="I344" s="974">
        <v>12.59</v>
      </c>
      <c r="J344" s="974">
        <v>135.9</v>
      </c>
      <c r="K344" s="974">
        <v>9.4600000000000004E-2</v>
      </c>
      <c r="L344" s="974"/>
      <c r="M344" s="974"/>
      <c r="N344" s="974"/>
      <c r="O344" s="974">
        <v>0.74</v>
      </c>
      <c r="P344" s="974">
        <v>0.11</v>
      </c>
      <c r="Q344" s="974">
        <v>2.87</v>
      </c>
      <c r="R344" s="974">
        <v>0.15809999999999999</v>
      </c>
      <c r="S344" s="974"/>
    </row>
    <row r="345" spans="2:19" x14ac:dyDescent="0.25">
      <c r="B345" s="974"/>
      <c r="C345" s="974"/>
      <c r="D345" s="974"/>
      <c r="E345" s="974"/>
      <c r="F345" s="974"/>
      <c r="G345" s="974">
        <v>0.63900000000000001</v>
      </c>
      <c r="H345" s="974"/>
      <c r="I345" s="974"/>
      <c r="J345" s="974"/>
      <c r="K345" s="974">
        <v>0</v>
      </c>
      <c r="L345" s="974">
        <v>0.1447</v>
      </c>
      <c r="M345" s="974">
        <v>2</v>
      </c>
      <c r="N345" s="974">
        <v>7.4999999999999997E-2</v>
      </c>
      <c r="O345" s="974">
        <v>0.83</v>
      </c>
      <c r="P345" s="974">
        <v>0.12</v>
      </c>
      <c r="Q345" s="974">
        <v>3.38</v>
      </c>
      <c r="R345" s="974"/>
      <c r="S345" s="974"/>
    </row>
    <row r="346" spans="2:19" x14ac:dyDescent="0.25">
      <c r="B346" s="974">
        <v>112</v>
      </c>
      <c r="C346" s="974" t="s">
        <v>1048</v>
      </c>
      <c r="D346" s="974">
        <v>15.23</v>
      </c>
      <c r="E346" s="974">
        <v>3.6999999999999998E-2</v>
      </c>
      <c r="F346" s="974">
        <v>2.8000000000000001E-2</v>
      </c>
      <c r="G346" s="974"/>
      <c r="H346" s="974">
        <v>0.6</v>
      </c>
      <c r="I346" s="974">
        <v>10</v>
      </c>
      <c r="J346" s="974">
        <v>135.9</v>
      </c>
      <c r="K346" s="974">
        <v>0</v>
      </c>
      <c r="L346" s="974"/>
      <c r="M346" s="974"/>
      <c r="N346" s="974"/>
      <c r="O346" s="974">
        <v>0</v>
      </c>
      <c r="P346" s="974">
        <v>0</v>
      </c>
      <c r="Q346" s="974">
        <v>0</v>
      </c>
      <c r="R346" s="974">
        <v>0.37519999999999998</v>
      </c>
      <c r="S346" s="974"/>
    </row>
    <row r="347" spans="2:19" x14ac:dyDescent="0.25">
      <c r="B347" s="974"/>
      <c r="C347" s="974"/>
      <c r="D347" s="974"/>
      <c r="E347" s="974"/>
      <c r="F347" s="974"/>
      <c r="G347" s="974">
        <v>2.8000000000000001E-2</v>
      </c>
      <c r="H347" s="974"/>
      <c r="I347" s="974"/>
      <c r="J347" s="974"/>
      <c r="K347" s="974">
        <v>0</v>
      </c>
      <c r="L347" s="974">
        <v>6.3E-3</v>
      </c>
      <c r="M347" s="974">
        <v>1</v>
      </c>
      <c r="N347" s="974">
        <v>7.4999999999999997E-2</v>
      </c>
      <c r="O347" s="974">
        <v>0.82</v>
      </c>
      <c r="P347" s="974">
        <v>0.04</v>
      </c>
      <c r="Q347" s="974">
        <v>0.55000000000000004</v>
      </c>
      <c r="R347" s="974"/>
      <c r="S347" s="974"/>
    </row>
    <row r="348" spans="2:19" x14ac:dyDescent="0.25">
      <c r="B348" s="974">
        <v>113</v>
      </c>
      <c r="C348" s="974" t="s">
        <v>1049</v>
      </c>
      <c r="D348" s="974">
        <v>14.2</v>
      </c>
      <c r="E348" s="974">
        <v>5.5E-2</v>
      </c>
      <c r="F348" s="974">
        <v>2.5000000000000001E-2</v>
      </c>
      <c r="G348" s="974"/>
      <c r="H348" s="974">
        <v>0.6</v>
      </c>
      <c r="I348" s="974">
        <v>10</v>
      </c>
      <c r="J348" s="974">
        <v>135.9</v>
      </c>
      <c r="K348" s="974">
        <v>0</v>
      </c>
      <c r="L348" s="974"/>
      <c r="M348" s="974"/>
      <c r="N348" s="974"/>
      <c r="O348" s="974">
        <v>0</v>
      </c>
      <c r="P348" s="974">
        <v>0</v>
      </c>
      <c r="Q348" s="974">
        <v>0</v>
      </c>
      <c r="R348" s="974">
        <v>0.4546</v>
      </c>
      <c r="S348" s="974"/>
    </row>
    <row r="349" spans="2:19" x14ac:dyDescent="0.25">
      <c r="B349" s="974"/>
      <c r="C349" s="974"/>
      <c r="D349" s="974"/>
      <c r="E349" s="974"/>
      <c r="F349" s="974"/>
      <c r="G349" s="974">
        <v>2.5000000000000001E-2</v>
      </c>
      <c r="H349" s="974"/>
      <c r="I349" s="974"/>
      <c r="J349" s="974"/>
      <c r="K349" s="974">
        <v>0</v>
      </c>
      <c r="L349" s="974">
        <v>5.7000000000000002E-3</v>
      </c>
      <c r="M349" s="974">
        <v>1</v>
      </c>
      <c r="N349" s="974">
        <v>7.4999999999999997E-2</v>
      </c>
      <c r="O349" s="974">
        <v>0.94</v>
      </c>
      <c r="P349" s="974">
        <v>0.03</v>
      </c>
      <c r="Q349" s="974">
        <v>0.44</v>
      </c>
      <c r="R349" s="974"/>
      <c r="S349" s="974"/>
    </row>
    <row r="350" spans="2:19" x14ac:dyDescent="0.25">
      <c r="B350" s="974">
        <v>114</v>
      </c>
      <c r="C350" s="974" t="s">
        <v>1050</v>
      </c>
      <c r="D350" s="974">
        <v>15.56</v>
      </c>
      <c r="E350" s="974">
        <v>0.05</v>
      </c>
      <c r="F350" s="974">
        <v>0.02</v>
      </c>
      <c r="G350" s="974"/>
      <c r="H350" s="974">
        <v>0.6</v>
      </c>
      <c r="I350" s="974">
        <v>10</v>
      </c>
      <c r="J350" s="974">
        <v>135.9</v>
      </c>
      <c r="K350" s="974">
        <v>0</v>
      </c>
      <c r="L350" s="974"/>
      <c r="M350" s="974"/>
      <c r="N350" s="974"/>
      <c r="O350" s="974">
        <v>0</v>
      </c>
      <c r="P350" s="974">
        <v>0</v>
      </c>
      <c r="Q350" s="974">
        <v>0</v>
      </c>
      <c r="R350" s="974">
        <v>0.43419999999999997</v>
      </c>
      <c r="S350" s="974"/>
    </row>
    <row r="351" spans="2:19" x14ac:dyDescent="0.25">
      <c r="B351" s="974"/>
      <c r="C351" s="974"/>
      <c r="D351" s="974"/>
      <c r="E351" s="974"/>
      <c r="F351" s="974"/>
      <c r="G351" s="974">
        <v>0.02</v>
      </c>
      <c r="H351" s="974"/>
      <c r="I351" s="974"/>
      <c r="J351" s="974"/>
      <c r="K351" s="974">
        <v>0</v>
      </c>
      <c r="L351" s="974">
        <v>4.5999999999999999E-3</v>
      </c>
      <c r="M351" s="974">
        <v>1</v>
      </c>
      <c r="N351" s="974">
        <v>7.4999999999999997E-2</v>
      </c>
      <c r="O351" s="974">
        <v>0.86</v>
      </c>
      <c r="P351" s="974">
        <v>0.03</v>
      </c>
      <c r="Q351" s="974">
        <v>0.38</v>
      </c>
      <c r="R351" s="974"/>
      <c r="S351" s="974"/>
    </row>
    <row r="352" spans="2:19" x14ac:dyDescent="0.25">
      <c r="B352" s="974">
        <v>115</v>
      </c>
      <c r="C352" s="974" t="s">
        <v>1051</v>
      </c>
      <c r="D352" s="974">
        <v>58.8</v>
      </c>
      <c r="E352" s="974">
        <v>6.0000000000000001E-3</v>
      </c>
      <c r="F352" s="974">
        <v>0.127</v>
      </c>
      <c r="G352" s="974"/>
      <c r="H352" s="974">
        <v>0.6</v>
      </c>
      <c r="I352" s="974">
        <v>10</v>
      </c>
      <c r="J352" s="974">
        <v>135.9</v>
      </c>
      <c r="K352" s="974">
        <v>0</v>
      </c>
      <c r="L352" s="974"/>
      <c r="M352" s="974"/>
      <c r="N352" s="974"/>
      <c r="O352" s="974">
        <v>0</v>
      </c>
      <c r="P352" s="974">
        <v>0</v>
      </c>
      <c r="Q352" s="974">
        <v>0</v>
      </c>
      <c r="R352" s="974">
        <v>0.15590000000000001</v>
      </c>
      <c r="S352" s="974" t="s">
        <v>889</v>
      </c>
    </row>
    <row r="353" spans="2:19" x14ac:dyDescent="0.25">
      <c r="B353" s="974"/>
      <c r="C353" s="974"/>
      <c r="D353" s="974"/>
      <c r="E353" s="974"/>
      <c r="F353" s="974"/>
      <c r="G353" s="974">
        <v>0.127</v>
      </c>
      <c r="H353" s="974"/>
      <c r="I353" s="974"/>
      <c r="J353" s="974"/>
      <c r="K353" s="974">
        <v>2.8799999999999999E-2</v>
      </c>
      <c r="L353" s="974"/>
      <c r="M353" s="974"/>
      <c r="N353" s="974"/>
      <c r="O353" s="974">
        <v>0.55000000000000004</v>
      </c>
      <c r="P353" s="974">
        <v>0.08</v>
      </c>
      <c r="Q353" s="974">
        <v>1.81</v>
      </c>
      <c r="R353" s="974"/>
      <c r="S353" s="974"/>
    </row>
    <row r="354" spans="2:19" x14ac:dyDescent="0.25">
      <c r="B354" s="974"/>
      <c r="C354" s="974" t="s">
        <v>1052</v>
      </c>
      <c r="D354" s="974">
        <v>16.04</v>
      </c>
      <c r="E354" s="974">
        <v>1E-3</v>
      </c>
      <c r="F354" s="974">
        <v>0</v>
      </c>
      <c r="G354" s="974"/>
      <c r="H354" s="974">
        <v>0.6</v>
      </c>
      <c r="I354" s="974">
        <v>21.8</v>
      </c>
      <c r="J354" s="974">
        <v>135.9</v>
      </c>
      <c r="K354" s="974">
        <v>2.8799999999999999E-2</v>
      </c>
      <c r="L354" s="974"/>
      <c r="M354" s="974"/>
      <c r="N354" s="974"/>
      <c r="O354" s="974">
        <v>0.16</v>
      </c>
      <c r="P354" s="974">
        <v>0.08</v>
      </c>
      <c r="Q354" s="974">
        <v>2.9</v>
      </c>
      <c r="R354" s="974">
        <v>0.1129</v>
      </c>
      <c r="S354" s="974" t="s">
        <v>891</v>
      </c>
    </row>
    <row r="355" spans="2:19" x14ac:dyDescent="0.25">
      <c r="B355" s="974"/>
      <c r="C355" s="974"/>
      <c r="D355" s="974"/>
      <c r="E355" s="974"/>
      <c r="F355" s="974"/>
      <c r="G355" s="974">
        <v>0.127</v>
      </c>
      <c r="H355" s="974"/>
      <c r="I355" s="974"/>
      <c r="J355" s="974"/>
      <c r="K355" s="974">
        <v>2.8799999999999999E-2</v>
      </c>
      <c r="L355" s="974"/>
      <c r="M355" s="974"/>
      <c r="N355" s="974"/>
      <c r="O355" s="974">
        <v>0.16</v>
      </c>
      <c r="P355" s="974">
        <v>0.08</v>
      </c>
      <c r="Q355" s="974">
        <v>2.9</v>
      </c>
      <c r="R355" s="974"/>
      <c r="S355" s="974"/>
    </row>
    <row r="356" spans="2:19" x14ac:dyDescent="0.25">
      <c r="B356" s="974"/>
      <c r="C356" s="974" t="s">
        <v>1053</v>
      </c>
      <c r="D356" s="974">
        <v>44.09</v>
      </c>
      <c r="E356" s="974">
        <v>7.0000000000000001E-3</v>
      </c>
      <c r="F356" s="974">
        <v>0.09</v>
      </c>
      <c r="G356" s="974"/>
      <c r="H356" s="974">
        <v>0.6</v>
      </c>
      <c r="I356" s="974">
        <v>24.58</v>
      </c>
      <c r="J356" s="974">
        <v>135.9</v>
      </c>
      <c r="K356" s="974">
        <v>2.8799999999999999E-2</v>
      </c>
      <c r="L356" s="974"/>
      <c r="M356" s="974"/>
      <c r="N356" s="974"/>
      <c r="O356" s="974">
        <v>0.57999999999999996</v>
      </c>
      <c r="P356" s="974">
        <v>7.0000000000000007E-2</v>
      </c>
      <c r="Q356" s="974">
        <v>1.76</v>
      </c>
      <c r="R356" s="974">
        <v>0.1653</v>
      </c>
      <c r="S356" s="974" t="s">
        <v>889</v>
      </c>
    </row>
    <row r="357" spans="2:19" x14ac:dyDescent="0.25">
      <c r="B357" s="974"/>
      <c r="C357" s="974"/>
      <c r="D357" s="974"/>
      <c r="E357" s="974"/>
      <c r="F357" s="974"/>
      <c r="G357" s="974">
        <v>0.217</v>
      </c>
      <c r="H357" s="974"/>
      <c r="I357" s="974"/>
      <c r="J357" s="974"/>
      <c r="K357" s="974">
        <v>4.9200000000000001E-2</v>
      </c>
      <c r="L357" s="974"/>
      <c r="M357" s="974"/>
      <c r="N357" s="974"/>
      <c r="O357" s="974">
        <v>0.66</v>
      </c>
      <c r="P357" s="974">
        <v>0.09</v>
      </c>
      <c r="Q357" s="974">
        <v>2.19</v>
      </c>
      <c r="R357" s="974"/>
      <c r="S357" s="974"/>
    </row>
    <row r="358" spans="2:19" x14ac:dyDescent="0.25">
      <c r="B358" s="974"/>
      <c r="C358" s="974" t="s">
        <v>1054</v>
      </c>
      <c r="D358" s="974">
        <v>17.100000000000001</v>
      </c>
      <c r="E358" s="974">
        <v>1E-3</v>
      </c>
      <c r="F358" s="974">
        <v>0</v>
      </c>
      <c r="G358" s="974"/>
      <c r="H358" s="974">
        <v>0.6</v>
      </c>
      <c r="I358" s="974">
        <v>31.36</v>
      </c>
      <c r="J358" s="974">
        <v>135.9</v>
      </c>
      <c r="K358" s="974">
        <v>4.9200000000000001E-2</v>
      </c>
      <c r="L358" s="974"/>
      <c r="M358" s="974"/>
      <c r="N358" s="974"/>
      <c r="O358" s="974">
        <v>0.18</v>
      </c>
      <c r="P358" s="974">
        <v>0.1</v>
      </c>
      <c r="Q358" s="974">
        <v>3.65</v>
      </c>
      <c r="R358" s="974">
        <v>0.1095</v>
      </c>
      <c r="S358" s="974" t="s">
        <v>891</v>
      </c>
    </row>
    <row r="359" spans="2:19" x14ac:dyDescent="0.25">
      <c r="B359" s="974"/>
      <c r="C359" s="974"/>
      <c r="D359" s="974"/>
      <c r="E359" s="974"/>
      <c r="F359" s="974"/>
      <c r="G359" s="974">
        <v>0.217</v>
      </c>
      <c r="H359" s="974"/>
      <c r="I359" s="974"/>
      <c r="J359" s="974"/>
      <c r="K359" s="974">
        <v>4.9200000000000001E-2</v>
      </c>
      <c r="L359" s="974"/>
      <c r="M359" s="974"/>
      <c r="N359" s="974"/>
      <c r="O359" s="974">
        <v>0.18</v>
      </c>
      <c r="P359" s="974">
        <v>0.1</v>
      </c>
      <c r="Q359" s="974">
        <v>3.65</v>
      </c>
      <c r="R359" s="974"/>
      <c r="S359" s="974"/>
    </row>
    <row r="360" spans="2:19" x14ac:dyDescent="0.25">
      <c r="B360" s="974"/>
      <c r="C360" s="974" t="s">
        <v>1055</v>
      </c>
      <c r="D360" s="974">
        <v>45.2</v>
      </c>
      <c r="E360" s="974">
        <v>0</v>
      </c>
      <c r="F360" s="974">
        <v>8.1000000000000003E-2</v>
      </c>
      <c r="G360" s="974"/>
      <c r="H360" s="974">
        <v>0.6</v>
      </c>
      <c r="I360" s="974">
        <v>34.69</v>
      </c>
      <c r="J360" s="974">
        <v>135.9</v>
      </c>
      <c r="K360" s="974">
        <v>4.9200000000000001E-2</v>
      </c>
      <c r="L360" s="974"/>
      <c r="M360" s="974"/>
      <c r="N360" s="974"/>
      <c r="O360" s="974">
        <v>0.23</v>
      </c>
      <c r="P360" s="974">
        <v>0.13</v>
      </c>
      <c r="Q360" s="974">
        <v>3.78</v>
      </c>
      <c r="R360" s="974">
        <v>4.0800000000000003E-2</v>
      </c>
      <c r="S360" s="974"/>
    </row>
    <row r="361" spans="2:19" x14ac:dyDescent="0.25">
      <c r="B361" s="974"/>
      <c r="C361" s="974"/>
      <c r="D361" s="974"/>
      <c r="E361" s="974"/>
      <c r="F361" s="974"/>
      <c r="G361" s="974">
        <v>0.29799999999999999</v>
      </c>
      <c r="H361" s="974"/>
      <c r="I361" s="974"/>
      <c r="J361" s="974"/>
      <c r="K361" s="974">
        <v>0</v>
      </c>
      <c r="L361" s="974">
        <v>6.7500000000000004E-2</v>
      </c>
      <c r="M361" s="974">
        <v>1</v>
      </c>
      <c r="N361" s="974">
        <v>7.4999999999999997E-2</v>
      </c>
      <c r="O361" s="974">
        <v>0.24</v>
      </c>
      <c r="P361" s="974">
        <v>0.15</v>
      </c>
      <c r="Q361" s="974">
        <v>4.38</v>
      </c>
      <c r="R361" s="974"/>
      <c r="S361" s="974"/>
    </row>
    <row r="362" spans="2:19" x14ac:dyDescent="0.25">
      <c r="B362" s="974">
        <v>116</v>
      </c>
      <c r="C362" s="974" t="s">
        <v>1056</v>
      </c>
      <c r="D362" s="974">
        <v>13.34</v>
      </c>
      <c r="E362" s="974">
        <v>4.2999999999999997E-2</v>
      </c>
      <c r="F362" s="974">
        <v>2.7E-2</v>
      </c>
      <c r="G362" s="974"/>
      <c r="H362" s="974">
        <v>0.6</v>
      </c>
      <c r="I362" s="974">
        <v>10</v>
      </c>
      <c r="J362" s="974">
        <v>135.9</v>
      </c>
      <c r="K362" s="974">
        <v>0</v>
      </c>
      <c r="L362" s="974"/>
      <c r="M362" s="974"/>
      <c r="N362" s="974"/>
      <c r="O362" s="974">
        <v>0</v>
      </c>
      <c r="P362" s="974">
        <v>0</v>
      </c>
      <c r="Q362" s="974">
        <v>0</v>
      </c>
      <c r="R362" s="974">
        <v>0.40089999999999998</v>
      </c>
      <c r="S362" s="974"/>
    </row>
    <row r="363" spans="2:19" x14ac:dyDescent="0.25">
      <c r="B363" s="974"/>
      <c r="C363" s="974"/>
      <c r="D363" s="974"/>
      <c r="E363" s="974"/>
      <c r="F363" s="974"/>
      <c r="G363" s="974">
        <v>2.7E-2</v>
      </c>
      <c r="H363" s="974"/>
      <c r="I363" s="974"/>
      <c r="J363" s="974"/>
      <c r="K363" s="974">
        <v>0</v>
      </c>
      <c r="L363" s="974">
        <v>6.1999999999999998E-3</v>
      </c>
      <c r="M363" s="974">
        <v>1</v>
      </c>
      <c r="N363" s="974">
        <v>7.4999999999999997E-2</v>
      </c>
      <c r="O363" s="974">
        <v>0.87</v>
      </c>
      <c r="P363" s="974">
        <v>0.04</v>
      </c>
      <c r="Q363" s="974">
        <v>0.52</v>
      </c>
      <c r="R363" s="974"/>
      <c r="S363" s="974"/>
    </row>
    <row r="364" spans="2:19" x14ac:dyDescent="0.25">
      <c r="B364" s="974">
        <v>117</v>
      </c>
      <c r="C364" s="974" t="s">
        <v>1057</v>
      </c>
      <c r="D364" s="974">
        <v>45.21</v>
      </c>
      <c r="E364" s="974">
        <v>1.6E-2</v>
      </c>
      <c r="F364" s="974">
        <v>0.09</v>
      </c>
      <c r="G364" s="974"/>
      <c r="H364" s="974">
        <v>0.6</v>
      </c>
      <c r="I364" s="974">
        <v>10</v>
      </c>
      <c r="J364" s="974">
        <v>135.9</v>
      </c>
      <c r="K364" s="974">
        <v>0</v>
      </c>
      <c r="L364" s="974"/>
      <c r="M364" s="974"/>
      <c r="N364" s="974"/>
      <c r="O364" s="974">
        <v>0</v>
      </c>
      <c r="P364" s="974">
        <v>0</v>
      </c>
      <c r="Q364" s="974">
        <v>0</v>
      </c>
      <c r="R364" s="974">
        <v>0.2465</v>
      </c>
      <c r="S364" s="974" t="s">
        <v>889</v>
      </c>
    </row>
    <row r="365" spans="2:19" x14ac:dyDescent="0.25">
      <c r="B365" s="974"/>
      <c r="C365" s="974"/>
      <c r="D365" s="974"/>
      <c r="E365" s="974"/>
      <c r="F365" s="974"/>
      <c r="G365" s="974">
        <v>0.09</v>
      </c>
      <c r="H365" s="974"/>
      <c r="I365" s="974"/>
      <c r="J365" s="974"/>
      <c r="K365" s="974">
        <v>2.0299999999999999E-2</v>
      </c>
      <c r="L365" s="974"/>
      <c r="M365" s="974"/>
      <c r="N365" s="974"/>
      <c r="O365" s="974">
        <v>0.73</v>
      </c>
      <c r="P365" s="974">
        <v>0.06</v>
      </c>
      <c r="Q365" s="974">
        <v>1.28</v>
      </c>
      <c r="R365" s="974"/>
      <c r="S365" s="974"/>
    </row>
    <row r="366" spans="2:19" x14ac:dyDescent="0.25">
      <c r="B366" s="974"/>
      <c r="C366" s="974" t="s">
        <v>1058</v>
      </c>
      <c r="D366" s="974">
        <v>5.74</v>
      </c>
      <c r="E366" s="974">
        <v>1E-3</v>
      </c>
      <c r="F366" s="974">
        <v>0</v>
      </c>
      <c r="G366" s="974"/>
      <c r="H366" s="974">
        <v>0.6</v>
      </c>
      <c r="I366" s="974">
        <v>12.21</v>
      </c>
      <c r="J366" s="974">
        <v>135.9</v>
      </c>
      <c r="K366" s="974">
        <v>2.0299999999999999E-2</v>
      </c>
      <c r="L366" s="974"/>
      <c r="M366" s="974"/>
      <c r="N366" s="974"/>
      <c r="O366" s="974">
        <v>0.2</v>
      </c>
      <c r="P366" s="974">
        <v>0.09</v>
      </c>
      <c r="Q366" s="974">
        <v>3.1</v>
      </c>
      <c r="R366" s="974">
        <v>6.8500000000000005E-2</v>
      </c>
      <c r="S366" s="974"/>
    </row>
    <row r="367" spans="2:19" x14ac:dyDescent="0.25">
      <c r="B367" s="974"/>
      <c r="C367" s="974"/>
      <c r="D367" s="974"/>
      <c r="E367" s="974"/>
      <c r="F367" s="974"/>
      <c r="G367" s="974">
        <v>0.09</v>
      </c>
      <c r="H367" s="974"/>
      <c r="I367" s="974"/>
      <c r="J367" s="974"/>
      <c r="K367" s="974">
        <v>2.0299999999999999E-2</v>
      </c>
      <c r="L367" s="974"/>
      <c r="M367" s="974"/>
      <c r="N367" s="974"/>
      <c r="O367" s="974">
        <v>0.2</v>
      </c>
      <c r="P367" s="974">
        <v>0.09</v>
      </c>
      <c r="Q367" s="974">
        <v>3.1</v>
      </c>
      <c r="R367" s="974"/>
      <c r="S367" s="974"/>
    </row>
    <row r="368" spans="2:19" x14ac:dyDescent="0.25">
      <c r="B368" s="974"/>
      <c r="C368" s="974" t="s">
        <v>1059</v>
      </c>
      <c r="D368" s="974">
        <v>76.930000000000007</v>
      </c>
      <c r="E368" s="974">
        <v>1.0999999999999999E-2</v>
      </c>
      <c r="F368" s="974">
        <v>0.189</v>
      </c>
      <c r="G368" s="974"/>
      <c r="H368" s="974">
        <v>0.6</v>
      </c>
      <c r="I368" s="974">
        <v>12.61</v>
      </c>
      <c r="J368" s="974">
        <v>135.9</v>
      </c>
      <c r="K368" s="974">
        <v>2.0299999999999999E-2</v>
      </c>
      <c r="L368" s="974"/>
      <c r="M368" s="974"/>
      <c r="N368" s="974"/>
      <c r="O368" s="974">
        <v>0.63</v>
      </c>
      <c r="P368" s="974">
        <v>0.06</v>
      </c>
      <c r="Q368" s="974">
        <v>1.39</v>
      </c>
      <c r="R368" s="974">
        <v>0.2051</v>
      </c>
      <c r="S368" s="974"/>
    </row>
    <row r="369" spans="2:19" x14ac:dyDescent="0.25">
      <c r="B369" s="974"/>
      <c r="C369" s="974"/>
      <c r="D369" s="974"/>
      <c r="E369" s="974"/>
      <c r="F369" s="974"/>
      <c r="G369" s="974">
        <v>0.27900000000000003</v>
      </c>
      <c r="H369" s="974"/>
      <c r="I369" s="974"/>
      <c r="J369" s="974"/>
      <c r="K369" s="974">
        <v>0</v>
      </c>
      <c r="L369" s="974">
        <v>6.3100000000000003E-2</v>
      </c>
      <c r="M369" s="974">
        <v>1</v>
      </c>
      <c r="N369" s="974">
        <v>7.4999999999999997E-2</v>
      </c>
      <c r="O369" s="974">
        <v>0.82</v>
      </c>
      <c r="P369" s="974">
        <v>0.09</v>
      </c>
      <c r="Q369" s="974">
        <v>2.2200000000000002</v>
      </c>
      <c r="R369" s="974"/>
      <c r="S369" s="974"/>
    </row>
    <row r="370" spans="2:19" x14ac:dyDescent="0.25">
      <c r="B370" s="974">
        <v>118</v>
      </c>
      <c r="C370" s="974" t="s">
        <v>1060</v>
      </c>
      <c r="D370" s="974">
        <v>46.71</v>
      </c>
      <c r="E370" s="974">
        <v>2.1999999999999999E-2</v>
      </c>
      <c r="F370" s="974">
        <v>8.5999999999999993E-2</v>
      </c>
      <c r="G370" s="974"/>
      <c r="H370" s="974">
        <v>0.6</v>
      </c>
      <c r="I370" s="974">
        <v>10</v>
      </c>
      <c r="J370" s="974">
        <v>135.9</v>
      </c>
      <c r="K370" s="974">
        <v>0</v>
      </c>
      <c r="L370" s="974"/>
      <c r="M370" s="974"/>
      <c r="N370" s="974"/>
      <c r="O370" s="974">
        <v>0</v>
      </c>
      <c r="P370" s="974">
        <v>0</v>
      </c>
      <c r="Q370" s="974">
        <v>0</v>
      </c>
      <c r="R370" s="974">
        <v>0.2908</v>
      </c>
      <c r="S370" s="974" t="s">
        <v>889</v>
      </c>
    </row>
    <row r="371" spans="2:19" x14ac:dyDescent="0.25">
      <c r="B371" s="974"/>
      <c r="C371" s="974"/>
      <c r="D371" s="974"/>
      <c r="E371" s="974"/>
      <c r="F371" s="974"/>
      <c r="G371" s="974">
        <v>8.5999999999999993E-2</v>
      </c>
      <c r="H371" s="974"/>
      <c r="I371" s="974"/>
      <c r="J371" s="974"/>
      <c r="K371" s="974">
        <v>1.95E-2</v>
      </c>
      <c r="L371" s="974"/>
      <c r="M371" s="974"/>
      <c r="N371" s="974"/>
      <c r="O371" s="974">
        <v>0.82</v>
      </c>
      <c r="P371" s="974">
        <v>0.06</v>
      </c>
      <c r="Q371" s="974">
        <v>1.17</v>
      </c>
      <c r="R371" s="974"/>
      <c r="S371" s="974"/>
    </row>
    <row r="372" spans="2:19" x14ac:dyDescent="0.25">
      <c r="B372" s="974"/>
      <c r="C372" s="974" t="s">
        <v>1061</v>
      </c>
      <c r="D372" s="974">
        <v>4.0199999999999996</v>
      </c>
      <c r="E372" s="974">
        <v>1E-3</v>
      </c>
      <c r="F372" s="974">
        <v>0</v>
      </c>
      <c r="G372" s="974"/>
      <c r="H372" s="974">
        <v>0.6</v>
      </c>
      <c r="I372" s="974">
        <v>14.75</v>
      </c>
      <c r="J372" s="974">
        <v>135.9</v>
      </c>
      <c r="K372" s="974">
        <v>1.95E-2</v>
      </c>
      <c r="L372" s="974"/>
      <c r="M372" s="974"/>
      <c r="N372" s="974"/>
      <c r="O372" s="974">
        <v>0.2</v>
      </c>
      <c r="P372" s="974">
        <v>0.08</v>
      </c>
      <c r="Q372" s="974">
        <v>3.05</v>
      </c>
      <c r="R372" s="974">
        <v>6.8500000000000005E-2</v>
      </c>
      <c r="S372" s="974"/>
    </row>
    <row r="373" spans="2:19" x14ac:dyDescent="0.25">
      <c r="B373" s="974"/>
      <c r="C373" s="974"/>
      <c r="D373" s="974"/>
      <c r="E373" s="974"/>
      <c r="F373" s="974"/>
      <c r="G373" s="974">
        <v>8.5999999999999993E-2</v>
      </c>
      <c r="H373" s="974"/>
      <c r="I373" s="974"/>
      <c r="J373" s="974"/>
      <c r="K373" s="974">
        <v>1.95E-2</v>
      </c>
      <c r="L373" s="974"/>
      <c r="M373" s="974"/>
      <c r="N373" s="974"/>
      <c r="O373" s="974">
        <v>0.2</v>
      </c>
      <c r="P373" s="974">
        <v>0.08</v>
      </c>
      <c r="Q373" s="974">
        <v>3.05</v>
      </c>
      <c r="R373" s="974"/>
      <c r="S373" s="974"/>
    </row>
    <row r="374" spans="2:19" x14ac:dyDescent="0.25">
      <c r="B374" s="974"/>
      <c r="C374" s="974" t="s">
        <v>1062</v>
      </c>
      <c r="D374" s="974">
        <v>75.78</v>
      </c>
      <c r="E374" s="974">
        <v>1.0999999999999999E-2</v>
      </c>
      <c r="F374" s="974">
        <v>0.186</v>
      </c>
      <c r="G374" s="974"/>
      <c r="H374" s="974">
        <v>0.6</v>
      </c>
      <c r="I374" s="974">
        <v>15.22</v>
      </c>
      <c r="J374" s="974">
        <v>135.9</v>
      </c>
      <c r="K374" s="974">
        <v>1.95E-2</v>
      </c>
      <c r="L374" s="974"/>
      <c r="M374" s="974"/>
      <c r="N374" s="974"/>
      <c r="O374" s="974">
        <v>0.62</v>
      </c>
      <c r="P374" s="974">
        <v>0.06</v>
      </c>
      <c r="Q374" s="974">
        <v>1.37</v>
      </c>
      <c r="R374" s="974">
        <v>0.20300000000000001</v>
      </c>
      <c r="S374" s="974"/>
    </row>
    <row r="375" spans="2:19" x14ac:dyDescent="0.25">
      <c r="B375" s="974"/>
      <c r="C375" s="974"/>
      <c r="D375" s="974"/>
      <c r="E375" s="974"/>
      <c r="F375" s="974"/>
      <c r="G375" s="974">
        <v>0.27200000000000002</v>
      </c>
      <c r="H375" s="974"/>
      <c r="I375" s="974"/>
      <c r="J375" s="974"/>
      <c r="K375" s="974">
        <v>0</v>
      </c>
      <c r="L375" s="974">
        <v>6.1600000000000002E-2</v>
      </c>
      <c r="M375" s="974">
        <v>1</v>
      </c>
      <c r="N375" s="974">
        <v>7.4999999999999997E-2</v>
      </c>
      <c r="O375" s="974">
        <v>0.81</v>
      </c>
      <c r="P375" s="974">
        <v>0.09</v>
      </c>
      <c r="Q375" s="974">
        <v>2.21</v>
      </c>
      <c r="R375" s="974"/>
      <c r="S375" s="974"/>
    </row>
    <row r="376" spans="2:19" x14ac:dyDescent="0.25">
      <c r="B376" s="974">
        <v>119</v>
      </c>
      <c r="C376" s="974" t="s">
        <v>1063</v>
      </c>
      <c r="D376" s="974">
        <v>16.96</v>
      </c>
      <c r="E376" s="974">
        <v>3.9E-2</v>
      </c>
      <c r="F376" s="974">
        <v>2.7E-2</v>
      </c>
      <c r="G376" s="974"/>
      <c r="H376" s="974">
        <v>0.6</v>
      </c>
      <c r="I376" s="974">
        <v>10</v>
      </c>
      <c r="J376" s="974">
        <v>135.9</v>
      </c>
      <c r="K376" s="974">
        <v>0</v>
      </c>
      <c r="L376" s="974"/>
      <c r="M376" s="974"/>
      <c r="N376" s="974"/>
      <c r="O376" s="974">
        <v>0</v>
      </c>
      <c r="P376" s="974">
        <v>0</v>
      </c>
      <c r="Q376" s="974">
        <v>0</v>
      </c>
      <c r="R376" s="974">
        <v>0.38269999999999998</v>
      </c>
      <c r="S376" s="974" t="s">
        <v>889</v>
      </c>
    </row>
    <row r="377" spans="2:19" x14ac:dyDescent="0.25">
      <c r="B377" s="974"/>
      <c r="C377" s="974"/>
      <c r="D377" s="974"/>
      <c r="E377" s="974"/>
      <c r="F377" s="974"/>
      <c r="G377" s="974">
        <v>2.7E-2</v>
      </c>
      <c r="H377" s="974"/>
      <c r="I377" s="974"/>
      <c r="J377" s="974"/>
      <c r="K377" s="974">
        <v>6.1999999999999998E-3</v>
      </c>
      <c r="L377" s="974"/>
      <c r="M377" s="974"/>
      <c r="N377" s="974"/>
      <c r="O377" s="974">
        <v>0.83</v>
      </c>
      <c r="P377" s="974">
        <v>0.04</v>
      </c>
      <c r="Q377" s="974">
        <v>0.53</v>
      </c>
      <c r="R377" s="974"/>
      <c r="S377" s="974"/>
    </row>
    <row r="378" spans="2:19" x14ac:dyDescent="0.25">
      <c r="B378" s="974"/>
      <c r="C378" s="974" t="s">
        <v>1064</v>
      </c>
      <c r="D378" s="974">
        <v>3.31</v>
      </c>
      <c r="E378" s="974">
        <v>1E-3</v>
      </c>
      <c r="F378" s="974">
        <v>0</v>
      </c>
      <c r="G378" s="974"/>
      <c r="H378" s="974">
        <v>0.6</v>
      </c>
      <c r="I378" s="974">
        <v>14.63</v>
      </c>
      <c r="J378" s="974">
        <v>135.9</v>
      </c>
      <c r="K378" s="974">
        <v>6.1999999999999998E-3</v>
      </c>
      <c r="L378" s="974"/>
      <c r="M378" s="974"/>
      <c r="N378" s="974"/>
      <c r="O378" s="974">
        <v>0.16</v>
      </c>
      <c r="P378" s="974">
        <v>0.06</v>
      </c>
      <c r="Q378" s="974">
        <v>1.87</v>
      </c>
      <c r="R378" s="974">
        <v>6.8500000000000005E-2</v>
      </c>
      <c r="S378" s="974"/>
    </row>
    <row r="379" spans="2:19" x14ac:dyDescent="0.25">
      <c r="B379" s="974"/>
      <c r="C379" s="974"/>
      <c r="D379" s="974"/>
      <c r="E379" s="974"/>
      <c r="F379" s="974"/>
      <c r="G379" s="974">
        <v>2.7E-2</v>
      </c>
      <c r="H379" s="974"/>
      <c r="I379" s="974"/>
      <c r="J379" s="974"/>
      <c r="K379" s="974">
        <v>6.1999999999999998E-3</v>
      </c>
      <c r="L379" s="974"/>
      <c r="M379" s="974"/>
      <c r="N379" s="974"/>
      <c r="O379" s="974">
        <v>0.16</v>
      </c>
      <c r="P379" s="974">
        <v>0.06</v>
      </c>
      <c r="Q379" s="974">
        <v>1.87</v>
      </c>
      <c r="R379" s="974"/>
      <c r="S379" s="974"/>
    </row>
    <row r="380" spans="2:19" x14ac:dyDescent="0.25">
      <c r="B380" s="974"/>
      <c r="C380" s="974" t="s">
        <v>1065</v>
      </c>
      <c r="D380" s="974">
        <v>74.790000000000006</v>
      </c>
      <c r="E380" s="974">
        <v>3.0000000000000001E-3</v>
      </c>
      <c r="F380" s="974">
        <v>0.10199999999999999</v>
      </c>
      <c r="G380" s="974"/>
      <c r="H380" s="974">
        <v>0.6</v>
      </c>
      <c r="I380" s="974">
        <v>15.51</v>
      </c>
      <c r="J380" s="974">
        <v>135.9</v>
      </c>
      <c r="K380" s="974">
        <v>6.1999999999999998E-3</v>
      </c>
      <c r="L380" s="974"/>
      <c r="M380" s="974"/>
      <c r="N380" s="974"/>
      <c r="O380" s="974">
        <v>0.31</v>
      </c>
      <c r="P380" s="974">
        <v>0.05</v>
      </c>
      <c r="Q380" s="974">
        <v>1.07</v>
      </c>
      <c r="R380" s="974">
        <v>0.11210000000000001</v>
      </c>
      <c r="S380" s="974"/>
    </row>
    <row r="381" spans="2:19" x14ac:dyDescent="0.25">
      <c r="B381" s="974"/>
      <c r="C381" s="974"/>
      <c r="D381" s="974"/>
      <c r="E381" s="974"/>
      <c r="F381" s="974"/>
      <c r="G381" s="974">
        <v>0.129</v>
      </c>
      <c r="H381" s="974"/>
      <c r="I381" s="974"/>
      <c r="J381" s="974"/>
      <c r="K381" s="974">
        <v>0</v>
      </c>
      <c r="L381" s="974">
        <v>2.93E-2</v>
      </c>
      <c r="M381" s="974">
        <v>1</v>
      </c>
      <c r="N381" s="974">
        <v>7.4999999999999997E-2</v>
      </c>
      <c r="O381" s="974">
        <v>0.43</v>
      </c>
      <c r="P381" s="974">
        <v>0.08</v>
      </c>
      <c r="Q381" s="974">
        <v>2.08</v>
      </c>
      <c r="R381" s="974"/>
      <c r="S381" s="974"/>
    </row>
  </sheetData>
  <mergeCells count="2">
    <mergeCell ref="B1:S1"/>
    <mergeCell ref="B2:S2"/>
  </mergeCells>
  <printOptions horizontalCentered="1"/>
  <pageMargins left="0.59055118110236227" right="0.59055118110236227" top="1.7716535433070868" bottom="0.78740157480314965" header="0" footer="0"/>
  <pageSetup paperSize="9" scale="71" firstPageNumber="25" fitToHeight="100" orientation="landscape" r:id="rId1"/>
  <headerFooter scaleWithDoc="0">
    <oddHeader>&amp;L&amp;G</oddHeader>
  </headerFooter>
  <rowBreaks count="1" manualBreakCount="1">
    <brk id="35" max="18" man="1"/>
  </rowBreaks>
  <legacyDrawingHF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1">
    <tabColor rgb="FF00B0F0"/>
  </sheetPr>
  <dimension ref="B2:P51"/>
  <sheetViews>
    <sheetView showGridLines="0" view="pageBreakPreview" topLeftCell="A25" zoomScale="85" zoomScaleNormal="70" zoomScaleSheetLayoutView="85" workbookViewId="0">
      <selection activeCell="K22" sqref="K22:L22"/>
    </sheetView>
  </sheetViews>
  <sheetFormatPr defaultColWidth="9.109375" defaultRowHeight="13.8" x14ac:dyDescent="0.25"/>
  <cols>
    <col min="1" max="1" width="9.109375" style="721"/>
    <col min="2" max="2" width="12.44140625" style="721" customWidth="1"/>
    <col min="3" max="3" width="23.88671875" style="721" customWidth="1"/>
    <col min="4" max="4" width="14.44140625" style="721" customWidth="1"/>
    <col min="5" max="5" width="23" style="721" customWidth="1"/>
    <col min="6" max="6" width="12.33203125" style="721" bestFit="1" customWidth="1"/>
    <col min="7" max="7" width="18.33203125" style="721" customWidth="1"/>
    <col min="8" max="8" width="7.5546875" style="721" customWidth="1"/>
    <col min="9" max="9" width="14.44140625" style="721" customWidth="1"/>
    <col min="10" max="10" width="9.44140625" style="721" customWidth="1"/>
    <col min="11" max="11" width="16.6640625" style="721" customWidth="1"/>
    <col min="12" max="12" width="9.33203125" style="721" bestFit="1" customWidth="1"/>
    <col min="13" max="13" width="16.44140625" style="721" bestFit="1" customWidth="1"/>
    <col min="14" max="14" width="11.5546875" style="721" customWidth="1"/>
    <col min="15" max="16384" width="9.109375" style="721"/>
  </cols>
  <sheetData>
    <row r="2" spans="2:16" ht="24.9" customHeight="1" x14ac:dyDescent="0.2">
      <c r="B2" s="1332" t="s">
        <v>1066</v>
      </c>
      <c r="C2" s="1332"/>
      <c r="D2" s="1332"/>
      <c r="E2" s="1332"/>
      <c r="F2" s="1332"/>
      <c r="G2" s="1332"/>
      <c r="H2" s="1332"/>
      <c r="I2" s="1332"/>
      <c r="J2" s="1332"/>
      <c r="K2" s="1332"/>
      <c r="L2" s="1332"/>
      <c r="M2" s="1332"/>
      <c r="N2" s="1332"/>
    </row>
    <row r="3" spans="2:16" s="411" customFormat="1" ht="17.25" customHeight="1" x14ac:dyDescent="0.25">
      <c r="B3" s="1333" t="s">
        <v>33</v>
      </c>
      <c r="C3" s="1434" t="s">
        <v>559</v>
      </c>
      <c r="D3" s="1435"/>
      <c r="E3" s="1436"/>
      <c r="F3" s="1333" t="s">
        <v>540</v>
      </c>
      <c r="G3" s="1334" t="s">
        <v>560</v>
      </c>
      <c r="H3" s="1335" t="s">
        <v>11</v>
      </c>
      <c r="I3" s="1337" t="s">
        <v>561</v>
      </c>
      <c r="J3" s="1337"/>
      <c r="K3" s="770" t="s">
        <v>562</v>
      </c>
      <c r="L3" s="770" t="s">
        <v>142</v>
      </c>
      <c r="M3" s="770" t="s">
        <v>563</v>
      </c>
      <c r="N3" s="1335" t="s">
        <v>11</v>
      </c>
      <c r="P3" s="411" t="s">
        <v>11</v>
      </c>
    </row>
    <row r="4" spans="2:16" s="411" customFormat="1" ht="27" customHeight="1" x14ac:dyDescent="0.25">
      <c r="B4" s="1333"/>
      <c r="C4" s="1434" t="s">
        <v>244</v>
      </c>
      <c r="D4" s="1435"/>
      <c r="E4" s="1436"/>
      <c r="F4" s="1333"/>
      <c r="G4" s="1334"/>
      <c r="H4" s="1336"/>
      <c r="I4" s="976" t="s">
        <v>564</v>
      </c>
      <c r="J4" s="761" t="s">
        <v>11</v>
      </c>
      <c r="K4" s="772" t="s">
        <v>565</v>
      </c>
      <c r="L4" s="772" t="s">
        <v>566</v>
      </c>
      <c r="M4" s="773" t="s">
        <v>1067</v>
      </c>
      <c r="N4" s="1336"/>
    </row>
    <row r="5" spans="2:16" s="301" customFormat="1" ht="30" customHeight="1" x14ac:dyDescent="0.3">
      <c r="B5" s="784">
        <v>100951</v>
      </c>
      <c r="C5" s="1329" t="s">
        <v>1068</v>
      </c>
      <c r="D5" s="1329"/>
      <c r="E5" s="1329"/>
      <c r="F5" s="1329"/>
      <c r="G5" s="1329"/>
      <c r="H5" s="1329"/>
      <c r="I5" s="1329"/>
      <c r="J5" s="1329"/>
      <c r="K5" s="1329"/>
      <c r="L5" s="1329"/>
      <c r="M5" s="1329"/>
      <c r="N5" s="1330"/>
    </row>
    <row r="6" spans="2:16" s="411" customFormat="1" ht="20.100000000000001" customHeight="1" x14ac:dyDescent="0.25">
      <c r="B6" s="761"/>
      <c r="C6" s="1430" t="s">
        <v>1069</v>
      </c>
      <c r="D6" s="1431"/>
      <c r="E6" s="1432"/>
      <c r="F6" s="761" t="s">
        <v>1070</v>
      </c>
      <c r="G6" s="977">
        <f>'DREN. MEM. CAL.'!$C$160</f>
        <v>203</v>
      </c>
      <c r="H6" s="785" t="s">
        <v>1071</v>
      </c>
      <c r="I6" s="978">
        <f>$J$39</f>
        <v>0.15</v>
      </c>
      <c r="J6" s="764" t="s">
        <v>1072</v>
      </c>
      <c r="K6" s="778">
        <f t="shared" ref="K6:K11" si="0">TRUNC(G6*I6,2)</f>
        <v>30.45</v>
      </c>
      <c r="L6" s="787">
        <f>ÍNDICE!$E$20</f>
        <v>0.4</v>
      </c>
      <c r="M6" s="780">
        <f t="shared" ref="M6:M11" si="1">TRUNC(K6*L6,2)</f>
        <v>12.18</v>
      </c>
      <c r="N6" s="781" t="s">
        <v>573</v>
      </c>
    </row>
    <row r="7" spans="2:16" s="411" customFormat="1" ht="20.100000000000001" customHeight="1" x14ac:dyDescent="0.25">
      <c r="B7" s="761"/>
      <c r="C7" s="1430" t="s">
        <v>1073</v>
      </c>
      <c r="D7" s="1431"/>
      <c r="E7" s="1432"/>
      <c r="F7" s="761" t="s">
        <v>1070</v>
      </c>
      <c r="G7" s="977">
        <f ca="1">'DREN. MEM. CAL.'!$C$161+'DREN. MEM. CAL.'!C160</f>
        <v>1173.48</v>
      </c>
      <c r="H7" s="785" t="s">
        <v>1071</v>
      </c>
      <c r="I7" s="978">
        <f>$J$41</f>
        <v>0.32</v>
      </c>
      <c r="J7" s="764" t="s">
        <v>1072</v>
      </c>
      <c r="K7" s="778">
        <f t="shared" ca="1" si="0"/>
        <v>375.51</v>
      </c>
      <c r="L7" s="787">
        <f>ÍNDICE!$E$20</f>
        <v>0.4</v>
      </c>
      <c r="M7" s="780">
        <f t="shared" ca="1" si="1"/>
        <v>150.19999999999999</v>
      </c>
      <c r="N7" s="781" t="s">
        <v>573</v>
      </c>
    </row>
    <row r="8" spans="2:16" s="411" customFormat="1" ht="20.100000000000001" customHeight="1" x14ac:dyDescent="0.25">
      <c r="B8" s="761"/>
      <c r="C8" s="1430" t="s">
        <v>1074</v>
      </c>
      <c r="D8" s="1431"/>
      <c r="E8" s="1432"/>
      <c r="F8" s="761" t="s">
        <v>1070</v>
      </c>
      <c r="G8" s="977">
        <f ca="1">'DREN. MEM. CAL.'!$C$162</f>
        <v>320.91000000000008</v>
      </c>
      <c r="H8" s="785" t="s">
        <v>1071</v>
      </c>
      <c r="I8" s="978">
        <f>$J$42</f>
        <v>0.44</v>
      </c>
      <c r="J8" s="764" t="s">
        <v>1072</v>
      </c>
      <c r="K8" s="778">
        <f t="shared" ca="1" si="0"/>
        <v>141.19999999999999</v>
      </c>
      <c r="L8" s="787">
        <f>ÍNDICE!$E$20</f>
        <v>0.4</v>
      </c>
      <c r="M8" s="780">
        <f t="shared" ca="1" si="1"/>
        <v>56.48</v>
      </c>
      <c r="N8" s="781" t="s">
        <v>573</v>
      </c>
    </row>
    <row r="9" spans="2:16" s="411" customFormat="1" ht="20.100000000000001" customHeight="1" x14ac:dyDescent="0.25">
      <c r="B9" s="761"/>
      <c r="C9" s="1430" t="s">
        <v>1075</v>
      </c>
      <c r="D9" s="1431"/>
      <c r="E9" s="1432"/>
      <c r="F9" s="761" t="s">
        <v>1070</v>
      </c>
      <c r="G9" s="977">
        <f ca="1">'DREN. MEM. CAL.'!$C$163</f>
        <v>866.81999999999994</v>
      </c>
      <c r="H9" s="785" t="s">
        <v>1071</v>
      </c>
      <c r="I9" s="978">
        <f>$J$43</f>
        <v>0.68</v>
      </c>
      <c r="J9" s="764" t="s">
        <v>1072</v>
      </c>
      <c r="K9" s="778">
        <f t="shared" ca="1" si="0"/>
        <v>589.42999999999995</v>
      </c>
      <c r="L9" s="787">
        <f>ÍNDICE!$E$20</f>
        <v>0.4</v>
      </c>
      <c r="M9" s="780">
        <f t="shared" ca="1" si="1"/>
        <v>235.77</v>
      </c>
      <c r="N9" s="781" t="s">
        <v>573</v>
      </c>
    </row>
    <row r="10" spans="2:16" s="411" customFormat="1" ht="20.100000000000001" customHeight="1" x14ac:dyDescent="0.25">
      <c r="B10" s="761"/>
      <c r="C10" s="1430" t="s">
        <v>1076</v>
      </c>
      <c r="D10" s="1431"/>
      <c r="E10" s="1432"/>
      <c r="F10" s="761" t="s">
        <v>1070</v>
      </c>
      <c r="G10" s="977">
        <f ca="1">'DREN. MEM. CAL.'!$C$164</f>
        <v>187.11</v>
      </c>
      <c r="H10" s="785" t="s">
        <v>1071</v>
      </c>
      <c r="I10" s="978">
        <f>$J$44</f>
        <v>0.88</v>
      </c>
      <c r="J10" s="764" t="s">
        <v>1072</v>
      </c>
      <c r="K10" s="778">
        <f t="shared" ca="1" si="0"/>
        <v>164.65</v>
      </c>
      <c r="L10" s="787">
        <f>ÍNDICE!$E$20</f>
        <v>0.4</v>
      </c>
      <c r="M10" s="780">
        <f t="shared" ca="1" si="1"/>
        <v>65.86</v>
      </c>
      <c r="N10" s="781" t="s">
        <v>573</v>
      </c>
    </row>
    <row r="11" spans="2:16" s="411" customFormat="1" ht="20.100000000000001" customHeight="1" x14ac:dyDescent="0.25">
      <c r="B11" s="761"/>
      <c r="C11" s="1430" t="s">
        <v>1077</v>
      </c>
      <c r="D11" s="1431"/>
      <c r="E11" s="1432"/>
      <c r="F11" s="761" t="s">
        <v>1070</v>
      </c>
      <c r="G11" s="977">
        <f ca="1">'DREN. MEM. CAL.'!$C$165</f>
        <v>921.76999999999987</v>
      </c>
      <c r="H11" s="785" t="s">
        <v>1071</v>
      </c>
      <c r="I11" s="978">
        <f>$J$45</f>
        <v>1.1200000000000001</v>
      </c>
      <c r="J11" s="764" t="s">
        <v>1072</v>
      </c>
      <c r="K11" s="778">
        <f t="shared" ca="1" si="0"/>
        <v>1032.3800000000001</v>
      </c>
      <c r="L11" s="787">
        <f>ÍNDICE!$E$20</f>
        <v>0.4</v>
      </c>
      <c r="M11" s="780">
        <f t="shared" ca="1" si="1"/>
        <v>412.95</v>
      </c>
      <c r="N11" s="781" t="s">
        <v>573</v>
      </c>
    </row>
    <row r="12" spans="2:16" s="411" customFormat="1" ht="15" x14ac:dyDescent="0.2">
      <c r="B12" s="1331" t="s">
        <v>575</v>
      </c>
      <c r="C12" s="1331"/>
      <c r="D12" s="1331"/>
      <c r="E12" s="1331"/>
      <c r="F12" s="1331"/>
      <c r="G12" s="1331"/>
      <c r="H12" s="1331"/>
      <c r="I12" s="1331"/>
      <c r="J12" s="1331"/>
      <c r="K12" s="1331"/>
      <c r="L12" s="1331"/>
      <c r="M12" s="782">
        <f ca="1">SUM(M6:M11)</f>
        <v>933.44</v>
      </c>
      <c r="N12" s="783" t="s">
        <v>573</v>
      </c>
    </row>
    <row r="13" spans="2:16" s="301" customFormat="1" ht="30" customHeight="1" x14ac:dyDescent="0.3">
      <c r="B13" s="784">
        <v>100952</v>
      </c>
      <c r="C13" s="1329" t="s">
        <v>1078</v>
      </c>
      <c r="D13" s="1329"/>
      <c r="E13" s="1329"/>
      <c r="F13" s="1329"/>
      <c r="G13" s="1329"/>
      <c r="H13" s="1329"/>
      <c r="I13" s="1329"/>
      <c r="J13" s="1329"/>
      <c r="K13" s="1329"/>
      <c r="L13" s="1329"/>
      <c r="M13" s="1329"/>
      <c r="N13" s="1433"/>
    </row>
    <row r="14" spans="2:16" s="411" customFormat="1" ht="20.100000000000001" customHeight="1" x14ac:dyDescent="0.25">
      <c r="B14" s="761"/>
      <c r="C14" s="1430" t="s">
        <v>1069</v>
      </c>
      <c r="D14" s="1431"/>
      <c r="E14" s="1432"/>
      <c r="F14" s="761" t="s">
        <v>1070</v>
      </c>
      <c r="G14" s="977">
        <f>G6</f>
        <v>203</v>
      </c>
      <c r="H14" s="785" t="s">
        <v>1071</v>
      </c>
      <c r="I14" s="978">
        <f>$J$39</f>
        <v>0.15</v>
      </c>
      <c r="J14" s="764" t="s">
        <v>1072</v>
      </c>
      <c r="K14" s="778">
        <f t="shared" ref="K14:K19" si="2">TRUNC(G14*I14,2)</f>
        <v>30.45</v>
      </c>
      <c r="L14" s="787">
        <v>30</v>
      </c>
      <c r="M14" s="780">
        <f t="shared" ref="M14:M19" si="3">TRUNC(K14*L14,2)</f>
        <v>913.5</v>
      </c>
      <c r="N14" s="781" t="s">
        <v>573</v>
      </c>
    </row>
    <row r="15" spans="2:16" s="411" customFormat="1" ht="20.100000000000001" customHeight="1" x14ac:dyDescent="0.25">
      <c r="B15" s="761"/>
      <c r="C15" s="1430" t="s">
        <v>1073</v>
      </c>
      <c r="D15" s="1431"/>
      <c r="E15" s="1432"/>
      <c r="F15" s="761" t="s">
        <v>1070</v>
      </c>
      <c r="G15" s="977">
        <f ca="1">G7</f>
        <v>1173.48</v>
      </c>
      <c r="H15" s="785" t="s">
        <v>1071</v>
      </c>
      <c r="I15" s="978">
        <f>$J$41</f>
        <v>0.32</v>
      </c>
      <c r="J15" s="764" t="s">
        <v>1072</v>
      </c>
      <c r="K15" s="778">
        <f t="shared" ca="1" si="2"/>
        <v>375.51</v>
      </c>
      <c r="L15" s="787">
        <v>30</v>
      </c>
      <c r="M15" s="780">
        <f t="shared" ca="1" si="3"/>
        <v>11265.3</v>
      </c>
      <c r="N15" s="781" t="s">
        <v>573</v>
      </c>
    </row>
    <row r="16" spans="2:16" s="411" customFormat="1" ht="20.100000000000001" customHeight="1" x14ac:dyDescent="0.25">
      <c r="B16" s="761"/>
      <c r="C16" s="1430" t="s">
        <v>1074</v>
      </c>
      <c r="D16" s="1431"/>
      <c r="E16" s="1432"/>
      <c r="F16" s="761" t="s">
        <v>1070</v>
      </c>
      <c r="G16" s="977">
        <f ca="1">G8</f>
        <v>320.91000000000008</v>
      </c>
      <c r="H16" s="785" t="s">
        <v>1071</v>
      </c>
      <c r="I16" s="978">
        <f>$J$42</f>
        <v>0.44</v>
      </c>
      <c r="J16" s="764" t="s">
        <v>1072</v>
      </c>
      <c r="K16" s="778">
        <f t="shared" ca="1" si="2"/>
        <v>141.19999999999999</v>
      </c>
      <c r="L16" s="787">
        <v>30</v>
      </c>
      <c r="M16" s="780">
        <f t="shared" ca="1" si="3"/>
        <v>4236</v>
      </c>
      <c r="N16" s="781" t="s">
        <v>573</v>
      </c>
    </row>
    <row r="17" spans="2:14" s="411" customFormat="1" ht="20.100000000000001" customHeight="1" x14ac:dyDescent="0.25">
      <c r="B17" s="761"/>
      <c r="C17" s="1430" t="s">
        <v>1075</v>
      </c>
      <c r="D17" s="1431"/>
      <c r="E17" s="1432"/>
      <c r="F17" s="761" t="s">
        <v>1070</v>
      </c>
      <c r="G17" s="977">
        <f ca="1">G9</f>
        <v>866.81999999999994</v>
      </c>
      <c r="H17" s="785" t="s">
        <v>1071</v>
      </c>
      <c r="I17" s="978">
        <f>$J$43</f>
        <v>0.68</v>
      </c>
      <c r="J17" s="764" t="s">
        <v>1072</v>
      </c>
      <c r="K17" s="778">
        <f t="shared" ca="1" si="2"/>
        <v>589.42999999999995</v>
      </c>
      <c r="L17" s="787">
        <v>30</v>
      </c>
      <c r="M17" s="780">
        <f t="shared" ca="1" si="3"/>
        <v>17682.900000000001</v>
      </c>
      <c r="N17" s="781" t="s">
        <v>573</v>
      </c>
    </row>
    <row r="18" spans="2:14" s="411" customFormat="1" ht="20.100000000000001" customHeight="1" x14ac:dyDescent="0.25">
      <c r="B18" s="761"/>
      <c r="C18" s="1430" t="s">
        <v>1076</v>
      </c>
      <c r="D18" s="1431"/>
      <c r="E18" s="1432"/>
      <c r="F18" s="761" t="s">
        <v>1070</v>
      </c>
      <c r="G18" s="977">
        <f t="shared" ref="G18:G19" ca="1" si="4">G10</f>
        <v>187.11</v>
      </c>
      <c r="H18" s="785" t="s">
        <v>1071</v>
      </c>
      <c r="I18" s="978">
        <f>$J$44</f>
        <v>0.88</v>
      </c>
      <c r="J18" s="764" t="s">
        <v>1072</v>
      </c>
      <c r="K18" s="778">
        <f t="shared" ca="1" si="2"/>
        <v>164.65</v>
      </c>
      <c r="L18" s="787">
        <v>30</v>
      </c>
      <c r="M18" s="780">
        <f t="shared" ca="1" si="3"/>
        <v>4939.5</v>
      </c>
      <c r="N18" s="781" t="s">
        <v>573</v>
      </c>
    </row>
    <row r="19" spans="2:14" s="411" customFormat="1" ht="20.100000000000001" customHeight="1" x14ac:dyDescent="0.25">
      <c r="B19" s="761"/>
      <c r="C19" s="1430" t="s">
        <v>1077</v>
      </c>
      <c r="D19" s="1431"/>
      <c r="E19" s="1432"/>
      <c r="F19" s="761" t="s">
        <v>1070</v>
      </c>
      <c r="G19" s="977">
        <f t="shared" ca="1" si="4"/>
        <v>921.76999999999987</v>
      </c>
      <c r="H19" s="785" t="s">
        <v>1071</v>
      </c>
      <c r="I19" s="978">
        <f>$J$45</f>
        <v>1.1200000000000001</v>
      </c>
      <c r="J19" s="764" t="s">
        <v>1072</v>
      </c>
      <c r="K19" s="778">
        <f t="shared" ca="1" si="2"/>
        <v>1032.3800000000001</v>
      </c>
      <c r="L19" s="787">
        <v>30</v>
      </c>
      <c r="M19" s="780">
        <f t="shared" ca="1" si="3"/>
        <v>30971.4</v>
      </c>
      <c r="N19" s="781" t="s">
        <v>573</v>
      </c>
    </row>
    <row r="20" spans="2:14" s="411" customFormat="1" ht="15" x14ac:dyDescent="0.2">
      <c r="B20" s="1331" t="s">
        <v>575</v>
      </c>
      <c r="C20" s="1331"/>
      <c r="D20" s="1331"/>
      <c r="E20" s="1331"/>
      <c r="F20" s="1331"/>
      <c r="G20" s="1331"/>
      <c r="H20" s="1331"/>
      <c r="I20" s="1331"/>
      <c r="J20" s="1331"/>
      <c r="K20" s="1331"/>
      <c r="L20" s="1331"/>
      <c r="M20" s="782">
        <f ca="1">SUM(M14:M19)</f>
        <v>70008.600000000006</v>
      </c>
      <c r="N20" s="783" t="s">
        <v>573</v>
      </c>
    </row>
    <row r="21" spans="2:14" s="301" customFormat="1" ht="30.75" customHeight="1" x14ac:dyDescent="0.3">
      <c r="B21" s="784">
        <v>100953</v>
      </c>
      <c r="C21" s="1329" t="s">
        <v>1079</v>
      </c>
      <c r="D21" s="1329"/>
      <c r="E21" s="1329"/>
      <c r="F21" s="1329"/>
      <c r="G21" s="1329"/>
      <c r="H21" s="1329"/>
      <c r="I21" s="1329"/>
      <c r="J21" s="1329"/>
      <c r="K21" s="1329"/>
      <c r="L21" s="1329"/>
      <c r="M21" s="1329"/>
      <c r="N21" s="1433"/>
    </row>
    <row r="22" spans="2:14" s="411" customFormat="1" ht="20.100000000000001" customHeight="1" x14ac:dyDescent="0.25">
      <c r="B22" s="761"/>
      <c r="C22" s="1430" t="s">
        <v>1069</v>
      </c>
      <c r="D22" s="1431"/>
      <c r="E22" s="1432"/>
      <c r="F22" s="761" t="s">
        <v>1070</v>
      </c>
      <c r="G22" s="977">
        <f>G6</f>
        <v>203</v>
      </c>
      <c r="H22" s="785" t="s">
        <v>1071</v>
      </c>
      <c r="I22" s="978">
        <f>$J$39</f>
        <v>0.15</v>
      </c>
      <c r="J22" s="764" t="s">
        <v>1072</v>
      </c>
      <c r="K22" s="778">
        <f t="shared" ref="K22:K27" si="5">TRUNC(G22*I22,2)</f>
        <v>30.45</v>
      </c>
      <c r="L22" s="787">
        <f>ÍNDICE!$F$20-30</f>
        <v>295</v>
      </c>
      <c r="M22" s="780">
        <f t="shared" ref="M22:M27" si="6">TRUNC(K22*L22,2)</f>
        <v>8982.75</v>
      </c>
      <c r="N22" s="781" t="s">
        <v>573</v>
      </c>
    </row>
    <row r="23" spans="2:14" s="411" customFormat="1" ht="20.100000000000001" customHeight="1" x14ac:dyDescent="0.25">
      <c r="B23" s="761"/>
      <c r="C23" s="1430" t="s">
        <v>1073</v>
      </c>
      <c r="D23" s="1431"/>
      <c r="E23" s="1432"/>
      <c r="F23" s="761" t="s">
        <v>1070</v>
      </c>
      <c r="G23" s="977">
        <f ca="1">G7</f>
        <v>1173.48</v>
      </c>
      <c r="H23" s="785" t="s">
        <v>1071</v>
      </c>
      <c r="I23" s="978">
        <f>$J$41</f>
        <v>0.32</v>
      </c>
      <c r="J23" s="764" t="s">
        <v>1072</v>
      </c>
      <c r="K23" s="778">
        <f t="shared" ca="1" si="5"/>
        <v>375.51</v>
      </c>
      <c r="L23" s="787">
        <f>ÍNDICE!$F$20-30</f>
        <v>295</v>
      </c>
      <c r="M23" s="780">
        <f t="shared" ca="1" si="6"/>
        <v>110775.45</v>
      </c>
      <c r="N23" s="781" t="s">
        <v>573</v>
      </c>
    </row>
    <row r="24" spans="2:14" s="411" customFormat="1" ht="20.100000000000001" customHeight="1" x14ac:dyDescent="0.25">
      <c r="B24" s="761"/>
      <c r="C24" s="1430" t="s">
        <v>1074</v>
      </c>
      <c r="D24" s="1431"/>
      <c r="E24" s="1432"/>
      <c r="F24" s="761" t="s">
        <v>1070</v>
      </c>
      <c r="G24" s="977">
        <f ca="1">G8</f>
        <v>320.91000000000008</v>
      </c>
      <c r="H24" s="785" t="s">
        <v>1071</v>
      </c>
      <c r="I24" s="978">
        <f>$J$42</f>
        <v>0.44</v>
      </c>
      <c r="J24" s="764" t="s">
        <v>1072</v>
      </c>
      <c r="K24" s="778">
        <f t="shared" ca="1" si="5"/>
        <v>141.19999999999999</v>
      </c>
      <c r="L24" s="787">
        <f>ÍNDICE!$F$20-30</f>
        <v>295</v>
      </c>
      <c r="M24" s="780">
        <f t="shared" ca="1" si="6"/>
        <v>41654</v>
      </c>
      <c r="N24" s="781" t="s">
        <v>573</v>
      </c>
    </row>
    <row r="25" spans="2:14" s="411" customFormat="1" ht="20.100000000000001" customHeight="1" x14ac:dyDescent="0.25">
      <c r="B25" s="761"/>
      <c r="C25" s="1430" t="s">
        <v>1075</v>
      </c>
      <c r="D25" s="1431"/>
      <c r="E25" s="1432"/>
      <c r="F25" s="761" t="s">
        <v>1070</v>
      </c>
      <c r="G25" s="977">
        <f ca="1">G9</f>
        <v>866.81999999999994</v>
      </c>
      <c r="H25" s="785" t="s">
        <v>1071</v>
      </c>
      <c r="I25" s="978">
        <f>$J$43</f>
        <v>0.68</v>
      </c>
      <c r="J25" s="764" t="s">
        <v>1072</v>
      </c>
      <c r="K25" s="778">
        <f t="shared" ca="1" si="5"/>
        <v>589.42999999999995</v>
      </c>
      <c r="L25" s="787">
        <f>ÍNDICE!$F$20-30</f>
        <v>295</v>
      </c>
      <c r="M25" s="780">
        <f t="shared" ca="1" si="6"/>
        <v>173881.85</v>
      </c>
      <c r="N25" s="781" t="s">
        <v>573</v>
      </c>
    </row>
    <row r="26" spans="2:14" s="411" customFormat="1" ht="20.100000000000001" customHeight="1" x14ac:dyDescent="0.25">
      <c r="B26" s="761"/>
      <c r="C26" s="1430" t="s">
        <v>1076</v>
      </c>
      <c r="D26" s="1431"/>
      <c r="E26" s="1432"/>
      <c r="F26" s="761" t="s">
        <v>1070</v>
      </c>
      <c r="G26" s="977">
        <f t="shared" ref="G26:G27" ca="1" si="7">G10</f>
        <v>187.11</v>
      </c>
      <c r="H26" s="785" t="s">
        <v>1071</v>
      </c>
      <c r="I26" s="978">
        <f>$J$44</f>
        <v>0.88</v>
      </c>
      <c r="J26" s="764" t="s">
        <v>1072</v>
      </c>
      <c r="K26" s="778">
        <f t="shared" ca="1" si="5"/>
        <v>164.65</v>
      </c>
      <c r="L26" s="787">
        <f>ÍNDICE!$F$20-30</f>
        <v>295</v>
      </c>
      <c r="M26" s="780">
        <f t="shared" ca="1" si="6"/>
        <v>48571.75</v>
      </c>
      <c r="N26" s="781" t="s">
        <v>573</v>
      </c>
    </row>
    <row r="27" spans="2:14" s="411" customFormat="1" ht="20.100000000000001" customHeight="1" x14ac:dyDescent="0.25">
      <c r="B27" s="761"/>
      <c r="C27" s="1430" t="s">
        <v>1077</v>
      </c>
      <c r="D27" s="1431"/>
      <c r="E27" s="1432"/>
      <c r="F27" s="761" t="s">
        <v>1070</v>
      </c>
      <c r="G27" s="977">
        <f t="shared" ca="1" si="7"/>
        <v>921.76999999999987</v>
      </c>
      <c r="H27" s="785" t="s">
        <v>1071</v>
      </c>
      <c r="I27" s="978">
        <f>$J$45</f>
        <v>1.1200000000000001</v>
      </c>
      <c r="J27" s="764" t="s">
        <v>1072</v>
      </c>
      <c r="K27" s="778">
        <f t="shared" ca="1" si="5"/>
        <v>1032.3800000000001</v>
      </c>
      <c r="L27" s="787">
        <f>ÍNDICE!$F$20-30</f>
        <v>295</v>
      </c>
      <c r="M27" s="780">
        <f t="shared" ca="1" si="6"/>
        <v>304552.09999999998</v>
      </c>
      <c r="N27" s="781" t="s">
        <v>573</v>
      </c>
    </row>
    <row r="28" spans="2:14" s="411" customFormat="1" ht="15" x14ac:dyDescent="0.2">
      <c r="B28" s="1331" t="s">
        <v>575</v>
      </c>
      <c r="C28" s="1331"/>
      <c r="D28" s="1331"/>
      <c r="E28" s="1331"/>
      <c r="F28" s="1331"/>
      <c r="G28" s="1331"/>
      <c r="H28" s="1331"/>
      <c r="I28" s="1331"/>
      <c r="J28" s="1331"/>
      <c r="K28" s="1331"/>
      <c r="L28" s="1331"/>
      <c r="M28" s="782">
        <f ca="1">SUM(M22:M27)</f>
        <v>688417.9</v>
      </c>
      <c r="N28" s="783" t="s">
        <v>573</v>
      </c>
    </row>
    <row r="29" spans="2:14" s="301" customFormat="1" x14ac:dyDescent="0.3">
      <c r="B29" s="979">
        <v>93589</v>
      </c>
      <c r="C29" s="1329" t="s">
        <v>1080</v>
      </c>
      <c r="D29" s="1329"/>
      <c r="E29" s="1329"/>
      <c r="F29" s="1329"/>
      <c r="G29" s="1329"/>
      <c r="H29" s="1329"/>
      <c r="I29" s="1329"/>
      <c r="J29" s="1329"/>
      <c r="K29" s="1329"/>
      <c r="L29" s="1329"/>
      <c r="M29" s="1329"/>
      <c r="N29" s="1330"/>
    </row>
    <row r="30" spans="2:14" s="411" customFormat="1" ht="20.100000000000001" customHeight="1" x14ac:dyDescent="0.25">
      <c r="B30" s="761"/>
      <c r="C30" s="1430" t="s">
        <v>1081</v>
      </c>
      <c r="D30" s="1431"/>
      <c r="E30" s="1432"/>
      <c r="F30" s="761" t="s">
        <v>569</v>
      </c>
      <c r="G30" s="977">
        <f ca="1">'DREN. MEM. CAL.'!H166</f>
        <v>5041.54</v>
      </c>
      <c r="H30" s="764" t="s">
        <v>570</v>
      </c>
      <c r="I30" s="978">
        <v>1.25</v>
      </c>
      <c r="J30" s="764" t="s">
        <v>1082</v>
      </c>
      <c r="K30" s="778">
        <f ca="1">TRUNC(G30*I30,2)</f>
        <v>6301.92</v>
      </c>
      <c r="L30" s="786">
        <f>ÍNDICE!E15</f>
        <v>2.73</v>
      </c>
      <c r="M30" s="780">
        <f ca="1">TRUNC(K30*L30,2)</f>
        <v>17204.240000000002</v>
      </c>
      <c r="N30" s="781" t="s">
        <v>1083</v>
      </c>
    </row>
    <row r="31" spans="2:14" s="411" customFormat="1" x14ac:dyDescent="0.25">
      <c r="B31" s="1331" t="s">
        <v>575</v>
      </c>
      <c r="C31" s="1331"/>
      <c r="D31" s="1331"/>
      <c r="E31" s="1331"/>
      <c r="F31" s="1331"/>
      <c r="G31" s="1331"/>
      <c r="H31" s="1331"/>
      <c r="I31" s="1331"/>
      <c r="J31" s="1331"/>
      <c r="K31" s="1331"/>
      <c r="L31" s="1331"/>
      <c r="M31" s="782">
        <f ca="1">SUM(M30:M30)</f>
        <v>17204.240000000002</v>
      </c>
      <c r="N31" s="783" t="s">
        <v>1083</v>
      </c>
    </row>
    <row r="32" spans="2:14" s="301" customFormat="1" ht="14.4" x14ac:dyDescent="0.3">
      <c r="B32" s="979">
        <v>95875</v>
      </c>
      <c r="C32" s="1329" t="s">
        <v>1084</v>
      </c>
      <c r="D32" s="1329"/>
      <c r="E32" s="1329"/>
      <c r="F32" s="1329"/>
      <c r="G32" s="1329"/>
      <c r="H32" s="1329"/>
      <c r="I32" s="1329"/>
      <c r="J32" s="1329"/>
      <c r="K32" s="1329"/>
      <c r="L32" s="1329"/>
      <c r="M32" s="1329"/>
      <c r="N32" s="1433"/>
    </row>
    <row r="33" spans="2:14" s="411" customFormat="1" ht="20.100000000000001" customHeight="1" x14ac:dyDescent="0.25">
      <c r="B33" s="761"/>
      <c r="C33" s="1430" t="s">
        <v>1081</v>
      </c>
      <c r="D33" s="1431"/>
      <c r="E33" s="1432"/>
      <c r="F33" s="761" t="s">
        <v>569</v>
      </c>
      <c r="G33" s="977">
        <f ca="1">G30</f>
        <v>5041.54</v>
      </c>
      <c r="H33" s="764" t="s">
        <v>570</v>
      </c>
      <c r="I33" s="978">
        <v>1.25</v>
      </c>
      <c r="J33" s="764" t="s">
        <v>1082</v>
      </c>
      <c r="K33" s="778">
        <f ca="1">TRUNC(G33*I33,2)</f>
        <v>6301.92</v>
      </c>
      <c r="L33" s="786">
        <f>ÍNDICE!F15</f>
        <v>6.72</v>
      </c>
      <c r="M33" s="780">
        <f ca="1">TRUNC(K33*L33,2)</f>
        <v>42348.9</v>
      </c>
      <c r="N33" s="781" t="s">
        <v>1083</v>
      </c>
    </row>
    <row r="34" spans="2:14" s="411" customFormat="1" x14ac:dyDescent="0.25">
      <c r="B34" s="1331" t="s">
        <v>575</v>
      </c>
      <c r="C34" s="1331"/>
      <c r="D34" s="1331"/>
      <c r="E34" s="1331"/>
      <c r="F34" s="1331"/>
      <c r="G34" s="1331"/>
      <c r="H34" s="1331"/>
      <c r="I34" s="1331"/>
      <c r="J34" s="1331"/>
      <c r="K34" s="1331"/>
      <c r="L34" s="1331"/>
      <c r="M34" s="782">
        <f ca="1">SUM(M33:M33)</f>
        <v>42348.9</v>
      </c>
      <c r="N34" s="783" t="s">
        <v>1083</v>
      </c>
    </row>
    <row r="36" spans="2:14" s="726" customFormat="1" ht="22.5" customHeight="1" x14ac:dyDescent="0.25">
      <c r="B36" s="1429" t="s">
        <v>1085</v>
      </c>
      <c r="C36" s="1429"/>
      <c r="D36" s="1429"/>
      <c r="E36" s="1429"/>
      <c r="F36" s="1429"/>
      <c r="G36" s="1429" t="s">
        <v>1086</v>
      </c>
      <c r="H36" s="1429"/>
      <c r="I36" s="1429"/>
      <c r="J36" s="1429"/>
      <c r="K36" s="1429"/>
      <c r="L36" s="980"/>
    </row>
    <row r="37" spans="2:14" s="980" customFormat="1" ht="44.25" customHeight="1" x14ac:dyDescent="0.3">
      <c r="B37" s="761" t="s">
        <v>15</v>
      </c>
      <c r="C37" s="764" t="s">
        <v>1087</v>
      </c>
      <c r="D37" s="764" t="s">
        <v>1088</v>
      </c>
      <c r="E37" s="764" t="s">
        <v>1089</v>
      </c>
      <c r="F37" s="764" t="s">
        <v>1090</v>
      </c>
      <c r="G37" s="764" t="s">
        <v>1088</v>
      </c>
      <c r="H37" s="1334" t="s">
        <v>1091</v>
      </c>
      <c r="I37" s="1334"/>
      <c r="J37" s="1334" t="s">
        <v>1092</v>
      </c>
      <c r="K37" s="1334"/>
    </row>
    <row r="38" spans="2:14" s="726" customFormat="1" ht="27" customHeight="1" x14ac:dyDescent="0.25">
      <c r="B38" s="744" t="s">
        <v>1093</v>
      </c>
      <c r="C38" s="981">
        <v>300</v>
      </c>
      <c r="D38" s="981">
        <v>1500</v>
      </c>
      <c r="E38" s="981">
        <v>35</v>
      </c>
      <c r="F38" s="981">
        <v>195</v>
      </c>
      <c r="G38" s="981">
        <v>1030</v>
      </c>
      <c r="H38" s="1426">
        <f t="shared" ref="H38:H45" si="8">(F38*G38)/D38</f>
        <v>133.9</v>
      </c>
      <c r="I38" s="1427"/>
      <c r="J38" s="1428">
        <f t="shared" ref="J38:J45" si="9">TRUNC(H38/1000,2)</f>
        <v>0.13</v>
      </c>
      <c r="K38" s="1428"/>
    </row>
    <row r="39" spans="2:14" s="726" customFormat="1" ht="27" customHeight="1" x14ac:dyDescent="0.25">
      <c r="B39" s="744" t="s">
        <v>1093</v>
      </c>
      <c r="C39" s="981">
        <v>400</v>
      </c>
      <c r="D39" s="981">
        <v>1500</v>
      </c>
      <c r="E39" s="981">
        <v>40</v>
      </c>
      <c r="F39" s="981">
        <v>230</v>
      </c>
      <c r="G39" s="981">
        <v>1030</v>
      </c>
      <c r="H39" s="1426">
        <f t="shared" si="8"/>
        <v>157.93333333333334</v>
      </c>
      <c r="I39" s="1427"/>
      <c r="J39" s="1428">
        <f t="shared" si="9"/>
        <v>0.15</v>
      </c>
      <c r="K39" s="1428"/>
    </row>
    <row r="40" spans="2:14" s="726" customFormat="1" ht="27" customHeight="1" x14ac:dyDescent="0.25">
      <c r="B40" s="744" t="s">
        <v>1093</v>
      </c>
      <c r="C40" s="981">
        <v>500</v>
      </c>
      <c r="D40" s="981">
        <v>1500</v>
      </c>
      <c r="E40" s="981">
        <v>50</v>
      </c>
      <c r="F40" s="981">
        <v>360</v>
      </c>
      <c r="G40" s="981">
        <v>1030</v>
      </c>
      <c r="H40" s="1426">
        <f t="shared" si="8"/>
        <v>247.2</v>
      </c>
      <c r="I40" s="1427"/>
      <c r="J40" s="1428">
        <f t="shared" si="9"/>
        <v>0.24</v>
      </c>
      <c r="K40" s="1428"/>
    </row>
    <row r="41" spans="2:14" s="726" customFormat="1" ht="27" customHeight="1" x14ac:dyDescent="0.25">
      <c r="B41" s="744" t="s">
        <v>1093</v>
      </c>
      <c r="C41" s="981">
        <v>600</v>
      </c>
      <c r="D41" s="981">
        <v>1500</v>
      </c>
      <c r="E41" s="981">
        <v>55</v>
      </c>
      <c r="F41" s="981">
        <v>470</v>
      </c>
      <c r="G41" s="981">
        <v>1030</v>
      </c>
      <c r="H41" s="1426">
        <f t="shared" si="8"/>
        <v>322.73333333333335</v>
      </c>
      <c r="I41" s="1427"/>
      <c r="J41" s="1428">
        <f t="shared" si="9"/>
        <v>0.32</v>
      </c>
      <c r="K41" s="1428"/>
    </row>
    <row r="42" spans="2:14" s="726" customFormat="1" ht="27" customHeight="1" x14ac:dyDescent="0.25">
      <c r="B42" s="744" t="s">
        <v>1093</v>
      </c>
      <c r="C42" s="981">
        <v>800</v>
      </c>
      <c r="D42" s="981">
        <v>1500</v>
      </c>
      <c r="E42" s="981">
        <v>65</v>
      </c>
      <c r="F42" s="981">
        <v>645</v>
      </c>
      <c r="G42" s="981">
        <v>1030</v>
      </c>
      <c r="H42" s="1426">
        <f t="shared" si="8"/>
        <v>442.9</v>
      </c>
      <c r="I42" s="1427"/>
      <c r="J42" s="1428">
        <f t="shared" si="9"/>
        <v>0.44</v>
      </c>
      <c r="K42" s="1428"/>
    </row>
    <row r="43" spans="2:14" s="726" customFormat="1" ht="27" customHeight="1" x14ac:dyDescent="0.25">
      <c r="B43" s="744" t="s">
        <v>1093</v>
      </c>
      <c r="C43" s="981">
        <v>1000</v>
      </c>
      <c r="D43" s="981">
        <v>1500</v>
      </c>
      <c r="E43" s="981">
        <v>100</v>
      </c>
      <c r="F43" s="981">
        <v>998</v>
      </c>
      <c r="G43" s="981">
        <v>1030</v>
      </c>
      <c r="H43" s="1426">
        <f t="shared" si="8"/>
        <v>685.29333333333329</v>
      </c>
      <c r="I43" s="1427"/>
      <c r="J43" s="1428">
        <f t="shared" si="9"/>
        <v>0.68</v>
      </c>
      <c r="K43" s="1428"/>
    </row>
    <row r="44" spans="2:14" s="726" customFormat="1" ht="27" customHeight="1" x14ac:dyDescent="0.25">
      <c r="B44" s="744" t="s">
        <v>1093</v>
      </c>
      <c r="C44" s="981">
        <v>1200</v>
      </c>
      <c r="D44" s="981">
        <v>1500</v>
      </c>
      <c r="E44" s="981">
        <v>120</v>
      </c>
      <c r="F44" s="981">
        <v>1296</v>
      </c>
      <c r="G44" s="981">
        <v>1030</v>
      </c>
      <c r="H44" s="1426">
        <f t="shared" si="8"/>
        <v>889.92</v>
      </c>
      <c r="I44" s="1427"/>
      <c r="J44" s="1428">
        <f t="shared" si="9"/>
        <v>0.88</v>
      </c>
      <c r="K44" s="1428"/>
    </row>
    <row r="45" spans="2:14" s="726" customFormat="1" ht="27" customHeight="1" x14ac:dyDescent="0.25">
      <c r="B45" s="744" t="s">
        <v>1093</v>
      </c>
      <c r="C45" s="981">
        <v>1500</v>
      </c>
      <c r="D45" s="981">
        <v>1500</v>
      </c>
      <c r="E45" s="981">
        <v>130</v>
      </c>
      <c r="F45" s="981">
        <v>1640</v>
      </c>
      <c r="G45" s="981">
        <v>1030</v>
      </c>
      <c r="H45" s="1426">
        <f t="shared" si="8"/>
        <v>1126.1333333333334</v>
      </c>
      <c r="I45" s="1427"/>
      <c r="J45" s="1428">
        <f t="shared" si="9"/>
        <v>1.1200000000000001</v>
      </c>
      <c r="K45" s="1428"/>
    </row>
    <row r="46" spans="2:14" ht="27" customHeight="1" x14ac:dyDescent="0.25">
      <c r="B46" s="982" t="s">
        <v>1094</v>
      </c>
      <c r="C46" s="982"/>
      <c r="D46" s="982"/>
      <c r="E46" s="982"/>
      <c r="F46" s="982"/>
    </row>
    <row r="47" spans="2:14" ht="27" customHeight="1" x14ac:dyDescent="0.2"/>
    <row r="48" spans="2:14" ht="27" customHeight="1" x14ac:dyDescent="0.2"/>
    <row r="50" spans="11:12" x14ac:dyDescent="0.25">
      <c r="K50" s="721">
        <v>1.5</v>
      </c>
      <c r="L50" s="721">
        <v>195</v>
      </c>
    </row>
    <row r="51" spans="11:12" x14ac:dyDescent="0.25">
      <c r="K51" s="721">
        <v>1.03</v>
      </c>
      <c r="L51" s="721">
        <f>TRUNC((L50*K51)/K50,2)</f>
        <v>133.9</v>
      </c>
    </row>
  </sheetData>
  <mergeCells count="59">
    <mergeCell ref="C10:E10"/>
    <mergeCell ref="B2:N2"/>
    <mergeCell ref="B3:B4"/>
    <mergeCell ref="C3:E3"/>
    <mergeCell ref="F3:F4"/>
    <mergeCell ref="G3:G4"/>
    <mergeCell ref="H3:H4"/>
    <mergeCell ref="I3:J3"/>
    <mergeCell ref="N3:N4"/>
    <mergeCell ref="C4:E4"/>
    <mergeCell ref="C5:N5"/>
    <mergeCell ref="C6:E6"/>
    <mergeCell ref="C7:E7"/>
    <mergeCell ref="C8:E8"/>
    <mergeCell ref="C9:E9"/>
    <mergeCell ref="C22:E22"/>
    <mergeCell ref="C11:E11"/>
    <mergeCell ref="B12:L12"/>
    <mergeCell ref="C13:N13"/>
    <mergeCell ref="C14:E14"/>
    <mergeCell ref="C15:E15"/>
    <mergeCell ref="C16:E16"/>
    <mergeCell ref="C17:E17"/>
    <mergeCell ref="C18:E18"/>
    <mergeCell ref="C19:E19"/>
    <mergeCell ref="B20:L20"/>
    <mergeCell ref="C21:N21"/>
    <mergeCell ref="B34:L34"/>
    <mergeCell ref="C23:E23"/>
    <mergeCell ref="C24:E24"/>
    <mergeCell ref="C25:E25"/>
    <mergeCell ref="C26:E26"/>
    <mergeCell ref="C27:E27"/>
    <mergeCell ref="B28:L28"/>
    <mergeCell ref="C29:N29"/>
    <mergeCell ref="C30:E30"/>
    <mergeCell ref="B31:L31"/>
    <mergeCell ref="C32:N32"/>
    <mergeCell ref="C33:E33"/>
    <mergeCell ref="B36:F36"/>
    <mergeCell ref="G36:K36"/>
    <mergeCell ref="H37:I37"/>
    <mergeCell ref="J37:K37"/>
    <mergeCell ref="H38:I38"/>
    <mergeCell ref="J38:K38"/>
    <mergeCell ref="H39:I39"/>
    <mergeCell ref="J39:K39"/>
    <mergeCell ref="H40:I40"/>
    <mergeCell ref="J40:K40"/>
    <mergeCell ref="H41:I41"/>
    <mergeCell ref="J41:K41"/>
    <mergeCell ref="H45:I45"/>
    <mergeCell ref="J45:K45"/>
    <mergeCell ref="H42:I42"/>
    <mergeCell ref="J42:K42"/>
    <mergeCell ref="H43:I43"/>
    <mergeCell ref="J43:K43"/>
    <mergeCell ref="H44:I44"/>
    <mergeCell ref="J44:K44"/>
  </mergeCells>
  <printOptions horizontalCentered="1"/>
  <pageMargins left="0.59055118110236227" right="0.59055118110236227" top="1.7716535433070868" bottom="0.78740157480314965" header="0" footer="0"/>
  <pageSetup paperSize="9" scale="70" fitToHeight="100" orientation="landscape" r:id="rId1"/>
  <headerFooter scaleWithDoc="0">
    <oddHeader>&amp;L&amp;G</oddHeader>
  </headerFooter>
  <rowBreaks count="1" manualBreakCount="1">
    <brk id="28" min="1" max="13"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29</vt:i4>
      </vt:variant>
      <vt:variant>
        <vt:lpstr>Intervalos nomeados</vt:lpstr>
      </vt:variant>
      <vt:variant>
        <vt:i4>28</vt:i4>
      </vt:variant>
    </vt:vector>
  </HeadingPairs>
  <TitlesOfParts>
    <vt:vector size="57" baseType="lpstr">
      <vt:lpstr>CPAV001-ADM</vt:lpstr>
      <vt:lpstr>103689-PLACA DE OBRA</vt:lpstr>
      <vt:lpstr>CPAV002-BARRACÃO</vt:lpstr>
      <vt:lpstr>CPAV003- MOB_DESMOB</vt:lpstr>
      <vt:lpstr>CPAV004 4016096</vt:lpstr>
      <vt:lpstr>CPAV006-TSD-104389</vt:lpstr>
      <vt:lpstr>CPAV008-PLACA RUA</vt:lpstr>
      <vt:lpstr>ANP</vt:lpstr>
      <vt:lpstr>COTAÇÃOBRITA</vt:lpstr>
      <vt:lpstr>BDI-SERVIÇOS</vt:lpstr>
      <vt:lpstr>QCI</vt:lpstr>
      <vt:lpstr>RESUMO</vt:lpstr>
      <vt:lpstr>ORÇAMENTO</vt:lpstr>
      <vt:lpstr>CRONOGRAMA</vt:lpstr>
      <vt:lpstr>RUAS</vt:lpstr>
      <vt:lpstr>LIMPEZA</vt:lpstr>
      <vt:lpstr>TERRAPLENAGEM</vt:lpstr>
      <vt:lpstr>SUBLEITO-BASE-SUB.</vt:lpstr>
      <vt:lpstr>REMOÇÃO DE POSTE</vt:lpstr>
      <vt:lpstr>PAVIMENTO</vt:lpstr>
      <vt:lpstr>ÍNDICE</vt:lpstr>
      <vt:lpstr>TRANSP. MAT.PAV</vt:lpstr>
      <vt:lpstr>SIN. VERTICAL</vt:lpstr>
      <vt:lpstr>SIN. HORIZONTAL </vt:lpstr>
      <vt:lpstr>DREN. MEM. CAL.</vt:lpstr>
      <vt:lpstr>DREN. REDE</vt:lpstr>
      <vt:lpstr>MEIO-FIO E SARJETA</vt:lpstr>
      <vt:lpstr>DREN. SARJETA</vt:lpstr>
      <vt:lpstr>TRANSP. DRENAGEM</vt:lpstr>
      <vt:lpstr>'103689-PLACA DE OBRA'!Area_de_impressao</vt:lpstr>
      <vt:lpstr>'BDI-SERVIÇOS'!Area_de_impressao</vt:lpstr>
      <vt:lpstr>COTAÇÃOBRITA!Area_de_impressao</vt:lpstr>
      <vt:lpstr>'CPAV001-ADM'!Area_de_impressao</vt:lpstr>
      <vt:lpstr>'CPAV002-BARRACÃO'!Area_de_impressao</vt:lpstr>
      <vt:lpstr>'CPAV003- MOB_DESMOB'!Area_de_impressao</vt:lpstr>
      <vt:lpstr>'CPAV004 4016096'!Area_de_impressao</vt:lpstr>
      <vt:lpstr>'CPAV006-TSD-104389'!Area_de_impressao</vt:lpstr>
      <vt:lpstr>'CPAV008-PLACA RUA'!Area_de_impressao</vt:lpstr>
      <vt:lpstr>CRONOGRAMA!Area_de_impressao</vt:lpstr>
      <vt:lpstr>'DREN. MEM. CAL.'!Area_de_impressao</vt:lpstr>
      <vt:lpstr>'DREN. REDE'!Area_de_impressao</vt:lpstr>
      <vt:lpstr>'DREN. SARJETA'!Area_de_impressao</vt:lpstr>
      <vt:lpstr>ÍNDICE!Area_de_impressao</vt:lpstr>
      <vt:lpstr>LIMPEZA!Area_de_impressao</vt:lpstr>
      <vt:lpstr>ORÇAMENTO!Area_de_impressao</vt:lpstr>
      <vt:lpstr>PAVIMENTO!Area_de_impressao</vt:lpstr>
      <vt:lpstr>QCI!Area_de_impressao</vt:lpstr>
      <vt:lpstr>'REMOÇÃO DE POSTE'!Area_de_impressao</vt:lpstr>
      <vt:lpstr>RESUMO!Area_de_impressao</vt:lpstr>
      <vt:lpstr>RUAS!Area_de_impressao</vt:lpstr>
      <vt:lpstr>'SIN. HORIZONTAL '!Area_de_impressao</vt:lpstr>
      <vt:lpstr>'SUBLEITO-BASE-SUB.'!Area_de_impressao</vt:lpstr>
      <vt:lpstr>'TRANSP. DRENAGEM'!Area_de_impressao</vt:lpstr>
      <vt:lpstr>'DREN. REDE'!Titulos_de_impressao</vt:lpstr>
      <vt:lpstr>'DREN. SARJETA'!Titulos_de_impressao</vt:lpstr>
      <vt:lpstr>ORÇAMENTO!Titulos_de_impressao</vt:lpstr>
      <vt:lpstr>'SIN. HORIZONTAL '!Titulos_de_impressao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Daniella Coli</dc:creator>
  <cp:lastModifiedBy>Diego Roberto Sbitkowski Chamma</cp:lastModifiedBy>
  <dcterms:created xsi:type="dcterms:W3CDTF">2026-02-27T12:45:23Z</dcterms:created>
  <dcterms:modified xsi:type="dcterms:W3CDTF">2026-06-11T16:57:13Z</dcterms:modified>
</cp:coreProperties>
</file>