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COMPOSIÇÃO ANALÍTICA" sheetId="1" state="visible" r:id="rId1"/>
    <sheet name="MEMÓRIA DE CÁLCULO" sheetId="2" state="visible" r:id="rId2"/>
    <sheet name="MÃO DE OBRA" sheetId="3" state="visible" r:id="rId3"/>
    <sheet name="BDI" sheetId="4" state="visible" r:id="rId4"/>
  </sheets>
  <definedNames>
    <definedName name="_xlnm.Print_Area" localSheetId="1">'MEMÓRIA DE CÁLCULO'!$B$1:$G$126</definedName>
    <definedName name="_xlnm.Print_Area" localSheetId="2">'MÃO DE OBRA'!$A$1:$E$27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<sst xmlns="http://schemas.openxmlformats.org/spreadsheetml/2006/main" count="226" uniqueCount="226">
  <si>
    <t xml:space="preserve">ANEXO II - B COMPOSIÇÃO ANALÍTICA DE CUSTOS – SICRO jan/2026 × PROPOSTA DA EMPRESA </t>
  </si>
  <si>
    <t xml:space="preserve">Parcelas SICRO (fundo branco/azul) = espelho da tabela SICRO MT jan/2026 (com desoneração). Parcela Logística (fundo âmbar) = custo de comboio, prancha e pedágio rateado por item, calculado a partir dos parâmetros da Memória de Cálculo. Células AMARELAS = preenchimento pela empresa licitante.</t>
  </si>
  <si>
    <t>Item</t>
  </si>
  <si>
    <t xml:space="preserve">Cód. SICRO</t>
  </si>
  <si>
    <t xml:space="preserve">Componente do Custo</t>
  </si>
  <si>
    <t>Unid.</t>
  </si>
  <si>
    <t xml:space="preserve">Ref. SICRO
(R$/h)</t>
  </si>
  <si>
    <t xml:space="preserve">% s/
Total</t>
  </si>
  <si>
    <t xml:space="preserve">% Acum.</t>
  </si>
  <si>
    <t xml:space="preserve">Proposta
Empresa (R$/h)</t>
  </si>
  <si>
    <t xml:space="preserve">% s/
Proposta</t>
  </si>
  <si>
    <t xml:space="preserve">ITEM 1  –  Motoniveladora - 93 kW (≈125 CV)  |  TR 400128 → SICRO E9524  |  Qtd.: 5.000 H  |  Vr.Unit.TR: R$ 571,22</t>
  </si>
  <si>
    <t>E9524</t>
  </si>
  <si>
    <t xml:space="preserve">1. Depreciação</t>
  </si>
  <si>
    <t>H</t>
  </si>
  <si>
    <t xml:space="preserve">2. Oportunidade de Capital</t>
  </si>
  <si>
    <t xml:space="preserve">3. Manutenção</t>
  </si>
  <si>
    <t xml:space="preserve">4. Operação (Combust.+Lubrif.)</t>
  </si>
  <si>
    <t>P9845</t>
  </si>
  <si>
    <t xml:space="preserve">5. Mão de Obra de Operação</t>
  </si>
  <si>
    <t>E9669/E9665</t>
  </si>
  <si>
    <t xml:space="preserve">6. Logística e Mobilização  (Comboio E9669 + Prancha E9665 + Pedágio)</t>
  </si>
  <si>
    <t xml:space="preserve">TOTAL CHP  –  Motoniveladora</t>
  </si>
  <si>
    <t xml:space="preserve">Operador: Operador de equipamento pesado (P9845)  |  ⚠  TR especifica 125 HP. SICRO E9524 = 93 kW (≈125 CV). Correspondência técnica mais próxima.  |  Logística: ver parâmetros P1–P6 na Memória de Cálculo (Seção Logística).</t>
  </si>
  <si>
    <t xml:space="preserve">ITEM 2  –  Escavadeira hidráulica s/ esteiras, caçamba 1,56 m³ - 118 kW  |  TR 400127 → SICRO E9515  |  Qtd.: 4.250 H  |  Vr.Unit.TR: R$ 559,80</t>
  </si>
  <si>
    <t>E9515</t>
  </si>
  <si>
    <t>E9669/E9666</t>
  </si>
  <si>
    <t xml:space="preserve">6. Logística e Mobilização  (Comboio E9669 + Prancha E9666 + Pedágio)</t>
  </si>
  <si>
    <t xml:space="preserve">TOTAL CHP  –  Escavadeira hidráulica s/ esteiras</t>
  </si>
  <si>
    <t xml:space="preserve">Operador: Operador de equipamento pesado (P9845)  |  E9515 (1,56 m³/118 kW) é a correspondência mais próxima.  |  Logística: ver parâmetros P1–P6 na Memória de Cálculo (Seção Logística).</t>
  </si>
  <si>
    <t xml:space="preserve">ITEM 3  –  Caminhão basculante 14 m³ - 210 kW  [A9316+A9344]  |  TR 408505 → SICRO E9667  |  Qtd.: 60 MÊS  |  Vr.Unit.TR: R$ 50.000,00</t>
  </si>
  <si>
    <t>A9316</t>
  </si>
  <si>
    <t>MÊS</t>
  </si>
  <si>
    <t xml:space="preserve">3. Seguros e Impostos</t>
  </si>
  <si>
    <t xml:space="preserve">4. Manutenção</t>
  </si>
  <si>
    <t xml:space="preserve">5. Operação (Combust.+Lubrif.)</t>
  </si>
  <si>
    <t>P9866</t>
  </si>
  <si>
    <t xml:space="preserve">6. Mão de Obra de Operação</t>
  </si>
  <si>
    <t>—</t>
  </si>
  <si>
    <t xml:space="preserve">7. Logística e Mobilização  –  N/A para este item  (caminhão basculante desloca-se pelo próprio eixo; combustível incluso na parcela 5; sem necessidade de prancha ou comboio)</t>
  </si>
  <si>
    <t xml:space="preserve">TOTAL CHP  –  Caminhão basculante 14 m³</t>
  </si>
  <si>
    <t xml:space="preserve">Operador: Motorista de caminhão (P9866)  |  ⚠  Medição em MÊS (base 160 h/mês). E9667: composição A9316 (chassi plataforma 8×4) + A9344 (caçamba basculante).  |  Logística: ver parâmetros P1–P6 na Memória de Cálculo (Seção Logística).</t>
  </si>
  <si>
    <t xml:space="preserve">ITEM 4  –  Rolo pé de carneiro vibratório autopropelido, 11,6 t - 82 kW  |  TR 390651 → SICRO E9685  |  Qtd.: 1.200 H  |  Vr.Unit.TR: R$ 411,29</t>
  </si>
  <si>
    <t>E9685</t>
  </si>
  <si>
    <t xml:space="preserve">TOTAL CHP  –  Rolo pé de carneiro vibratório</t>
  </si>
  <si>
    <t xml:space="preserve">Operador: Operador de equipamento pesado (P9845)  |  ⚠  TR 125 HP / 13,30 t. SICRO E9685 = 82 kW / 11,6 t. Correspondência mais próxima disponível.  |  Logística: ver parâmetros P1–P6 na Memória de Cálculo (Seção Logística).</t>
  </si>
  <si>
    <t xml:space="preserve">ITEM 5  –  Trator sobre esteiras com lâmina - 97 kW (≈125 HP)  |  TR 400132 → SICRO E9042  |  Qtd.: 2.000 H  |  Vr.Unit.TR: R$ 548,37</t>
  </si>
  <si>
    <t>E9540</t>
  </si>
  <si>
    <t xml:space="preserve">TOTAL CHP  –  Trator sobre esteiras</t>
  </si>
  <si>
    <t xml:space="preserve">Operador: Operador de equipamento pesado (P9845)  |  ⚠  TR 125 HP. SICRO E9042= 97kW.  |  Logística: ver parâmetros P1–P6 na Memória de Cálculo (Seção Logística).</t>
  </si>
  <si>
    <t xml:space="preserve">ITEM 6  –  Carregadeira de pneus, 1,72 m³ - 113 kW (≈153 HP)  |  TR 403220 → SICRO E9584  |  Qtd.: 1.500 H  |  Vr.Unit.TR: R$ 411,29</t>
  </si>
  <si>
    <t>E9584</t>
  </si>
  <si>
    <t xml:space="preserve">TOTAL CHP  –  Carregadeira de pneus 1,72 m³</t>
  </si>
  <si>
    <t xml:space="preserve">Operador: Operador de equipamento pesado (P9845)  |  ⚠  TR 128 HP / caçamba 1,7–2,8 m³. SICRO E9584 = 113 kW / 1,72 m³ (limite inferior).  |  Logística: ver parâmetros P1–P6 na Memória de Cálculo (Seção Logística).</t>
  </si>
  <si>
    <t xml:space="preserve">ITEM 7  –  Retroescavadeira de pneus - pá 0,76 m³ / retro 0,29 m³ - 58 kW  |  TR 403219 → SICRO E9526  |  Qtd.: 4.300 H  |  Vr.Unit.TR: R$ 380,67</t>
  </si>
  <si>
    <t>E9526</t>
  </si>
  <si>
    <t xml:space="preserve">TOTAL CHP  –  Retroescavadeira de pneus</t>
  </si>
  <si>
    <t xml:space="preserve">Operador: Operador de equipamento pesado (P9845)  |  ⚠  TR 88 HP / pá ≥1 m³. SICRO E9526 = 58 kW / pá 0,76 m³. Correspondência mais próxima disponível.  |  Logística: ver parâmetros P1–P6 na Memória de Cálculo (Seção Logística).</t>
  </si>
  <si>
    <t xml:space="preserve">MEMÓRIA DE CÁLCULO – PARCELAS SICRO jan/2026 POR EQUIPAMENTO</t>
  </si>
  <si>
    <t xml:space="preserve">Valores extraídos integralmente do Relatório Sintético de Equipamentos SICRO MT 01/2026 (com desoneração). CHP (Custo Produtivo) = Σ (Depreciação + Oportunidade de Capital + Seguros/Impostos + Manutenção + Operação + Mão de Obra de Operação). Os valores conferem com a coluna "Custo Produtivo" da tabela de referência – ver coluna G.</t>
  </si>
  <si>
    <t xml:space="preserve">ITEM 1  –  Motoniveladora - 93 kW (≈125 CV)   |   Cód. TR: 400128  →  Cód. SICRO: E9524</t>
  </si>
  <si>
    <t>Parâmetro</t>
  </si>
  <si>
    <t xml:space="preserve">Fonte SICRO jan/2026</t>
  </si>
  <si>
    <t xml:space="preserve">Valor (R$/h)</t>
  </si>
  <si>
    <t xml:space="preserve">% s/ CHP</t>
  </si>
  <si>
    <t>Observação</t>
  </si>
  <si>
    <t xml:space="preserve">Valor de Aquisição (Va)</t>
  </si>
  <si>
    <t xml:space="preserve">Rel. Sintético SICRO 01/2026</t>
  </si>
  <si>
    <t xml:space="preserve">Informativo (base da depreciação/juros)</t>
  </si>
  <si>
    <t xml:space="preserve">5. Operação (combustível + lubrificantes)</t>
  </si>
  <si>
    <t xml:space="preserve">SICRO 01/2026 – já incorpora preço ANP do diesel na data-base</t>
  </si>
  <si>
    <t xml:space="preserve">SICRO 01/2026 – Rel. Analítico de Mão de Obra</t>
  </si>
  <si>
    <t xml:space="preserve">Operador de equipamento pesado (P9845) = R$ 37,8543/h</t>
  </si>
  <si>
    <t xml:space="preserve">══ CHP SICRO (Custo Produtivo)</t>
  </si>
  <si>
    <t xml:space="preserve">Σ parcelas 1 a 6</t>
  </si>
  <si>
    <t xml:space="preserve">Confere com Custo Produtivo SICRO = R$ 344.5946/h</t>
  </si>
  <si>
    <t xml:space="preserve">Custo Improdutivo (informativo)</t>
  </si>
  <si>
    <t xml:space="preserve">Hora improdutiva (equipamento parado em obra) – não compõe o CHP</t>
  </si>
  <si>
    <t xml:space="preserve">Valor Unitário TR (mercado)</t>
  </si>
  <si>
    <t xml:space="preserve">Conforme Termo de Referência</t>
  </si>
  <si>
    <t xml:space="preserve">Relação Vtr/CHP – inclui BDI implícito do locador.</t>
  </si>
  <si>
    <t xml:space="preserve">ITEM 2  –  Escavadeira hidráulica s/ esteiras, caçamba 1,56 m³ - 118 kW (≈160 HP)   |   Cód. TR: 400127  →  Cód. SICRO: E9515</t>
  </si>
  <si>
    <t xml:space="preserve">Confere com Custo Produtivo SICRO = R$ 335.1755/h</t>
  </si>
  <si>
    <t xml:space="preserve">ITEM 3  –  Caminhão basculante 14 m³ - 210 kW (≈285 CV)  [chassi A9316 + caçamba A9344]   |   Cód. TR: 408505  →  Cód. SICRO: E9667</t>
  </si>
  <si>
    <t xml:space="preserve">Motorista de caminhão (P9866) = R$ 32,9022/h</t>
  </si>
  <si>
    <t xml:space="preserve">Confere com Custo Produtivo SICRO = R$ 326.5366/h</t>
  </si>
  <si>
    <t xml:space="preserve">Relação Vtr/CHP – inclui BDI implícito do locador. (valor em R$/MÊS; CHP em R$/h × 160 h/mês p/ comparação)</t>
  </si>
  <si>
    <t xml:space="preserve">ITEM 4  –  Rolo pé de carneiro vibratório autopropelido por pneus 11,6 t - 82 kW   |   Cód. TR: 390651  →  Cód. SICRO: E9685</t>
  </si>
  <si>
    <t xml:space="preserve">Confere com Custo Produtivo SICRO = R$ 240.8564/h</t>
  </si>
  <si>
    <t xml:space="preserve">ITEM 5  –  Trator sobre esteiras com lâmina - 97 kW (≈125 HP)   |   Cód. TR: 400132  →  Cód. SICRO: E9042</t>
  </si>
  <si>
    <t xml:space="preserve">Confere com Custo Produtivo SICRO = R$ 458.7930/h</t>
  </si>
  <si>
    <t xml:space="preserve">ITEM 6  –  Carregadeira de pneus 1,72 m³ - 113 kW (≈153 HP)   |   Cód. TR: 403220  →  Cód. SICRO: E9584</t>
  </si>
  <si>
    <t xml:space="preserve">Confere com Custo Produtivo SICRO = R$ 213.0384/h</t>
  </si>
  <si>
    <t xml:space="preserve">ITEM 7  –  Retroescavadeira de pneus - pá 0,76 m³ / retro 0,29 m³ - 58 kW (≈79 HP)   |   Cód. TR: 403219  →  Cód. SICRO: E9526</t>
  </si>
  <si>
    <t xml:space="preserve">Confere com Custo Produtivo SICRO = R$ 158.6390/h</t>
  </si>
  <si>
    <t xml:space="preserve">LOGÍSTICA E MOBILIZAÇÃO – MEMÓRIA DE CÁLCULO  |  SICRO jan/2026 MT</t>
  </si>
  <si>
    <t xml:space="preserve">Os custos de logística são separados do CHP para rastreabilidade. Os equipamentos SICRO adotados são: (B) E9669 – Caminhão tanque 8.000l 136kW como referência para o caminhão comboio/melosa de abastecimento; (C) E9665 – Cavalo mecânico+semirreboque 20t e E9666 – 32t para mobilização. ⚠  As mobilizações são recorrentes e as distâncias variam: podem ser internas ao município (0–5 km) ou até 100 km rural conforme o ponto de serviço. Parâmetros editáveis abaixo.</t>
  </si>
  <si>
    <t xml:space="preserve">PARÂMETROS GLOBAIS (células amarelas = editáveis)</t>
  </si>
  <si>
    <t>Valor</t>
  </si>
  <si>
    <t xml:space="preserve">Fonte / Justificativa</t>
  </si>
  <si>
    <t xml:space="preserve">P1 – Dias de obra (estimativa)</t>
  </si>
  <si>
    <t>dias</t>
  </si>
  <si>
    <t xml:space="preserve">Estimativa contratual – ajustar conforme cronograma</t>
  </si>
  <si>
    <t xml:space="preserve">P2 – Horas de comboio por dia</t>
  </si>
  <si>
    <t>h/dia</t>
  </si>
  <si>
    <t xml:space="preserve">Rota diária: deslocamento entre frentes + retorno ao canteiro</t>
  </si>
  <si>
    <t xml:space="preserve">P3 – Horas de comboio por MÊS</t>
  </si>
  <si>
    <t>h/mês</t>
  </si>
  <si>
    <t xml:space="preserve">P4 – Mob./desmob. por equipamento (média mensal)</t>
  </si>
  <si>
    <t>mob/mês</t>
  </si>
  <si>
    <t xml:space="preserve">Mobilizações recorrentes: estimativa média entre curtas+longas</t>
  </si>
  <si>
    <t xml:space="preserve">P5 – Horas médias por mobilização (distância mista)</t>
  </si>
  <si>
    <t>h/mob</t>
  </si>
  <si>
    <t xml:space="preserve">Ponderado: ~1h urbano/curto + ~3h rural + ~5h 100km</t>
  </si>
  <si>
    <t xml:space="preserve">P6 – Praça de pedágio na rota (1=sim / 0=não)</t>
  </si>
  <si>
    <t xml:space="preserve">MT-220 – sem concessionária federal; verificar no contrato</t>
  </si>
  <si>
    <t xml:space="preserve">A.  PEDÁGIO – MT-220 (1 praça, sem isenção tarifária)</t>
  </si>
  <si>
    <t>Descrição</t>
  </si>
  <si>
    <t xml:space="preserve">Tarifa (R$)</t>
  </si>
  <si>
    <t xml:space="preserve">Qtd. pass./mês</t>
  </si>
  <si>
    <t xml:space="preserve">Total pass. obra</t>
  </si>
  <si>
    <t xml:space="preserve">Subtotal (R$)</t>
  </si>
  <si>
    <t>Memória</t>
  </si>
  <si>
    <t xml:space="preserve">Prancha Cat.4-5 (máquina pesada ≥5 eixos)</t>
  </si>
  <si>
    <t xml:space="preserve">7 equip × P4 mob/mês × 2 sentidos × P6(0/1 praça)</t>
  </si>
  <si>
    <t xml:space="preserve">Comboio Cat.2 (caminhão tanque 2 eixos)</t>
  </si>
  <si>
    <t xml:space="preserve">3 saídas/semana × 4 semanas × 2 sentidos × P6</t>
  </si>
  <si>
    <t xml:space="preserve">SUBTOTAL PEDÁGIO (custo total da obra)</t>
  </si>
  <si>
    <t xml:space="preserve">B.  CAMINHÃO COMBOIO (MELOSA) – SICRO E9669 (Caminhão tanque 8.000l 136kW)</t>
  </si>
  <si>
    <t xml:space="preserve">SICRO jan/2026 – E9669: Caminhão tanque com capacidade de 8.000 l – 136 kW  |  CHP (Custo Produtivo) = R$ 288,81/h  |  CHI (Improdutivo) = R$ 89,99/h. Adotado como referência para o caminhão comboio de abastecimento nas frentes. ⚠  Mobilizações com frequência variável: ajustar P2 (horas/dia) conforme cronograma.</t>
  </si>
  <si>
    <t xml:space="preserve">CHP SICRO E9669 (R$/h)</t>
  </si>
  <si>
    <t>Horas/mês</t>
  </si>
  <si>
    <t>Meses</t>
  </si>
  <si>
    <t xml:space="preserve">Custo Total (R$)</t>
  </si>
  <si>
    <t>Fonte</t>
  </si>
  <si>
    <t xml:space="preserve">Caminhão Comboio (E9669)</t>
  </si>
  <si>
    <t xml:space="preserve">CHP SICRO E9669 jan/2026 | P2×dias/12=h/mês | 12 meses</t>
  </si>
  <si>
    <t xml:space="preserve">C.  CAMINHÃO PRANCHA – SICRO E9665 (≤20t) e E9666 (&gt;20t)</t>
  </si>
  <si>
    <t xml:space="preserve">SICRO jan/2026: E9665 – Cavalo mecânico+semirreboque 20t  CHP=R$428,18/h  |  E9666 – Cavalo mecânico+semirreboque 32t  CHP=R$475,50/h. Alocação: E9665 para máquinas ≤20t (motoniveladora 13t, rolo 11,6t, carregadeira 11,6t, trator 16,7t, retroesc. 6,8t); E9666 para escavadeira 22t e caminhão basculante 29t. ⚠  Mobilizações recorrentes com distância variável. Parâmetros P4 (mob/mês) e P5 (h/mob) são editáveis. Para deslocamentos intramunicipais curtos usar P5≈1h; para 100km rural usar P5≈3–4h.</t>
  </si>
  <si>
    <t xml:space="preserve">Equipamento / Grupo</t>
  </si>
  <si>
    <t xml:space="preserve">CHP SICRO (R$/h)</t>
  </si>
  <si>
    <t xml:space="preserve">Mob/mês (P4)</t>
  </si>
  <si>
    <t xml:space="preserve">h/mob (P5)</t>
  </si>
  <si>
    <t xml:space="preserve">Custo Mensal (R$)</t>
  </si>
  <si>
    <t>Equipamentos</t>
  </si>
  <si>
    <t xml:space="preserve">E9665 – Grupo ≤20t (5 equipamentos)</t>
  </si>
  <si>
    <t xml:space="preserve">Motoniveladora, Rolo, Carregadeira, Trator, Retroescavadeira</t>
  </si>
  <si>
    <t xml:space="preserve">E9666 – Grupo &gt;20t (2 equipamentos)</t>
  </si>
  <si>
    <t xml:space="preserve">Escavadeira Hidráulica (22t) e Caminhão Basculante (29t)</t>
  </si>
  <si>
    <t xml:space="preserve">SUBTOTAL PRANCHA (custo mensal × 12 meses)</t>
  </si>
  <si>
    <t xml:space="preserve">TOTAL GERAL – CUSTOS LOGÍSTICOS E DE MOBILIZAÇÃO (estimativa)</t>
  </si>
  <si>
    <t xml:space="preserve">TOTAL LOGÍSTICA (A+B+C)</t>
  </si>
  <si>
    <t xml:space="preserve">Estimativa baseada nos parâmetros P1–P6. Atualizar conforme cronograma real.</t>
  </si>
  <si>
    <t xml:space="preserve">MÃO DE OBRA – SICRO jan/2026 (MT, com desoneração)</t>
  </si>
  <si>
    <t xml:space="preserve">Adotado o item SICRO "Operador de equipamento pesado" (P9845) para os equipamentos 1, 2, 4, 5, 6 e 7, e "Motorista de caminhão" (P9866) para o item 3. Encargos sociais e trabalhistas e encargos complementares conforme Rel. Analítico de Mão de Obra SICRO jan/2026.</t>
  </si>
  <si>
    <t xml:space="preserve">OPERADOR DE EQUIPAMENTO PESADO (P9845) – itens 1, 2, 4, 5, 6 e 7</t>
  </si>
  <si>
    <t>Componente</t>
  </si>
  <si>
    <t xml:space="preserve">% s/ salário</t>
  </si>
  <si>
    <t>R$/h</t>
  </si>
  <si>
    <t>Salário-base</t>
  </si>
  <si>
    <t xml:space="preserve">P9845 – Rel. Analítico SICRO 01/2026</t>
  </si>
  <si>
    <t xml:space="preserve">Encargos Sociais e Trabalhistas (total)</t>
  </si>
  <si>
    <t xml:space="preserve">94,17% (Grupos A+B+C+D)</t>
  </si>
  <si>
    <t xml:space="preserve">Encargos Sociais (média móvel)</t>
  </si>
  <si>
    <t xml:space="preserve">Sobre salário</t>
  </si>
  <si>
    <t xml:space="preserve">Encargos Complementares</t>
  </si>
  <si>
    <t xml:space="preserve">Alimentação, EPI, transporte, etc.</t>
  </si>
  <si>
    <t xml:space="preserve">Encargos Adicionais</t>
  </si>
  <si>
    <t xml:space="preserve">Cesta básica, seguro de vida, etc.</t>
  </si>
  <si>
    <t xml:space="preserve">CUSTO TOTAL (salário + encargos)</t>
  </si>
  <si>
    <t xml:space="preserve">Confere SICRO = R$ 37.8543/h</t>
  </si>
  <si>
    <t xml:space="preserve">MOTORISTA DE CAMINHÃO (P9866) – item 3</t>
  </si>
  <si>
    <t xml:space="preserve">P9866 – Rel. Analítico SICRO 01/2026</t>
  </si>
  <si>
    <t xml:space="preserve">Encargos Sociais e Trabalhistas</t>
  </si>
  <si>
    <t xml:space="preserve">94,39% sobre salário-base</t>
  </si>
  <si>
    <t xml:space="preserve">Rel. Sintético / Analítico SICRO 01/2026</t>
  </si>
  <si>
    <t xml:space="preserve">ALOCAÇÃO DO OPERADOR POR EQUIPAMENTO</t>
  </si>
  <si>
    <t>Equipamento</t>
  </si>
  <si>
    <t xml:space="preserve">Mão de obra (R$/h)</t>
  </si>
  <si>
    <t xml:space="preserve">Operador SICRO</t>
  </si>
  <si>
    <t>Motoniveladora</t>
  </si>
  <si>
    <t xml:space="preserve">Operador de equipamento pesado (P9845)</t>
  </si>
  <si>
    <t xml:space="preserve">Escavadeira hidráulica s/ esteiras, caçamba 1,56 m³</t>
  </si>
  <si>
    <t xml:space="preserve">Caminhão basculante 14 m³</t>
  </si>
  <si>
    <t xml:space="preserve">Motorista de caminhão (P9866)</t>
  </si>
  <si>
    <t xml:space="preserve">Rolo pé de carneiro vibratório autopropelido por pneus 11,6 t</t>
  </si>
  <si>
    <t xml:space="preserve">Trator sobre esteiras com lâmina</t>
  </si>
  <si>
    <t xml:space="preserve">Carregadeira de pneus 1,72 m³</t>
  </si>
  <si>
    <t xml:space="preserve">Retroescavadeira de pneus</t>
  </si>
  <si>
    <t xml:space="preserve">Fonte: SICRO jan/2026 – Relatórios Analíticos de Mão de Obra e de Encargos Sociais e Trabalhistas (MT, com desoneração).</t>
  </si>
  <si>
    <t xml:space="preserve">DEMONSTRATIVO DE BDI – BENEFÍCIOS E DESPESAS INDIRETAS</t>
  </si>
  <si>
    <t xml:space="preserve">Referência: Acórdão TCU nº 2.622/2013 – Plenário. BDI = [(1+AC+S+R+DF)×(1+L)/(1−T)] − 1. Preencha a coluna AMARELA com os percentuais praticados.</t>
  </si>
  <si>
    <t xml:space="preserve">Componente do BDI</t>
  </si>
  <si>
    <t xml:space="preserve">Ref. TCU (%)</t>
  </si>
  <si>
    <t xml:space="preserve">SICRO-MT típico (%)</t>
  </si>
  <si>
    <t xml:space="preserve">Proposta Empresa (%)</t>
  </si>
  <si>
    <t>Observações</t>
  </si>
  <si>
    <t xml:space="preserve">1. Administração Central (AC)</t>
  </si>
  <si>
    <t>3,00%–5,00%</t>
  </si>
  <si>
    <t xml:space="preserve">Despesas de sede/administração</t>
  </si>
  <si>
    <t xml:space="preserve">2. Seguros e Garantias (S)</t>
  </si>
  <si>
    <t>0,80%–1,20%</t>
  </si>
  <si>
    <t xml:space="preserve">Seguro-garantia contratual</t>
  </si>
  <si>
    <t xml:space="preserve">3. Risco (R)</t>
  </si>
  <si>
    <t>1,00%–3,00%</t>
  </si>
  <si>
    <t xml:space="preserve">Imprevistos e riscos operacionais</t>
  </si>
  <si>
    <t xml:space="preserve">4. Despesas Financeiras (DF)</t>
  </si>
  <si>
    <t>0,50%–1,50%</t>
  </si>
  <si>
    <t xml:space="preserve">Custo de capital de giro</t>
  </si>
  <si>
    <t xml:space="preserve">5. ISS (T)</t>
  </si>
  <si>
    <t>2,00%–5,00%</t>
  </si>
  <si>
    <t xml:space="preserve">Alíquota ISS Sinop/MT (verificar lei municipal)</t>
  </si>
  <si>
    <t xml:space="preserve">6. PIS/COFINS (T)</t>
  </si>
  <si>
    <t>3,65%</t>
  </si>
  <si>
    <t xml:space="preserve">Regime lucro presumido</t>
  </si>
  <si>
    <t xml:space="preserve">7. CSLL + IRPJ (T)</t>
  </si>
  <si>
    <t>3,08%</t>
  </si>
  <si>
    <t xml:space="preserve">Lucro presumido – alíquota efetiva</t>
  </si>
  <si>
    <t xml:space="preserve">8. Lucro (L)</t>
  </si>
  <si>
    <t>5,00%–12,00%</t>
  </si>
  <si>
    <t xml:space="preserve">Margem de lucro do contratado</t>
  </si>
  <si>
    <t xml:space="preserve">Tributos T (ISS+PIS/COFINS+CSLL/IRPJ)</t>
  </si>
  <si>
    <t xml:space="preserve">Soma das parcelas tributárias</t>
  </si>
  <si>
    <t xml:space="preserve">BDI COMPOSTO – Fórmula TCU 2.622/2013</t>
  </si>
  <si>
    <t xml:space="preserve">Aplicado sobre o custo direto SICRO</t>
  </si>
  <si>
    <t xml:space="preserve">TCU Acórdão 2.622/2013: para locação de máquinas com operador, BDI típico entre 18% e 35%. ISS conforme lei municipal de Sinop/MT.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</si>
</sst>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8">
    <numFmt numFmtId="164" formatCode="_-* #,##0.00_-;\-* #,##0.00_-;_-* &quot;-&quot;??_-;_-@_-"/>
    <numFmt numFmtId="165" formatCode="_-&quot;R$&quot;\ * #,##0.00_-;\-&quot;R$&quot;\ * #,##0.00_-;_-&quot;R$&quot;\ * &quot;-&quot;??_-;_-@_-"/>
    <numFmt numFmtId="166" formatCode="_-* #,##0_-;\-* #,##0_-;_-* &quot;-&quot;_-;_-@_-"/>
    <numFmt numFmtId="167" formatCode="_-&quot;R$&quot;\ * #,##0_-;\-&quot;R$&quot;\ * #,##0_-;_-&quot;R$&quot;\ * &quot;-&quot;_-;_-@_-"/>
    <numFmt numFmtId="168" formatCode="\R\$\ #,##0.00"/>
    <numFmt numFmtId="169" formatCode="&quot;R$ &quot;#,##0.00"/>
    <numFmt numFmtId="170" formatCode="&quot;R$ &quot;#,##0.0000"/>
    <numFmt numFmtId="171" formatCode="#,##0.0"/>
  </numFmts>
  <fonts count="45">
    <font>
      <sz val="11.000000"/>
      <color theme="1"/>
      <name val="Calibri"/>
    </font>
    <font>
      <sz val="10.000000"/>
      <color theme="1"/>
      <name val="Calibri"/>
      <scheme val="minor"/>
    </font>
    <font>
      <u/>
      <sz val="11.000000"/>
      <color indexed="4"/>
      <name val="Calibri"/>
      <scheme val="minor"/>
    </font>
    <font>
      <u/>
      <sz val="11.000000"/>
      <color indexed="20"/>
      <name val="Calibri"/>
      <scheme val="minor"/>
    </font>
    <font>
      <sz val="11.000000"/>
      <color indexed="2"/>
      <name val="Calibri"/>
      <scheme val="minor"/>
    </font>
    <font>
      <b/>
      <sz val="18.000000"/>
      <color theme="3"/>
      <name val="Calibri"/>
      <scheme val="minor"/>
    </font>
    <font>
      <i/>
      <sz val="11.000000"/>
      <color rgb="FF7F7F7F"/>
      <name val="Calibri"/>
      <scheme val="minor"/>
    </font>
    <font>
      <b/>
      <sz val="15.000000"/>
      <color theme="3"/>
      <name val="Calibri"/>
      <scheme val="minor"/>
    </font>
    <font>
      <b/>
      <sz val="13.000000"/>
      <color theme="3"/>
      <name val="Calibri"/>
      <scheme val="minor"/>
    </font>
    <font>
      <b/>
      <sz val="11.000000"/>
      <color theme="3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b/>
      <sz val="11.000000"/>
      <color indexed="65"/>
      <name val="Calibri"/>
      <scheme val="minor"/>
    </font>
    <font>
      <sz val="11.000000"/>
      <color rgb="FFFA7D00"/>
      <name val="Calibri"/>
      <scheme val="minor"/>
    </font>
    <font>
      <b/>
      <sz val="11.000000"/>
      <color theme="1"/>
      <name val="Calibri"/>
      <scheme val="minor"/>
    </font>
    <font>
      <sz val="11.000000"/>
      <color rgb="FF006100"/>
      <name val="Calibri"/>
      <scheme val="minor"/>
    </font>
    <font>
      <sz val="11.000000"/>
      <color rgb="FF9C0006"/>
      <name val="Calibri"/>
      <scheme val="minor"/>
    </font>
    <font>
      <sz val="11.000000"/>
      <color rgb="FF9C6500"/>
      <name val="Calibri"/>
      <scheme val="minor"/>
    </font>
    <font>
      <sz val="11.000000"/>
      <color theme="0"/>
      <name val="Calibri"/>
      <scheme val="minor"/>
    </font>
    <font>
      <sz val="11.000000"/>
      <color theme="1"/>
      <name val="Calibri"/>
      <scheme val="minor"/>
    </font>
    <font>
      <b/>
      <sz val="12.000000"/>
      <color indexed="65"/>
      <name val="Calibri"/>
    </font>
    <font>
      <i/>
      <sz val="9.000000"/>
      <name val="Calibri"/>
    </font>
    <font>
      <b/>
      <sz val="9.000000"/>
      <color indexed="65"/>
      <name val="Calibri"/>
    </font>
    <font>
      <sz val="9.000000"/>
      <name val="Calibri"/>
    </font>
    <font>
      <i/>
      <sz val="8.000000"/>
      <color rgb="FF00529B"/>
      <name val="Calibri"/>
    </font>
    <font>
      <b/>
      <sz val="9.000000"/>
      <name val="Calibri"/>
    </font>
    <font>
      <i/>
      <sz val="8.000000"/>
      <color rgb="FF7F6000"/>
      <name val="Calibri"/>
    </font>
    <font>
      <i/>
      <sz val="9.000000"/>
      <color rgb="FF7F6000"/>
      <name val="Calibri"/>
    </font>
    <font>
      <b/>
      <sz val="10.000000"/>
      <color indexed="65"/>
      <name val="Calibri"/>
    </font>
    <font>
      <i/>
      <sz val="8.000000"/>
      <color rgb="FF404040"/>
      <name val="Calibri"/>
    </font>
    <font>
      <b/>
      <sz val="12.000000"/>
      <color indexed="65"/>
      <name val="Arial"/>
    </font>
    <font>
      <sz val="9.000000"/>
      <name val="Arial"/>
    </font>
    <font>
      <b/>
      <sz val="10.000000"/>
      <color indexed="65"/>
      <name val="Arial"/>
    </font>
    <font>
      <b/>
      <sz val="9.000000"/>
      <color indexed="65"/>
      <name val="Arial"/>
    </font>
    <font>
      <sz val="8.000000"/>
      <name val="Arial"/>
    </font>
    <font>
      <i/>
      <sz val="8.000000"/>
      <name val="Arial"/>
    </font>
    <font>
      <b/>
      <sz val="8.000000"/>
      <color indexed="65"/>
      <name val="Arial"/>
    </font>
    <font>
      <b/>
      <sz val="9.000000"/>
      <color rgb="FF1F3864"/>
      <name val="Arial"/>
    </font>
    <font>
      <b/>
      <sz val="11.000000"/>
      <color indexed="65"/>
      <name val="Calibri"/>
    </font>
    <font>
      <i/>
      <sz val="8.000000"/>
      <name val="Calibri"/>
    </font>
    <font>
      <i/>
      <sz val="8.000000"/>
      <color indexed="65"/>
      <name val="Arial"/>
    </font>
    <font>
      <sz val="9.000000"/>
      <color indexed="4"/>
      <name val="Arial"/>
    </font>
    <font>
      <b/>
      <sz val="9.000000"/>
      <name val="Arial"/>
    </font>
    <font>
      <b/>
      <sz val="11.000000"/>
      <color indexed="65"/>
      <name val="Arial"/>
    </font>
  </fonts>
  <fills count="51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398"/>
      </patternFill>
    </fill>
    <fill>
      <patternFill patternType="solid">
        <fgColor theme="4" tint="0.59999389629810496"/>
      </patternFill>
    </fill>
    <fill>
      <patternFill patternType="solid">
        <fgColor theme="4" tint="0.39997558519241899"/>
      </patternFill>
    </fill>
    <fill>
      <patternFill patternType="solid">
        <fgColor theme="5"/>
      </patternFill>
    </fill>
    <fill>
      <patternFill patternType="solid">
        <fgColor theme="5" tint="0.79998168889431398"/>
      </patternFill>
    </fill>
    <fill>
      <patternFill patternType="solid">
        <fgColor theme="5" tint="0.59999389629810496"/>
      </patternFill>
    </fill>
    <fill>
      <patternFill patternType="solid">
        <fgColor theme="5" tint="0.39997558519241899"/>
      </patternFill>
    </fill>
    <fill>
      <patternFill patternType="solid">
        <fgColor theme="6"/>
      </patternFill>
    </fill>
    <fill>
      <patternFill patternType="solid">
        <fgColor theme="6" tint="0.79998168889431398"/>
      </patternFill>
    </fill>
    <fill>
      <patternFill patternType="solid">
        <fgColor theme="6" tint="0.59999389629810496"/>
      </patternFill>
    </fill>
    <fill>
      <patternFill patternType="solid">
        <fgColor theme="6" tint="0.39997558519241899"/>
      </patternFill>
    </fill>
    <fill>
      <patternFill patternType="solid">
        <fgColor theme="7"/>
      </patternFill>
    </fill>
    <fill>
      <patternFill patternType="solid">
        <fgColor theme="7" tint="0.79998168889431398"/>
      </patternFill>
    </fill>
    <fill>
      <patternFill patternType="solid">
        <fgColor theme="7" tint="0.59999389629810496"/>
      </patternFill>
    </fill>
    <fill>
      <patternFill patternType="solid">
        <fgColor theme="7" tint="0.39997558519241899"/>
      </patternFill>
    </fill>
    <fill>
      <patternFill patternType="solid">
        <fgColor theme="8"/>
      </patternFill>
    </fill>
    <fill>
      <patternFill patternType="solid">
        <fgColor theme="8" tint="0.79998168889431398"/>
      </patternFill>
    </fill>
    <fill>
      <patternFill patternType="solid">
        <fgColor theme="8" tint="0.59999389629810496"/>
      </patternFill>
    </fill>
    <fill>
      <patternFill patternType="solid">
        <fgColor theme="8" tint="0.39997558519241899"/>
      </patternFill>
    </fill>
    <fill>
      <patternFill patternType="solid">
        <fgColor theme="9"/>
      </patternFill>
    </fill>
    <fill>
      <patternFill patternType="solid">
        <fgColor theme="9" tint="0.79998168889431398"/>
      </patternFill>
    </fill>
    <fill>
      <patternFill patternType="solid">
        <fgColor theme="9" tint="0.59999389629810496"/>
      </patternFill>
    </fill>
    <fill>
      <patternFill patternType="solid">
        <fgColor theme="9" tint="0.39997558519241899"/>
      </patternFill>
    </fill>
    <fill>
      <patternFill patternType="solid">
        <fgColor rgb="FF1F3864"/>
      </patternFill>
    </fill>
    <fill>
      <patternFill patternType="solid">
        <fgColor rgb="FFD6E4F0"/>
      </patternFill>
    </fill>
    <fill>
      <patternFill patternType="solid">
        <fgColor rgb="FF2E75B6"/>
      </patternFill>
    </fill>
    <fill>
      <patternFill patternType="solid">
        <fgColor indexed="5"/>
      </patternFill>
    </fill>
    <fill>
      <patternFill patternType="solid">
        <fgColor rgb="FFF5F5F5"/>
      </patternFill>
    </fill>
    <fill>
      <patternFill patternType="solid">
        <fgColor rgb="FFFFF2CC"/>
      </patternFill>
    </fill>
    <fill>
      <patternFill patternType="solid">
        <fgColor rgb="FFC55A11"/>
      </patternFill>
    </fill>
    <fill>
      <patternFill patternType="solid">
        <fgColor rgb="FFEBF3FB"/>
      </patternFill>
    </fill>
    <fill>
      <patternFill patternType="solid">
        <fgColor rgb="FF1F3864"/>
        <bgColor indexed="63"/>
      </patternFill>
    </fill>
    <fill>
      <patternFill patternType="solid">
        <fgColor rgb="FFEAF0FA"/>
        <bgColor rgb="FFF2F2F2"/>
      </patternFill>
    </fill>
    <fill>
      <patternFill patternType="solid">
        <fgColor rgb="FF2E5496"/>
        <bgColor rgb="FF1F3864"/>
      </patternFill>
    </fill>
    <fill>
      <patternFill patternType="solid">
        <fgColor rgb="FF8EAADB"/>
        <bgColor rgb="FFB0B8C4"/>
      </patternFill>
    </fill>
    <fill>
      <patternFill patternType="solid">
        <fgColor rgb="FFF2F2F2"/>
        <bgColor rgb="FFEAF0FA"/>
      </patternFill>
    </fill>
    <fill>
      <patternFill patternType="solid">
        <fgColor indexed="65"/>
        <bgColor rgb="FFF2F2F2"/>
      </patternFill>
    </fill>
    <fill>
      <patternFill patternType="solid">
        <fgColor rgb="FFD6E0F0"/>
        <bgColor rgb="FFEAF0FA"/>
      </patternFill>
    </fill>
    <fill>
      <patternFill patternType="solid">
        <fgColor rgb="FFBF8F00"/>
      </patternFill>
    </fill>
    <fill>
      <patternFill patternType="solid">
        <fgColor indexed="65"/>
      </patternFill>
    </fill>
    <fill>
      <patternFill patternType="solid">
        <fgColor rgb="FFFFF2CC"/>
        <bgColor rgb="FFF2F2F2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medium">
        <color theme="4"/>
      </bottom>
      <diagonal style="none"/>
    </border>
    <border>
      <left style="none"/>
      <right style="none"/>
      <top style="none"/>
      <bottom style="medium">
        <color theme="4" tint="0.499984740745262"/>
      </bottom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thin">
        <color theme="4"/>
      </top>
      <bottom style="double">
        <color theme="4"/>
      </bottom>
      <diagonal style="none"/>
    </border>
    <border>
      <left style="medium">
        <color rgb="FF404040"/>
      </left>
      <right style="medium">
        <color rgb="FF404040"/>
      </right>
      <top style="medium">
        <color rgb="FF404040"/>
      </top>
      <bottom style="medium">
        <color rgb="FF404040"/>
      </bottom>
      <diagonal style="none"/>
    </border>
    <border>
      <left style="none"/>
      <right style="none"/>
      <top style="medium">
        <color rgb="FF404040"/>
      </top>
      <bottom style="medium">
        <color rgb="FF404040"/>
      </bottom>
      <diagonal style="none"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 style="none"/>
    </border>
    <border>
      <left style="none"/>
      <right style="none"/>
      <top style="thin">
        <color rgb="FFBFBFBF"/>
      </top>
      <bottom style="thin">
        <color rgb="FFBFBFBF"/>
      </bottom>
      <diagonal style="none"/>
    </border>
    <border>
      <left style="thin">
        <color rgb="FFBF8F00"/>
      </left>
      <right style="thin">
        <color rgb="FFBF8F00"/>
      </right>
      <top style="thin">
        <color rgb="FFBF8F00"/>
      </top>
      <bottom style="thin">
        <color rgb="FFBF8F00"/>
      </bottom>
      <diagonal style="none"/>
    </border>
    <border>
      <left style="none"/>
      <right style="medium">
        <color rgb="FF404040"/>
      </right>
      <top style="medium">
        <color rgb="FF404040"/>
      </top>
      <bottom style="medium">
        <color rgb="FF404040"/>
      </bottom>
      <diagonal style="none"/>
    </border>
    <border>
      <left style="thin">
        <color rgb="FFB0B8C4"/>
      </left>
      <right style="none"/>
      <top style="thin">
        <color rgb="FFB0B8C4"/>
      </top>
      <bottom style="thin">
        <color rgb="FFB0B8C4"/>
      </bottom>
      <diagonal style="none"/>
    </border>
    <border>
      <left style="none"/>
      <right style="none"/>
      <top style="thin">
        <color rgb="FFB0B8C4"/>
      </top>
      <bottom style="thin">
        <color rgb="FFB0B8C4"/>
      </bottom>
      <diagonal style="none"/>
    </border>
    <border>
      <left style="thin">
        <color rgb="FFB0B8C4"/>
      </left>
      <right style="thin">
        <color rgb="FFB0B8C4"/>
      </right>
      <top style="thin">
        <color rgb="FFB0B8C4"/>
      </top>
      <bottom style="thin">
        <color rgb="FFB0B8C4"/>
      </bottom>
      <diagonal style="none"/>
    </border>
    <border>
      <left style="none"/>
      <right style="thin">
        <color rgb="FFBFBFBF"/>
      </right>
      <top style="thin">
        <color rgb="FFBFBFBF"/>
      </top>
      <bottom style="thin">
        <color rgb="FFBFBFBF"/>
      </bottom>
      <diagonal style="none"/>
    </border>
  </borders>
  <cellStyleXfs count="49">
    <xf fontId="0" fillId="0" borderId="0" numFmtId="0" applyNumberFormat="1" applyFont="1" applyFill="1" applyBorder="1"/>
    <xf fontId="1" fillId="0" borderId="0" numFmtId="164" applyNumberFormat="1" applyFont="0" applyFill="0" applyBorder="0" applyProtection="0">
      <alignment vertical="center"/>
    </xf>
    <xf fontId="1" fillId="0" borderId="0" numFmtId="165" applyNumberFormat="1" applyFont="0" applyFill="0" applyBorder="0" applyProtection="0">
      <alignment vertical="center"/>
    </xf>
    <xf fontId="1" fillId="0" borderId="0" numFmtId="9" applyNumberFormat="1" applyFont="0" applyFill="0" applyBorder="0" applyProtection="0">
      <alignment vertical="center"/>
    </xf>
    <xf fontId="1" fillId="0" borderId="0" numFmtId="166" applyNumberFormat="1" applyFont="0" applyFill="0" applyBorder="0" applyProtection="0">
      <alignment vertical="center"/>
    </xf>
    <xf fontId="1" fillId="0" borderId="0" numFmtId="167" applyNumberFormat="1" applyFont="0" applyFill="0" applyBorder="0" applyProtection="0">
      <alignment vertical="center"/>
    </xf>
    <xf fontId="2" fillId="0" borderId="0" numFmtId="0" applyNumberFormat="0" applyFont="1" applyFill="0" applyBorder="0" applyProtection="0">
      <alignment vertical="center"/>
    </xf>
    <xf fontId="3" fillId="0" borderId="0" numFmtId="0" applyNumberFormat="0" applyFont="1" applyFill="0" applyBorder="0" applyProtection="0">
      <alignment vertical="center"/>
    </xf>
    <xf fontId="1" fillId="2" borderId="1" numFmtId="0" applyNumberFormat="0" applyFont="0" applyFill="1" applyBorder="1" applyProtection="0">
      <alignment vertical="center"/>
    </xf>
    <xf fontId="4" fillId="0" borderId="0" numFmtId="0" applyNumberFormat="0" applyFont="1" applyFill="0" applyBorder="0" applyProtection="0">
      <alignment vertical="center"/>
    </xf>
    <xf fontId="5" fillId="0" borderId="0" numFmtId="0" applyNumberFormat="0" applyFont="1" applyFill="0" applyBorder="0" applyProtection="0">
      <alignment vertical="center"/>
    </xf>
    <xf fontId="6" fillId="0" borderId="0" numFmtId="0" applyNumberFormat="0" applyFont="1" applyFill="0" applyBorder="0" applyProtection="0">
      <alignment vertical="center"/>
    </xf>
    <xf fontId="7" fillId="0" borderId="2" numFmtId="0" applyNumberFormat="0" applyFont="1" applyFill="0" applyBorder="1" applyProtection="0">
      <alignment vertical="center"/>
    </xf>
    <xf fontId="8" fillId="0" borderId="2" numFmtId="0" applyNumberFormat="0" applyFont="1" applyFill="0" applyBorder="1" applyProtection="0">
      <alignment vertical="center"/>
    </xf>
    <xf fontId="9" fillId="0" borderId="3" numFmtId="0" applyNumberFormat="0" applyFont="1" applyFill="0" applyBorder="1" applyProtection="0">
      <alignment vertical="center"/>
    </xf>
    <xf fontId="9" fillId="0" borderId="0" numFmtId="0" applyNumberFormat="0" applyFont="1" applyFill="0" applyBorder="0" applyProtection="0">
      <alignment vertical="center"/>
    </xf>
    <xf fontId="10" fillId="3" borderId="4" numFmtId="0" applyNumberFormat="0" applyFont="1" applyFill="1" applyBorder="1" applyProtection="0">
      <alignment vertical="center"/>
    </xf>
    <xf fontId="11" fillId="4" borderId="5" numFmtId="0" applyNumberFormat="0" applyFont="1" applyFill="1" applyBorder="1" applyProtection="0">
      <alignment vertical="center"/>
    </xf>
    <xf fontId="12" fillId="4" borderId="4" numFmtId="0" applyNumberFormat="0" applyFont="1" applyFill="1" applyBorder="1" applyProtection="0">
      <alignment vertical="center"/>
    </xf>
    <xf fontId="13" fillId="5" borderId="6" numFmtId="0" applyNumberFormat="0" applyFont="1" applyFill="1" applyBorder="1" applyProtection="0">
      <alignment vertical="center"/>
    </xf>
    <xf fontId="14" fillId="0" borderId="7" numFmtId="0" applyNumberFormat="0" applyFont="1" applyFill="0" applyBorder="1" applyProtection="0">
      <alignment vertical="center"/>
    </xf>
    <xf fontId="15" fillId="0" borderId="8" numFmtId="0" applyNumberFormat="0" applyFont="1" applyFill="0" applyBorder="1" applyProtection="0">
      <alignment vertical="center"/>
    </xf>
    <xf fontId="16" fillId="6" borderId="0" numFmtId="0" applyNumberFormat="0" applyFont="1" applyFill="1" applyBorder="0" applyProtection="0">
      <alignment vertical="center"/>
    </xf>
    <xf fontId="17" fillId="7" borderId="0" numFmtId="0" applyNumberFormat="0" applyFont="1" applyFill="1" applyBorder="0" applyProtection="0">
      <alignment vertical="center"/>
    </xf>
    <xf fontId="18" fillId="8" borderId="0" numFmtId="0" applyNumberFormat="0" applyFont="1" applyFill="1" applyBorder="0" applyProtection="0">
      <alignment vertical="center"/>
    </xf>
    <xf fontId="19" fillId="9" borderId="0" numFmtId="0" applyNumberFormat="0" applyFont="1" applyFill="1" applyBorder="0" applyProtection="0">
      <alignment vertical="center"/>
    </xf>
    <xf fontId="20" fillId="10" borderId="0" numFmtId="0" applyNumberFormat="0" applyFont="1" applyFill="1" applyBorder="0" applyProtection="0">
      <alignment vertical="center"/>
    </xf>
    <xf fontId="20" fillId="11" borderId="0" numFmtId="0" applyNumberFormat="0" applyFont="1" applyFill="1" applyBorder="0" applyProtection="0">
      <alignment vertical="center"/>
    </xf>
    <xf fontId="19" fillId="12" borderId="0" numFmtId="0" applyNumberFormat="0" applyFont="1" applyFill="1" applyBorder="0" applyProtection="0">
      <alignment vertical="center"/>
    </xf>
    <xf fontId="19" fillId="13" borderId="0" numFmtId="0" applyNumberFormat="0" applyFont="1" applyFill="1" applyBorder="0" applyProtection="0">
      <alignment vertical="center"/>
    </xf>
    <xf fontId="20" fillId="14" borderId="0" numFmtId="0" applyNumberFormat="0" applyFont="1" applyFill="1" applyBorder="0" applyProtection="0">
      <alignment vertical="center"/>
    </xf>
    <xf fontId="20" fillId="15" borderId="0" numFmtId="0" applyNumberFormat="0" applyFont="1" applyFill="1" applyBorder="0" applyProtection="0">
      <alignment vertical="center"/>
    </xf>
    <xf fontId="19" fillId="16" borderId="0" numFmtId="0" applyNumberFormat="0" applyFont="1" applyFill="1" applyBorder="0" applyProtection="0">
      <alignment vertical="center"/>
    </xf>
    <xf fontId="19" fillId="17" borderId="0" numFmtId="0" applyNumberFormat="0" applyFont="1" applyFill="1" applyBorder="0" applyProtection="0">
      <alignment vertical="center"/>
    </xf>
    <xf fontId="20" fillId="18" borderId="0" numFmtId="0" applyNumberFormat="0" applyFont="1" applyFill="1" applyBorder="0" applyProtection="0">
      <alignment vertical="center"/>
    </xf>
    <xf fontId="20" fillId="19" borderId="0" numFmtId="0" applyNumberFormat="0" applyFont="1" applyFill="1" applyBorder="0" applyProtection="0">
      <alignment vertical="center"/>
    </xf>
    <xf fontId="19" fillId="20" borderId="0" numFmtId="0" applyNumberFormat="0" applyFont="1" applyFill="1" applyBorder="0" applyProtection="0">
      <alignment vertical="center"/>
    </xf>
    <xf fontId="19" fillId="21" borderId="0" numFmtId="0" applyNumberFormat="0" applyFont="1" applyFill="1" applyBorder="0" applyProtection="0">
      <alignment vertical="center"/>
    </xf>
    <xf fontId="20" fillId="22" borderId="0" numFmtId="0" applyNumberFormat="0" applyFont="1" applyFill="1" applyBorder="0" applyProtection="0">
      <alignment vertical="center"/>
    </xf>
    <xf fontId="20" fillId="23" borderId="0" numFmtId="0" applyNumberFormat="0" applyFont="1" applyFill="1" applyBorder="0" applyProtection="0">
      <alignment vertical="center"/>
    </xf>
    <xf fontId="19" fillId="24" borderId="0" numFmtId="0" applyNumberFormat="0" applyFont="1" applyFill="1" applyBorder="0" applyProtection="0">
      <alignment vertical="center"/>
    </xf>
    <xf fontId="19" fillId="25" borderId="0" numFmtId="0" applyNumberFormat="0" applyFont="1" applyFill="1" applyBorder="0" applyProtection="0">
      <alignment vertical="center"/>
    </xf>
    <xf fontId="20" fillId="26" borderId="0" numFmtId="0" applyNumberFormat="0" applyFont="1" applyFill="1" applyBorder="0" applyProtection="0">
      <alignment vertical="center"/>
    </xf>
    <xf fontId="20" fillId="27" borderId="0" numFmtId="0" applyNumberFormat="0" applyFont="1" applyFill="1" applyBorder="0" applyProtection="0">
      <alignment vertical="center"/>
    </xf>
    <xf fontId="19" fillId="28" borderId="0" numFmtId="0" applyNumberFormat="0" applyFont="1" applyFill="1" applyBorder="0" applyProtection="0">
      <alignment vertical="center"/>
    </xf>
    <xf fontId="19" fillId="29" borderId="0" numFmtId="0" applyNumberFormat="0" applyFont="1" applyFill="1" applyBorder="0" applyProtection="0">
      <alignment vertical="center"/>
    </xf>
    <xf fontId="20" fillId="30" borderId="0" numFmtId="0" applyNumberFormat="0" applyFont="1" applyFill="1" applyBorder="0" applyProtection="0">
      <alignment vertical="center"/>
    </xf>
    <xf fontId="20" fillId="31" borderId="0" numFmtId="0" applyNumberFormat="0" applyFont="1" applyFill="1" applyBorder="0" applyProtection="0">
      <alignment vertical="center"/>
    </xf>
    <xf fontId="19" fillId="32" borderId="0" numFmtId="0" applyNumberFormat="0" applyFont="1" applyFill="1" applyBorder="0" applyProtection="0">
      <alignment vertical="center"/>
    </xf>
  </cellStyleXfs>
  <cellXfs count="103">
    <xf fontId="0" fillId="0" borderId="0" numFmtId="0" xfId="0"/>
    <xf fontId="21" fillId="33" borderId="9" numFmtId="0" xfId="0" applyFont="1" applyFill="1" applyBorder="1" applyAlignment="1">
      <alignment horizontal="center" vertical="center" wrapText="1"/>
    </xf>
    <xf fontId="0" fillId="0" borderId="10" numFmtId="0" xfId="0" applyBorder="1"/>
    <xf fontId="22" fillId="34" borderId="11" numFmtId="0" xfId="0" applyFont="1" applyFill="1" applyBorder="1" applyAlignment="1">
      <alignment horizontal="left" vertical="center" wrapText="1"/>
    </xf>
    <xf fontId="0" fillId="0" borderId="12" numFmtId="0" xfId="0" applyBorder="1"/>
    <xf fontId="23" fillId="35" borderId="11" numFmtId="0" xfId="0" applyFont="1" applyFill="1" applyBorder="1" applyAlignment="1">
      <alignment horizontal="center" vertical="center" wrapText="1"/>
    </xf>
    <xf fontId="23" fillId="33" borderId="9" numFmtId="0" xfId="0" applyFont="1" applyFill="1" applyBorder="1" applyAlignment="1">
      <alignment horizontal="left" vertical="center" wrapText="1"/>
    </xf>
    <xf fontId="24" fillId="34" borderId="11" numFmtId="0" xfId="0" applyFont="1" applyFill="1" applyBorder="1" applyAlignment="1">
      <alignment horizontal="center" vertical="center" wrapText="1"/>
    </xf>
    <xf fontId="25" fillId="34" borderId="11" numFmtId="0" xfId="0" applyFont="1" applyFill="1" applyBorder="1" applyAlignment="1">
      <alignment horizontal="center" vertical="center" wrapText="1"/>
    </xf>
    <xf fontId="24" fillId="34" borderId="11" numFmtId="0" xfId="0" applyFont="1" applyFill="1" applyBorder="1" applyAlignment="1">
      <alignment horizontal="left" vertical="center" wrapText="1"/>
    </xf>
    <xf fontId="24" fillId="34" borderId="11" numFmtId="168" xfId="0" applyNumberFormat="1" applyFont="1" applyFill="1" applyBorder="1" applyAlignment="1">
      <alignment horizontal="center" vertical="center" wrapText="1"/>
    </xf>
    <xf fontId="24" fillId="34" borderId="11" numFmtId="10" xfId="0" applyNumberFormat="1" applyFont="1" applyFill="1" applyBorder="1" applyAlignment="1">
      <alignment horizontal="center" vertical="center" wrapText="1"/>
    </xf>
    <xf fontId="26" fillId="36" borderId="11" numFmtId="168" xfId="0" applyNumberFormat="1" applyFont="1" applyFill="1" applyBorder="1" applyAlignment="1">
      <alignment horizontal="center" vertical="center" wrapText="1"/>
    </xf>
    <xf fontId="24" fillId="37" borderId="11" numFmtId="0" xfId="0" applyFont="1" applyFill="1" applyBorder="1" applyAlignment="1">
      <alignment horizontal="center" vertical="center" wrapText="1"/>
    </xf>
    <xf fontId="25" fillId="37" borderId="11" numFmtId="0" xfId="0" applyFont="1" applyFill="1" applyBorder="1" applyAlignment="1">
      <alignment horizontal="center" vertical="center" wrapText="1"/>
    </xf>
    <xf fontId="24" fillId="37" borderId="11" numFmtId="0" xfId="0" applyFont="1" applyFill="1" applyBorder="1" applyAlignment="1">
      <alignment horizontal="left" vertical="center" wrapText="1"/>
    </xf>
    <xf fontId="24" fillId="37" borderId="11" numFmtId="168" xfId="0" applyNumberFormat="1" applyFont="1" applyFill="1" applyBorder="1" applyAlignment="1">
      <alignment horizontal="center" vertical="center" wrapText="1"/>
    </xf>
    <xf fontId="24" fillId="37" borderId="11" numFmtId="10" xfId="0" applyNumberFormat="1" applyFont="1" applyFill="1" applyBorder="1" applyAlignment="1">
      <alignment horizontal="center" vertical="center" wrapText="1"/>
    </xf>
    <xf fontId="26" fillId="38" borderId="13" numFmtId="0" xfId="0" applyFont="1" applyFill="1" applyBorder="1" applyAlignment="1">
      <alignment horizontal="center" vertical="center" wrapText="1"/>
    </xf>
    <xf fontId="27" fillId="38" borderId="13" numFmtId="0" xfId="0" applyFont="1" applyFill="1" applyBorder="1" applyAlignment="1">
      <alignment horizontal="center" vertical="center" wrapText="1"/>
    </xf>
    <xf fontId="28" fillId="38" borderId="13" numFmtId="0" xfId="0" applyFont="1" applyFill="1" applyBorder="1" applyAlignment="1">
      <alignment horizontal="left" vertical="center" wrapText="1"/>
    </xf>
    <xf fontId="24" fillId="38" borderId="13" numFmtId="0" xfId="0" applyFont="1" applyFill="1" applyBorder="1" applyAlignment="1">
      <alignment horizontal="center" vertical="center" wrapText="1"/>
    </xf>
    <xf fontId="28" fillId="38" borderId="13" numFmtId="168" xfId="0" applyNumberFormat="1" applyFont="1" applyFill="1" applyBorder="1" applyAlignment="1">
      <alignment horizontal="center" vertical="center" wrapText="1"/>
    </xf>
    <xf fontId="28" fillId="38" borderId="13" numFmtId="10" xfId="0" applyNumberFormat="1" applyFont="1" applyFill="1" applyBorder="1" applyAlignment="1">
      <alignment horizontal="center" vertical="center" wrapText="1"/>
    </xf>
    <xf fontId="26" fillId="36" borderId="13" numFmtId="168" xfId="0" applyNumberFormat="1" applyFont="1" applyFill="1" applyBorder="1" applyAlignment="1">
      <alignment horizontal="center" vertical="center" wrapText="1"/>
    </xf>
    <xf fontId="29" fillId="39" borderId="9" numFmtId="0" xfId="0" applyFont="1" applyFill="1" applyBorder="1" applyAlignment="1">
      <alignment horizontal="left" vertical="center" wrapText="1"/>
    </xf>
    <xf fontId="0" fillId="0" borderId="14" numFmtId="0" xfId="0" applyBorder="1"/>
    <xf fontId="29" fillId="39" borderId="9" numFmtId="0" xfId="0" applyFont="1" applyFill="1" applyBorder="1" applyAlignment="1">
      <alignment horizontal="center" vertical="center" wrapText="1"/>
    </xf>
    <xf fontId="29" fillId="39" borderId="9" numFmtId="168" xfId="0" applyNumberFormat="1" applyFont="1" applyFill="1" applyBorder="1" applyAlignment="1">
      <alignment horizontal="center" vertical="center" wrapText="1"/>
    </xf>
    <xf fontId="29" fillId="39" borderId="9" numFmtId="10" xfId="0" applyNumberFormat="1" applyFont="1" applyFill="1" applyBorder="1" applyAlignment="1">
      <alignment horizontal="center" vertical="center" wrapText="1"/>
    </xf>
    <xf fontId="30" fillId="40" borderId="11" numFmtId="0" xfId="0" applyFont="1" applyFill="1" applyBorder="1" applyAlignment="1">
      <alignment horizontal="left" vertical="center" wrapText="1"/>
    </xf>
    <xf fontId="31" fillId="41" borderId="15" numFmtId="0" xfId="0" applyFont="1" applyFill="1" applyBorder="1" applyAlignment="1">
      <alignment horizontal="center" vertical="center"/>
    </xf>
    <xf fontId="0" fillId="0" borderId="16" numFmtId="0" xfId="0" applyBorder="1"/>
    <xf fontId="32" fillId="42" borderId="15" numFmtId="0" xfId="0" applyFont="1" applyFill="1" applyBorder="1" applyAlignment="1">
      <alignment horizontal="left" vertical="top" wrapText="1"/>
    </xf>
    <xf fontId="33" fillId="43" borderId="15" numFmtId="0" xfId="0" applyFont="1" applyFill="1" applyBorder="1" applyAlignment="1">
      <alignment horizontal="left" vertical="center" wrapText="1"/>
    </xf>
    <xf fontId="34" fillId="44" borderId="17" numFmtId="0" xfId="0" applyFont="1" applyFill="1" applyBorder="1" applyAlignment="1">
      <alignment horizontal="center" vertical="center" wrapText="1"/>
    </xf>
    <xf fontId="0" fillId="44" borderId="17" numFmtId="0" xfId="0" applyFill="1" applyBorder="1"/>
    <xf fontId="32" fillId="45" borderId="17" numFmtId="0" xfId="0" applyFont="1" applyFill="1" applyBorder="1" applyAlignment="1">
      <alignment horizontal="left" vertical="center"/>
    </xf>
    <xf fontId="35" fillId="45" borderId="17" numFmtId="0" xfId="0" applyFont="1" applyFill="1" applyBorder="1" applyAlignment="1">
      <alignment horizontal="left" vertical="center" wrapText="1"/>
    </xf>
    <xf fontId="32" fillId="45" borderId="17" numFmtId="169" xfId="0" applyNumberFormat="1" applyFont="1" applyFill="1" applyBorder="1" applyAlignment="1">
      <alignment horizontal="right" vertical="center"/>
    </xf>
    <xf fontId="0" fillId="45" borderId="17" numFmtId="0" xfId="0" applyFill="1" applyBorder="1"/>
    <xf fontId="36" fillId="45" borderId="17" numFmtId="0" xfId="0" applyFont="1" applyFill="1" applyBorder="1" applyAlignment="1">
      <alignment horizontal="left" vertical="center" wrapText="1"/>
    </xf>
    <xf fontId="32" fillId="46" borderId="17" numFmtId="0" xfId="0" applyFont="1" applyFill="1" applyBorder="1" applyAlignment="1">
      <alignment horizontal="left" vertical="center" wrapText="1"/>
    </xf>
    <xf fontId="35" fillId="46" borderId="17" numFmtId="0" xfId="0" applyFont="1" applyFill="1" applyBorder="1" applyAlignment="1">
      <alignment horizontal="left" vertical="top" wrapText="1"/>
    </xf>
    <xf fontId="32" fillId="46" borderId="17" numFmtId="170" xfId="0" applyNumberFormat="1" applyFont="1" applyFill="1" applyBorder="1" applyAlignment="1">
      <alignment horizontal="right" vertical="center"/>
    </xf>
    <xf fontId="32" fillId="46" borderId="17" numFmtId="10" xfId="0" applyNumberFormat="1" applyFont="1" applyFill="1" applyBorder="1" applyAlignment="1">
      <alignment horizontal="center" vertical="center"/>
    </xf>
    <xf fontId="0" fillId="46" borderId="17" numFmtId="0" xfId="0" applyFill="1" applyBorder="1"/>
    <xf fontId="36" fillId="46" borderId="17" numFmtId="0" xfId="0" applyFont="1" applyFill="1" applyBorder="1" applyAlignment="1">
      <alignment horizontal="left" vertical="top" wrapText="1"/>
    </xf>
    <xf fontId="33" fillId="41" borderId="17" numFmtId="0" xfId="0" applyFont="1" applyFill="1" applyBorder="1" applyAlignment="1">
      <alignment horizontal="left" vertical="center"/>
    </xf>
    <xf fontId="34" fillId="41" borderId="17" numFmtId="0" xfId="0" applyFont="1" applyFill="1" applyBorder="1" applyAlignment="1">
      <alignment horizontal="left" vertical="center"/>
    </xf>
    <xf fontId="33" fillId="41" borderId="17" numFmtId="170" xfId="0" applyNumberFormat="1" applyFont="1" applyFill="1" applyBorder="1" applyAlignment="1">
      <alignment horizontal="right" vertical="center"/>
    </xf>
    <xf fontId="34" fillId="41" borderId="17" numFmtId="10" xfId="0" applyNumberFormat="1" applyFont="1" applyFill="1" applyBorder="1" applyAlignment="1">
      <alignment horizontal="center" vertical="center"/>
    </xf>
    <xf fontId="0" fillId="41" borderId="17" numFmtId="0" xfId="0" applyFill="1" applyBorder="1"/>
    <xf fontId="37" fillId="41" borderId="17" numFmtId="0" xfId="0" applyFont="1" applyFill="1" applyBorder="1" applyAlignment="1">
      <alignment horizontal="left" vertical="center" wrapText="1"/>
    </xf>
    <xf fontId="32" fillId="45" borderId="17" numFmtId="170" xfId="0" applyNumberFormat="1" applyFont="1" applyFill="1" applyBorder="1" applyAlignment="1">
      <alignment horizontal="right" vertical="center"/>
    </xf>
    <xf fontId="32" fillId="47" borderId="17" numFmtId="0" xfId="0" applyFont="1" applyFill="1" applyBorder="1" applyAlignment="1">
      <alignment horizontal="left" vertical="center"/>
    </xf>
    <xf fontId="35" fillId="47" borderId="17" numFmtId="0" xfId="0" applyFont="1" applyFill="1" applyBorder="1" applyAlignment="1">
      <alignment horizontal="left" vertical="center" wrapText="1"/>
    </xf>
    <xf fontId="38" fillId="47" borderId="17" numFmtId="169" xfId="0" applyNumberFormat="1" applyFont="1" applyFill="1" applyBorder="1" applyAlignment="1">
      <alignment horizontal="right" vertical="center"/>
    </xf>
    <xf fontId="32" fillId="47" borderId="17" numFmtId="10" xfId="0" applyNumberFormat="1" applyFont="1" applyFill="1" applyBorder="1" applyAlignment="1">
      <alignment horizontal="center" vertical="center"/>
    </xf>
    <xf fontId="0" fillId="47" borderId="17" numFmtId="0" xfId="0" applyFill="1" applyBorder="1"/>
    <xf fontId="36" fillId="47" borderId="17" numFmtId="0" xfId="0" applyFont="1" applyFill="1" applyBorder="1" applyAlignment="1">
      <alignment horizontal="left" vertical="center" wrapText="1"/>
    </xf>
    <xf fontId="39" fillId="48" borderId="9" numFmtId="0" xfId="0" applyFont="1" applyFill="1" applyBorder="1" applyAlignment="1">
      <alignment horizontal="left" vertical="center" wrapText="1"/>
    </xf>
    <xf fontId="22" fillId="38" borderId="11" numFmtId="0" xfId="0" applyFont="1" applyFill="1" applyBorder="1" applyAlignment="1">
      <alignment horizontal="left" vertical="center" wrapText="1"/>
    </xf>
    <xf fontId="0" fillId="0" borderId="18" numFmtId="0" xfId="0" applyBorder="1"/>
    <xf fontId="29" fillId="48" borderId="9" numFmtId="0" xfId="0" applyFont="1" applyFill="1" applyBorder="1" applyAlignment="1">
      <alignment horizontal="left" vertical="center" wrapText="1"/>
    </xf>
    <xf fontId="23" fillId="35" borderId="11" numFmtId="0" xfId="0" applyFont="1" applyFill="1" applyBorder="1" applyAlignment="1">
      <alignment horizontal="left" vertical="center" wrapText="1"/>
    </xf>
    <xf fontId="26" fillId="36" borderId="11" numFmtId="0" xfId="0" applyFont="1" applyFill="1" applyBorder="1" applyAlignment="1">
      <alignment horizontal="center" vertical="center" wrapText="1"/>
    </xf>
    <xf fontId="24" fillId="49" borderId="11" numFmtId="0" xfId="0" applyFont="1" applyFill="1" applyBorder="1" applyAlignment="1">
      <alignment horizontal="left" vertical="center" wrapText="1"/>
    </xf>
    <xf fontId="26" fillId="36" borderId="11" numFmtId="4" xfId="0" applyNumberFormat="1" applyFont="1" applyFill="1" applyBorder="1" applyAlignment="1">
      <alignment horizontal="center" vertical="center" wrapText="1"/>
    </xf>
    <xf fontId="24" fillId="49" borderId="11" numFmtId="0" xfId="0" applyFont="1" applyFill="1" applyBorder="1" applyAlignment="1">
      <alignment horizontal="center" vertical="center" wrapText="1"/>
    </xf>
    <xf fontId="26" fillId="37" borderId="11" numFmtId="171" xfId="0" applyNumberFormat="1" applyFont="1" applyFill="1" applyBorder="1" applyAlignment="1">
      <alignment horizontal="center" vertical="center" wrapText="1"/>
    </xf>
    <xf fontId="23" fillId="48" borderId="11" numFmtId="0" xfId="0" applyFont="1" applyFill="1" applyBorder="1" applyAlignment="1">
      <alignment horizontal="left" vertical="center" wrapText="1"/>
    </xf>
    <xf fontId="23" fillId="48" borderId="11" numFmtId="0" xfId="0" applyFont="1" applyFill="1" applyBorder="1" applyAlignment="1">
      <alignment horizontal="center" vertical="center" wrapText="1"/>
    </xf>
    <xf fontId="24" fillId="38" borderId="11" numFmtId="0" xfId="0" applyFont="1" applyFill="1" applyBorder="1" applyAlignment="1">
      <alignment horizontal="left" vertical="center" wrapText="1"/>
    </xf>
    <xf fontId="24" fillId="38" borderId="11" numFmtId="3" xfId="0" applyNumberFormat="1" applyFont="1" applyFill="1" applyBorder="1" applyAlignment="1">
      <alignment horizontal="center" vertical="center" wrapText="1"/>
    </xf>
    <xf fontId="24" fillId="38" borderId="11" numFmtId="168" xfId="0" applyNumberFormat="1" applyFont="1" applyFill="1" applyBorder="1" applyAlignment="1">
      <alignment horizontal="center" vertical="center" wrapText="1"/>
    </xf>
    <xf fontId="24" fillId="49" borderId="11" numFmtId="3" xfId="0" applyNumberFormat="1" applyFont="1" applyFill="1" applyBorder="1" applyAlignment="1">
      <alignment horizontal="center" vertical="center" wrapText="1"/>
    </xf>
    <xf fontId="24" fillId="49" borderId="11" numFmtId="168" xfId="0" applyNumberFormat="1" applyFont="1" applyFill="1" applyBorder="1" applyAlignment="1">
      <alignment horizontal="center" vertical="center" wrapText="1"/>
    </xf>
    <xf fontId="23" fillId="48" borderId="9" numFmtId="0" xfId="0" applyFont="1" applyFill="1" applyBorder="1" applyAlignment="1">
      <alignment horizontal="left" vertical="center" wrapText="1"/>
    </xf>
    <xf fontId="23" fillId="48" borderId="9" numFmtId="168" xfId="0" applyNumberFormat="1" applyFont="1" applyFill="1" applyBorder="1" applyAlignment="1">
      <alignment horizontal="center" vertical="center" wrapText="1"/>
    </xf>
    <xf fontId="24" fillId="38" borderId="11" numFmtId="171" xfId="0" applyNumberFormat="1" applyFont="1" applyFill="1" applyBorder="1" applyAlignment="1">
      <alignment horizontal="center" vertical="center" wrapText="1"/>
    </xf>
    <xf fontId="26" fillId="38" borderId="11" numFmtId="168" xfId="0" applyNumberFormat="1" applyFont="1" applyFill="1" applyBorder="1" applyAlignment="1">
      <alignment horizontal="center" vertical="center" wrapText="1"/>
    </xf>
    <xf fontId="24" fillId="49" borderId="11" numFmtId="171" xfId="0" applyNumberFormat="1" applyFont="1" applyFill="1" applyBorder="1" applyAlignment="1">
      <alignment horizontal="center" vertical="center" wrapText="1"/>
    </xf>
    <xf fontId="29" fillId="33" borderId="9" numFmtId="0" xfId="0" applyFont="1" applyFill="1" applyBorder="1" applyAlignment="1">
      <alignment horizontal="left" vertical="center" wrapText="1"/>
    </xf>
    <xf fontId="29" fillId="33" borderId="9" numFmtId="168" xfId="0" applyNumberFormat="1" applyFont="1" applyFill="1" applyBorder="1" applyAlignment="1">
      <alignment horizontal="center" vertical="center" wrapText="1"/>
    </xf>
    <xf fontId="40" fillId="38" borderId="11" numFmtId="0" xfId="0" applyFont="1" applyFill="1" applyBorder="1" applyAlignment="1">
      <alignment wrapText="1"/>
    </xf>
    <xf fontId="31" fillId="41" borderId="16" numFmtId="0" xfId="0" applyFont="1" applyFill="1" applyBorder="1" applyAlignment="1">
      <alignment horizontal="center" vertical="center"/>
    </xf>
    <xf fontId="32" fillId="42" borderId="15" numFmtId="0" xfId="0" applyFont="1" applyFill="1" applyBorder="1" applyAlignment="1">
      <alignment horizontal="center" vertical="top" wrapText="1"/>
    </xf>
    <xf fontId="32" fillId="42" borderId="16" numFmtId="0" xfId="0" applyFont="1" applyFill="1" applyBorder="1" applyAlignment="1">
      <alignment horizontal="center" vertical="top" wrapText="1"/>
    </xf>
    <xf fontId="32" fillId="46" borderId="17" numFmtId="0" xfId="0" applyFont="1" applyFill="1" applyBorder="1" applyAlignment="1">
      <alignment horizontal="center" vertical="center"/>
    </xf>
    <xf fontId="32" fillId="41" borderId="17" numFmtId="0" xfId="0" applyFont="1" applyFill="1" applyBorder="1" applyAlignment="1">
      <alignment horizontal="left" vertical="center"/>
    </xf>
    <xf fontId="33" fillId="43" borderId="15" numFmtId="0" xfId="0" applyFont="1" applyFill="1" applyBorder="1" applyAlignment="1">
      <alignment horizontal="left" vertical="center"/>
    </xf>
    <xf fontId="32" fillId="46" borderId="17" numFmtId="0" xfId="0" applyFont="1" applyFill="1" applyBorder="1" applyAlignment="1">
      <alignment horizontal="left" vertical="center"/>
    </xf>
    <xf fontId="34" fillId="41" borderId="17" numFmtId="0" xfId="0" applyFont="1" applyFill="1" applyBorder="1" applyAlignment="1">
      <alignment horizontal="left" vertical="center" wrapText="1"/>
    </xf>
    <xf fontId="34" fillId="41" borderId="17" numFmtId="170" xfId="0" applyNumberFormat="1" applyFont="1" applyFill="1" applyBorder="1" applyAlignment="1">
      <alignment horizontal="right" vertical="center"/>
    </xf>
    <xf fontId="41" fillId="41" borderId="17" numFmtId="0" xfId="0" applyFont="1" applyFill="1" applyBorder="1" applyAlignment="1">
      <alignment horizontal="left" vertical="top" wrapText="1"/>
    </xf>
    <xf fontId="35" fillId="46" borderId="17" numFmtId="0" xfId="0" applyFont="1" applyFill="1" applyBorder="1" applyAlignment="1">
      <alignment horizontal="left" vertical="center" wrapText="1"/>
    </xf>
    <xf fontId="36" fillId="45" borderId="15" numFmtId="0" xfId="0" applyFont="1" applyFill="1" applyBorder="1" applyAlignment="1">
      <alignment horizontal="left" vertical="center" wrapText="1"/>
    </xf>
    <xf fontId="34" fillId="43" borderId="17" numFmtId="0" xfId="0" applyFont="1" applyFill="1" applyBorder="1" applyAlignment="1">
      <alignment horizontal="center" vertical="center" wrapText="1"/>
    </xf>
    <xf fontId="42" fillId="50" borderId="17" numFmtId="10" xfId="0" applyNumberFormat="1" applyFont="1" applyFill="1" applyBorder="1" applyAlignment="1">
      <alignment horizontal="center" vertical="center"/>
    </xf>
    <xf fontId="43" fillId="45" borderId="17" numFmtId="0" xfId="0" applyFont="1" applyFill="1" applyBorder="1" applyAlignment="1">
      <alignment horizontal="left" vertical="center"/>
    </xf>
    <xf fontId="43" fillId="45" borderId="17" numFmtId="10" xfId="0" applyNumberFormat="1" applyFont="1" applyFill="1" applyBorder="1" applyAlignment="1">
      <alignment horizontal="center" vertical="center"/>
    </xf>
    <xf fontId="44" fillId="41" borderId="17" numFmtId="10" xfId="0" applyNumberFormat="1" applyFont="1" applyFill="1" applyBorder="1" applyAlignment="1">
      <alignment horizontal="center" vertic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Relationship  Id="rId4" Type="http://schemas.openxmlformats.org/officeDocument/2006/relationships/worksheet" Target="worksheets/sheet4.xml"/><Relationship  Id="rId5" Type="http://schemas.openxmlformats.org/officeDocument/2006/relationships/theme" Target="theme/theme1.xml"/><Relationship  Id="rId6" Type="http://schemas.openxmlformats.org/officeDocument/2006/relationships/sharedStrings" Target="sharedStrings.xml"/><Relationship  Id="rId7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90" workbookViewId="0">
      <pane xSplit="1" ySplit="3" topLeftCell="B4" activePane="bottomRight" state="frozen"/>
      <selection activeCell="F52" activeCellId="0" sqref="F52"/>
    </sheetView>
  </sheetViews>
  <sheetFormatPr defaultColWidth="9" defaultRowHeight="14.25"/>
  <cols>
    <col customWidth="1" min="1" max="1" width="2"/>
    <col customWidth="1" min="2" max="2" width="6"/>
    <col customWidth="1" min="3" max="3" width="15.714285714285699"/>
    <col customWidth="1" min="4" max="4" width="44"/>
    <col customWidth="1" min="5" max="5" width="7"/>
    <col customWidth="1" min="6" max="6" width="16"/>
    <col customWidth="1" min="7" max="7" width="9"/>
    <col customWidth="1" min="8" max="8" width="11"/>
    <col customWidth="1" min="9" max="9" width="16"/>
    <col customWidth="1" min="10" max="10" width="14.8571428571429"/>
    <col customWidth="1" min="11" max="11" width="2"/>
  </cols>
  <sheetData>
    <row r="1" ht="36" customHeight="1">
      <c r="B1" s="1" t="s">
        <v>0</v>
      </c>
      <c r="C1" s="2"/>
      <c r="D1" s="2"/>
      <c r="E1" s="2"/>
      <c r="F1" s="2"/>
      <c r="G1" s="2"/>
      <c r="H1" s="2"/>
      <c r="I1" s="2"/>
      <c r="J1" s="2"/>
    </row>
    <row r="2" ht="30" customHeight="1">
      <c r="B2" s="3" t="s">
        <v>1</v>
      </c>
      <c r="C2" s="4"/>
      <c r="D2" s="4"/>
      <c r="E2" s="4"/>
      <c r="F2" s="4"/>
      <c r="G2" s="4"/>
      <c r="H2" s="4"/>
      <c r="I2" s="4"/>
      <c r="J2" s="4"/>
    </row>
    <row r="3" ht="42" customHeight="1"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ht="27.949999999999999" customHeight="1">
      <c r="B4" s="6" t="s">
        <v>11</v>
      </c>
      <c r="C4" s="2"/>
      <c r="D4" s="2"/>
      <c r="E4" s="2"/>
      <c r="F4" s="2"/>
      <c r="G4" s="2"/>
      <c r="H4" s="2"/>
      <c r="I4" s="2"/>
      <c r="J4" s="2"/>
    </row>
    <row r="5" ht="20.100000000000001" customHeight="1">
      <c r="B5" s="7">
        <v>1</v>
      </c>
      <c r="C5" s="8" t="s">
        <v>12</v>
      </c>
      <c r="D5" s="9" t="s">
        <v>13</v>
      </c>
      <c r="E5" s="7" t="s">
        <v>14</v>
      </c>
      <c r="F5" s="10">
        <v>90.380300000000005</v>
      </c>
      <c r="G5" s="11">
        <f t="shared" ref="G5:G10" si="0">F5/$F$11</f>
        <v>0.25320992972878198</v>
      </c>
      <c r="H5" s="11">
        <f>G5</f>
        <v>0.25320992972878198</v>
      </c>
      <c r="I5" s="12"/>
      <c r="J5" s="11" t="e">
        <f t="shared" ref="J5:J10" si="1">I5/SUM($I$5:$I$10)</f>
        <v>#DIV/0!</v>
      </c>
    </row>
    <row r="6" ht="20.100000000000001" customHeight="1">
      <c r="B6" s="13">
        <v>1</v>
      </c>
      <c r="C6" s="14" t="s">
        <v>12</v>
      </c>
      <c r="D6" s="15" t="s">
        <v>15</v>
      </c>
      <c r="E6" s="13" t="s">
        <v>14</v>
      </c>
      <c r="F6" s="16">
        <v>23.899100000000001</v>
      </c>
      <c r="G6" s="17">
        <f t="shared" si="0"/>
        <v>6.6955845815748996e-002</v>
      </c>
      <c r="H6" s="17">
        <f t="shared" ref="H6:H9" si="2">H5+G6</f>
        <v>0.32016577554453102</v>
      </c>
      <c r="I6" s="12"/>
      <c r="J6" s="17" t="e">
        <f t="shared" si="1"/>
        <v>#DIV/0!</v>
      </c>
    </row>
    <row r="7" ht="20.100000000000001" customHeight="1">
      <c r="B7" s="7">
        <v>1</v>
      </c>
      <c r="C7" s="8" t="s">
        <v>12</v>
      </c>
      <c r="D7" s="9" t="s">
        <v>16</v>
      </c>
      <c r="E7" s="7" t="s">
        <v>14</v>
      </c>
      <c r="F7" s="10">
        <v>116.2032</v>
      </c>
      <c r="G7" s="11">
        <f t="shared" si="0"/>
        <v>0.32555550386820598</v>
      </c>
      <c r="H7" s="11">
        <f t="shared" si="2"/>
        <v>0.64572127941273705</v>
      </c>
      <c r="I7" s="12"/>
      <c r="J7" s="11" t="e">
        <f t="shared" si="1"/>
        <v>#DIV/0!</v>
      </c>
    </row>
    <row r="8" ht="20.100000000000001" customHeight="1">
      <c r="B8" s="13">
        <v>1</v>
      </c>
      <c r="C8" s="14" t="s">
        <v>12</v>
      </c>
      <c r="D8" s="15" t="s">
        <v>17</v>
      </c>
      <c r="E8" s="13" t="s">
        <v>14</v>
      </c>
      <c r="F8" s="16">
        <v>76.2577</v>
      </c>
      <c r="G8" s="17">
        <f t="shared" si="0"/>
        <v>0.213643978370049</v>
      </c>
      <c r="H8" s="17">
        <f t="shared" si="2"/>
        <v>0.85936525778278605</v>
      </c>
      <c r="I8" s="12"/>
      <c r="J8" s="17" t="e">
        <f t="shared" si="1"/>
        <v>#DIV/0!</v>
      </c>
    </row>
    <row r="9" ht="20.100000000000001" customHeight="1">
      <c r="B9" s="7">
        <v>1</v>
      </c>
      <c r="C9" s="8" t="s">
        <v>18</v>
      </c>
      <c r="D9" s="9" t="s">
        <v>19</v>
      </c>
      <c r="E9" s="7" t="s">
        <v>14</v>
      </c>
      <c r="F9" s="10">
        <v>37.854300000000002</v>
      </c>
      <c r="G9" s="11">
        <f t="shared" si="0"/>
        <v>0.10605280844312601</v>
      </c>
      <c r="H9" s="11">
        <f t="shared" si="2"/>
        <v>0.96541806622591197</v>
      </c>
      <c r="I9" s="12"/>
      <c r="J9" s="11" t="e">
        <f t="shared" si="1"/>
        <v>#DIV/0!</v>
      </c>
    </row>
    <row r="10" ht="21.949999999999999" customHeight="1">
      <c r="B10" s="18">
        <v>1</v>
      </c>
      <c r="C10" s="19" t="s">
        <v>20</v>
      </c>
      <c r="D10" s="20" t="s">
        <v>21</v>
      </c>
      <c r="E10" s="21" t="s">
        <v>14</v>
      </c>
      <c r="F10" s="22">
        <f>('MEMÓRIA DE CÁLCULO'!F111/31450)+('MEMÓRIA DE CÁLCULO'!F116/31450)+('MEMÓRIA DE CÁLCULO'!C121*'MEMÓRIA DE CÁLCULO'!C103*'MEMÓRIA DE CÁLCULO'!C104*('MEMÓRIA DE CÁLCULO'!C100/22)/5000)</f>
        <v>12.343613666454701</v>
      </c>
      <c r="G10" s="23">
        <f t="shared" si="0"/>
        <v>3.4581933774088199e-002</v>
      </c>
      <c r="H10" s="23">
        <f>H9+G10</f>
        <v>1</v>
      </c>
      <c r="I10" s="24"/>
      <c r="J10" s="23" t="e">
        <f t="shared" si="1"/>
        <v>#DIV/0!</v>
      </c>
    </row>
    <row r="11" ht="24" customHeight="1">
      <c r="B11" s="25" t="s">
        <v>22</v>
      </c>
      <c r="C11" s="2"/>
      <c r="D11" s="26"/>
      <c r="E11" s="27" t="s">
        <v>14</v>
      </c>
      <c r="F11" s="28">
        <f>SUM(F5:F10)</f>
        <v>356.938213666455</v>
      </c>
      <c r="G11" s="29">
        <f>SUM(G5:G10)</f>
        <v>1</v>
      </c>
      <c r="H11" s="29">
        <f>H10</f>
        <v>1</v>
      </c>
      <c r="I11" s="28">
        <f>SUM(I5:I10)</f>
        <v>0</v>
      </c>
      <c r="J11" s="29" t="e">
        <f>SUM(J5:J10)</f>
        <v>#DIV/0!</v>
      </c>
    </row>
    <row r="12" ht="30" customHeight="1">
      <c r="B12" s="30" t="s">
        <v>23</v>
      </c>
      <c r="C12" s="4"/>
      <c r="D12" s="4"/>
      <c r="E12" s="4"/>
      <c r="F12" s="4"/>
      <c r="G12" s="4"/>
      <c r="H12" s="4"/>
      <c r="I12" s="4"/>
      <c r="J12" s="4"/>
    </row>
    <row r="13" ht="15.75"/>
    <row r="14" ht="27.949999999999999" customHeight="1">
      <c r="B14" s="6" t="s">
        <v>24</v>
      </c>
      <c r="C14" s="2"/>
      <c r="D14" s="2"/>
      <c r="E14" s="2"/>
      <c r="F14" s="2"/>
      <c r="G14" s="2"/>
      <c r="H14" s="2"/>
      <c r="I14" s="2"/>
      <c r="J14" s="2"/>
    </row>
    <row r="15" ht="20.100000000000001" customHeight="1">
      <c r="B15" s="7">
        <v>2</v>
      </c>
      <c r="C15" s="8" t="s">
        <v>25</v>
      </c>
      <c r="D15" s="9" t="s">
        <v>13</v>
      </c>
      <c r="E15" s="7" t="s">
        <v>14</v>
      </c>
      <c r="F15" s="10">
        <v>96.140000000000001</v>
      </c>
      <c r="G15" s="11">
        <f t="shared" ref="G15:G20" si="3">F15/$F$21</f>
        <v>0.27570968979916899</v>
      </c>
      <c r="H15" s="11">
        <f>G15</f>
        <v>0.27570968979916899</v>
      </c>
      <c r="I15" s="12"/>
      <c r="J15" s="11" t="e">
        <f t="shared" ref="J15:J20" si="4">I15/SUM($I$15:$I$20)</f>
        <v>#DIV/0!</v>
      </c>
    </row>
    <row r="16" ht="20.100000000000001" customHeight="1">
      <c r="B16" s="13">
        <v>2</v>
      </c>
      <c r="C16" s="14" t="s">
        <v>25</v>
      </c>
      <c r="D16" s="15" t="s">
        <v>15</v>
      </c>
      <c r="E16" s="13" t="s">
        <v>14</v>
      </c>
      <c r="F16" s="16">
        <v>21.185099999999998</v>
      </c>
      <c r="G16" s="17">
        <f t="shared" si="3"/>
        <v>6.0754497080969097e-002</v>
      </c>
      <c r="H16" s="17">
        <f t="shared" ref="H16:H20" si="5">H15+G16</f>
        <v>0.33646418688013802</v>
      </c>
      <c r="I16" s="12"/>
      <c r="J16" s="17" t="e">
        <f t="shared" si="4"/>
        <v>#DIV/0!</v>
      </c>
    </row>
    <row r="17" ht="20.100000000000001" customHeight="1">
      <c r="B17" s="7">
        <v>2</v>
      </c>
      <c r="C17" s="8" t="s">
        <v>25</v>
      </c>
      <c r="D17" s="9" t="s">
        <v>16</v>
      </c>
      <c r="E17" s="7" t="s">
        <v>14</v>
      </c>
      <c r="F17" s="10">
        <v>96.140000000000001</v>
      </c>
      <c r="G17" s="11">
        <f t="shared" si="3"/>
        <v>0.27570968979916899</v>
      </c>
      <c r="H17" s="11">
        <f t="shared" si="5"/>
        <v>0.61217387667930701</v>
      </c>
      <c r="I17" s="12"/>
      <c r="J17" s="11" t="e">
        <f t="shared" si="4"/>
        <v>#DIV/0!</v>
      </c>
    </row>
    <row r="18" ht="20.100000000000001" customHeight="1">
      <c r="B18" s="13">
        <v>2</v>
      </c>
      <c r="C18" s="14" t="s">
        <v>25</v>
      </c>
      <c r="D18" s="15" t="s">
        <v>17</v>
      </c>
      <c r="E18" s="13" t="s">
        <v>14</v>
      </c>
      <c r="F18" s="16">
        <v>83.856099999999998</v>
      </c>
      <c r="G18" s="17">
        <f t="shared" si="3"/>
        <v>0.24048199832294601</v>
      </c>
      <c r="H18" s="17">
        <f t="shared" si="5"/>
        <v>0.85265587500225304</v>
      </c>
      <c r="I18" s="12"/>
      <c r="J18" s="17" t="e">
        <f t="shared" si="4"/>
        <v>#DIV/0!</v>
      </c>
    </row>
    <row r="19" ht="20.100000000000001" customHeight="1">
      <c r="B19" s="7">
        <v>2</v>
      </c>
      <c r="C19" s="8" t="s">
        <v>18</v>
      </c>
      <c r="D19" s="9" t="s">
        <v>19</v>
      </c>
      <c r="E19" s="7" t="s">
        <v>14</v>
      </c>
      <c r="F19" s="10">
        <v>37.854300000000002</v>
      </c>
      <c r="G19" s="11">
        <f t="shared" si="3"/>
        <v>0.10855832442858999</v>
      </c>
      <c r="H19" s="11">
        <f t="shared" si="5"/>
        <v>0.96121419943084296</v>
      </c>
      <c r="I19" s="12"/>
      <c r="J19" s="11" t="e">
        <f t="shared" si="4"/>
        <v>#DIV/0!</v>
      </c>
    </row>
    <row r="20" ht="21.949999999999999" customHeight="1">
      <c r="B20" s="18">
        <v>2</v>
      </c>
      <c r="C20" s="19" t="s">
        <v>26</v>
      </c>
      <c r="D20" s="20" t="s">
        <v>27</v>
      </c>
      <c r="E20" s="21" t="s">
        <v>14</v>
      </c>
      <c r="F20" s="22">
        <f>('MEMÓRIA DE CÁLCULO'!F111/31450)+('MEMÓRIA DE CÁLCULO'!F116/31450)+('MEMÓRIA DE CÁLCULO'!C122*'MEMÓRIA DE CÁLCULO'!C103*'MEMÓRIA DE CÁLCULO'!C104*('MEMÓRIA DE CÁLCULO'!C100/22)/4250)</f>
        <v>13.524613042925299</v>
      </c>
      <c r="G20" s="23">
        <f t="shared" si="3"/>
        <v>3.8785800569156599e-002</v>
      </c>
      <c r="H20" s="23">
        <f t="shared" si="5"/>
        <v>1</v>
      </c>
      <c r="I20" s="24"/>
      <c r="J20" s="23" t="e">
        <f t="shared" si="4"/>
        <v>#DIV/0!</v>
      </c>
    </row>
    <row r="21" ht="24" customHeight="1">
      <c r="B21" s="25" t="s">
        <v>28</v>
      </c>
      <c r="C21" s="2"/>
      <c r="D21" s="26"/>
      <c r="E21" s="27" t="s">
        <v>14</v>
      </c>
      <c r="F21" s="28">
        <f>SUM(F15:F20)</f>
        <v>348.70011304292501</v>
      </c>
      <c r="G21" s="29">
        <f>SUM(G15:G20)</f>
        <v>1</v>
      </c>
      <c r="H21" s="29">
        <f>H20</f>
        <v>1</v>
      </c>
      <c r="I21" s="28">
        <f>SUM(I15:I20)</f>
        <v>0</v>
      </c>
      <c r="J21" s="29" t="e">
        <f>SUM(J15:J20)</f>
        <v>#DIV/0!</v>
      </c>
    </row>
    <row r="22" ht="28.5" customHeight="1">
      <c r="B22" s="30" t="s">
        <v>29</v>
      </c>
      <c r="C22" s="4"/>
      <c r="D22" s="4"/>
      <c r="E22" s="4"/>
      <c r="F22" s="4"/>
      <c r="G22" s="4"/>
      <c r="H22" s="4"/>
      <c r="I22" s="4"/>
      <c r="J22" s="4"/>
    </row>
    <row r="23" ht="15.75"/>
    <row r="24" ht="27.949999999999999" customHeight="1">
      <c r="B24" s="6" t="s">
        <v>30</v>
      </c>
      <c r="C24" s="2"/>
      <c r="D24" s="2"/>
      <c r="E24" s="2"/>
      <c r="F24" s="2"/>
      <c r="G24" s="2"/>
      <c r="H24" s="2"/>
      <c r="I24" s="2"/>
      <c r="J24" s="2"/>
    </row>
    <row r="25" ht="20.100000000000001" customHeight="1">
      <c r="B25" s="7">
        <v>3</v>
      </c>
      <c r="C25" s="8" t="s">
        <v>31</v>
      </c>
      <c r="D25" s="9" t="s">
        <v>13</v>
      </c>
      <c r="E25" s="7" t="s">
        <v>32</v>
      </c>
      <c r="F25" s="10" t="e">
        <f>46.2891*#REF!</f>
        <v>#REF!</v>
      </c>
      <c r="G25" s="11" t="e">
        <f t="shared" ref="G25:G30" si="6">F25/$F$32</f>
        <v>#REF!</v>
      </c>
      <c r="H25" s="11" t="e">
        <f>G25</f>
        <v>#REF!</v>
      </c>
      <c r="I25" s="12"/>
      <c r="J25" s="11" t="e">
        <f t="shared" ref="J25:J30" si="7">I25/SUM($I$25:$I$31)</f>
        <v>#DIV/0!</v>
      </c>
    </row>
    <row r="26" ht="20.100000000000001" customHeight="1">
      <c r="B26" s="13">
        <v>3</v>
      </c>
      <c r="C26" s="14" t="s">
        <v>31</v>
      </c>
      <c r="D26" s="15" t="s">
        <v>15</v>
      </c>
      <c r="E26" s="13" t="s">
        <v>32</v>
      </c>
      <c r="F26" s="16" t="e">
        <f>15.1508*#REF!</f>
        <v>#REF!</v>
      </c>
      <c r="G26" s="17" t="e">
        <f t="shared" si="6"/>
        <v>#REF!</v>
      </c>
      <c r="H26" s="17" t="e">
        <f t="shared" ref="H26:H31" si="8">H25+G26</f>
        <v>#REF!</v>
      </c>
      <c r="I26" s="12"/>
      <c r="J26" s="17" t="e">
        <f t="shared" si="7"/>
        <v>#DIV/0!</v>
      </c>
    </row>
    <row r="27" ht="20.100000000000001" customHeight="1">
      <c r="B27" s="7">
        <v>3</v>
      </c>
      <c r="C27" s="8" t="s">
        <v>31</v>
      </c>
      <c r="D27" s="9" t="s">
        <v>33</v>
      </c>
      <c r="E27" s="7" t="s">
        <v>32</v>
      </c>
      <c r="F27" s="10" t="e">
        <f>5.4332*#REF!</f>
        <v>#REF!</v>
      </c>
      <c r="G27" s="11" t="e">
        <f t="shared" si="6"/>
        <v>#REF!</v>
      </c>
      <c r="H27" s="11" t="e">
        <f t="shared" si="8"/>
        <v>#REF!</v>
      </c>
      <c r="I27" s="12"/>
      <c r="J27" s="11" t="e">
        <f t="shared" si="7"/>
        <v>#DIV/0!</v>
      </c>
    </row>
    <row r="28" ht="20.100000000000001" customHeight="1">
      <c r="B28" s="13">
        <v>3</v>
      </c>
      <c r="C28" s="14" t="s">
        <v>31</v>
      </c>
      <c r="D28" s="15" t="s">
        <v>34</v>
      </c>
      <c r="E28" s="7" t="s">
        <v>32</v>
      </c>
      <c r="F28" s="16" t="e">
        <f>66.0462*#REF!</f>
        <v>#REF!</v>
      </c>
      <c r="G28" s="17" t="e">
        <f t="shared" si="6"/>
        <v>#REF!</v>
      </c>
      <c r="H28" s="17" t="e">
        <f t="shared" si="8"/>
        <v>#REF!</v>
      </c>
      <c r="I28" s="12"/>
      <c r="J28" s="17" t="e">
        <f t="shared" si="7"/>
        <v>#DIV/0!</v>
      </c>
    </row>
    <row r="29" ht="20.100000000000001" customHeight="1">
      <c r="B29" s="7">
        <v>3</v>
      </c>
      <c r="C29" s="8" t="s">
        <v>31</v>
      </c>
      <c r="D29" s="9" t="s">
        <v>35</v>
      </c>
      <c r="E29" s="7" t="s">
        <v>32</v>
      </c>
      <c r="F29" s="10" t="e">
        <f>160.7151*#REF!</f>
        <v>#REF!</v>
      </c>
      <c r="G29" s="11" t="e">
        <f t="shared" si="6"/>
        <v>#REF!</v>
      </c>
      <c r="H29" s="11" t="e">
        <f t="shared" si="8"/>
        <v>#REF!</v>
      </c>
      <c r="I29" s="12"/>
      <c r="J29" s="11" t="e">
        <f t="shared" si="7"/>
        <v>#DIV/0!</v>
      </c>
    </row>
    <row r="30" ht="20.100000000000001" customHeight="1">
      <c r="B30" s="13">
        <v>3</v>
      </c>
      <c r="C30" s="14" t="s">
        <v>36</v>
      </c>
      <c r="D30" s="15" t="s">
        <v>37</v>
      </c>
      <c r="E30" s="7" t="s">
        <v>32</v>
      </c>
      <c r="F30" s="16" t="e">
        <f>32.9022*#REF!</f>
        <v>#REF!</v>
      </c>
      <c r="G30" s="17" t="e">
        <f t="shared" si="6"/>
        <v>#REF!</v>
      </c>
      <c r="H30" s="17" t="e">
        <f t="shared" si="8"/>
        <v>#REF!</v>
      </c>
      <c r="I30" s="12"/>
      <c r="J30" s="17" t="e">
        <f t="shared" si="7"/>
        <v>#DIV/0!</v>
      </c>
    </row>
    <row r="31" ht="48" customHeight="1">
      <c r="B31" s="18">
        <v>3</v>
      </c>
      <c r="C31" s="19" t="s">
        <v>38</v>
      </c>
      <c r="D31" s="20" t="s">
        <v>39</v>
      </c>
      <c r="E31" s="7" t="s">
        <v>32</v>
      </c>
      <c r="F31" s="22">
        <v>0</v>
      </c>
      <c r="G31" s="23">
        <f>F31/2</f>
        <v>0</v>
      </c>
      <c r="H31" s="23" t="e">
        <f t="shared" si="8"/>
        <v>#REF!</v>
      </c>
      <c r="I31" s="12"/>
      <c r="J31" s="23" t="e">
        <f>I31/SUM(1:5)</f>
        <v>#DIV/0!</v>
      </c>
    </row>
    <row r="32" ht="24" customHeight="1">
      <c r="B32" s="25" t="s">
        <v>40</v>
      </c>
      <c r="C32" s="2"/>
      <c r="D32" s="26"/>
      <c r="E32" s="27" t="s">
        <v>14</v>
      </c>
      <c r="F32" s="28" t="e">
        <f>SUM(F25:F31)</f>
        <v>#REF!</v>
      </c>
      <c r="G32" s="29" t="e">
        <f>SUM(G25:G31)</f>
        <v>#REF!</v>
      </c>
      <c r="H32" s="29" t="e">
        <f>H31</f>
        <v>#REF!</v>
      </c>
      <c r="I32" s="28">
        <f>SUM(I25:I31)</f>
        <v>0</v>
      </c>
      <c r="J32" s="29" t="e">
        <f>SUM(J25:J31)</f>
        <v>#DIV/0!</v>
      </c>
    </row>
    <row r="33" ht="24.75" customHeight="1">
      <c r="B33" s="30" t="s">
        <v>41</v>
      </c>
      <c r="C33" s="4"/>
      <c r="D33" s="4"/>
      <c r="E33" s="4"/>
      <c r="F33" s="4"/>
      <c r="G33" s="4"/>
      <c r="H33" s="4"/>
      <c r="I33" s="4"/>
      <c r="J33" s="4"/>
    </row>
    <row r="34" ht="15.75"/>
    <row r="35" ht="27.949999999999999" customHeight="1">
      <c r="B35" s="6" t="s">
        <v>42</v>
      </c>
      <c r="C35" s="2"/>
      <c r="D35" s="2"/>
      <c r="E35" s="2"/>
      <c r="F35" s="2"/>
      <c r="G35" s="2"/>
      <c r="H35" s="2"/>
      <c r="I35" s="2"/>
      <c r="J35" s="2"/>
    </row>
    <row r="36" ht="20.100000000000001" customHeight="1">
      <c r="B36" s="7">
        <v>4</v>
      </c>
      <c r="C36" s="8" t="s">
        <v>43</v>
      </c>
      <c r="D36" s="9" t="s">
        <v>13</v>
      </c>
      <c r="E36" s="7" t="s">
        <v>14</v>
      </c>
      <c r="F36" s="10">
        <v>58.834400000000002</v>
      </c>
      <c r="G36" s="11">
        <f t="shared" ref="G36:G41" si="9">F36/$F$42</f>
        <v>0.22167926367493301</v>
      </c>
      <c r="H36" s="11">
        <f>G36</f>
        <v>0.22167926367493301</v>
      </c>
      <c r="I36" s="12"/>
      <c r="J36" s="11" t="e">
        <f t="shared" ref="J36:J41" si="10">I36/SUM($I$36:$I$41)</f>
        <v>#DIV/0!</v>
      </c>
    </row>
    <row r="37" ht="20.100000000000001" customHeight="1">
      <c r="B37" s="13">
        <v>4</v>
      </c>
      <c r="C37" s="14" t="s">
        <v>43</v>
      </c>
      <c r="D37" s="15" t="s">
        <v>15</v>
      </c>
      <c r="E37" s="13" t="s">
        <v>14</v>
      </c>
      <c r="F37" s="16">
        <v>13.6128</v>
      </c>
      <c r="G37" s="17">
        <f t="shared" si="9"/>
        <v>5.1291004591771598e-002</v>
      </c>
      <c r="H37" s="17">
        <f t="shared" ref="H37:H41" si="11">H36+G37</f>
        <v>0.27297026826670501</v>
      </c>
      <c r="I37" s="12"/>
      <c r="J37" s="17" t="e">
        <f t="shared" si="10"/>
        <v>#DIV/0!</v>
      </c>
    </row>
    <row r="38" ht="20.100000000000001" customHeight="1">
      <c r="B38" s="7">
        <v>4</v>
      </c>
      <c r="C38" s="8" t="s">
        <v>43</v>
      </c>
      <c r="D38" s="9" t="s">
        <v>16</v>
      </c>
      <c r="E38" s="7" t="s">
        <v>14</v>
      </c>
      <c r="F38" s="10">
        <v>58.834400000000002</v>
      </c>
      <c r="G38" s="11">
        <f t="shared" si="9"/>
        <v>0.22167926367493301</v>
      </c>
      <c r="H38" s="11">
        <f t="shared" si="11"/>
        <v>0.49464953194163802</v>
      </c>
      <c r="I38" s="12"/>
      <c r="J38" s="11" t="e">
        <f t="shared" si="10"/>
        <v>#DIV/0!</v>
      </c>
    </row>
    <row r="39" ht="20.100000000000001" customHeight="1">
      <c r="B39" s="13">
        <v>4</v>
      </c>
      <c r="C39" s="14" t="s">
        <v>43</v>
      </c>
      <c r="D39" s="15" t="s">
        <v>17</v>
      </c>
      <c r="E39" s="13" t="s">
        <v>14</v>
      </c>
      <c r="F39" s="16">
        <v>71.720500000000001</v>
      </c>
      <c r="G39" s="17">
        <f t="shared" si="9"/>
        <v>0.270232170811601</v>
      </c>
      <c r="H39" s="17">
        <f t="shared" si="11"/>
        <v>0.76488170275323797</v>
      </c>
      <c r="I39" s="12"/>
      <c r="J39" s="17" t="e">
        <f t="shared" si="10"/>
        <v>#DIV/0!</v>
      </c>
    </row>
    <row r="40" ht="20.100000000000001" customHeight="1">
      <c r="B40" s="7">
        <v>4</v>
      </c>
      <c r="C40" s="8" t="s">
        <v>18</v>
      </c>
      <c r="D40" s="9" t="s">
        <v>19</v>
      </c>
      <c r="E40" s="7" t="s">
        <v>14</v>
      </c>
      <c r="F40" s="10">
        <v>37.854300000000002</v>
      </c>
      <c r="G40" s="11">
        <f t="shared" si="9"/>
        <v>0.14262936905840801</v>
      </c>
      <c r="H40" s="11">
        <f t="shared" si="11"/>
        <v>0.90751107181164603</v>
      </c>
      <c r="I40" s="12"/>
      <c r="J40" s="11" t="e">
        <f t="shared" si="10"/>
        <v>#DIV/0!</v>
      </c>
    </row>
    <row r="41" ht="21.949999999999999" customHeight="1">
      <c r="B41" s="18">
        <v>4</v>
      </c>
      <c r="C41" s="19" t="s">
        <v>20</v>
      </c>
      <c r="D41" s="20" t="s">
        <v>21</v>
      </c>
      <c r="E41" s="21" t="s">
        <v>14</v>
      </c>
      <c r="F41" s="22">
        <f>('MEMÓRIA DE CÁLCULO'!F111/31450)+('MEMÓRIA DE CÁLCULO'!F116/31450)+('MEMÓRIA DE CÁLCULO'!C121*'MEMÓRIA DE CÁLCULO'!C103*'MEMÓRIA DE CÁLCULO'!C104*('MEMÓRIA DE CÁLCULO'!C100/22)/1200)</f>
        <v>24.546863366454701</v>
      </c>
      <c r="G41" s="23">
        <f t="shared" si="9"/>
        <v>9.2488928188353497e-002</v>
      </c>
      <c r="H41" s="23">
        <f t="shared" si="11"/>
        <v>1</v>
      </c>
      <c r="I41" s="24"/>
      <c r="J41" s="23" t="e">
        <f t="shared" si="10"/>
        <v>#DIV/0!</v>
      </c>
    </row>
    <row r="42" ht="24" customHeight="1">
      <c r="B42" s="25" t="s">
        <v>44</v>
      </c>
      <c r="C42" s="2"/>
      <c r="D42" s="26"/>
      <c r="E42" s="27" t="s">
        <v>14</v>
      </c>
      <c r="F42" s="28">
        <f>SUM(F36:F41)</f>
        <v>265.40326336645501</v>
      </c>
      <c r="G42" s="29">
        <f>SUM(G36:G41)</f>
        <v>1</v>
      </c>
      <c r="H42" s="29">
        <f>H41</f>
        <v>1</v>
      </c>
      <c r="I42" s="28">
        <f>SUM(I36:I41)</f>
        <v>0</v>
      </c>
      <c r="J42" s="29" t="e">
        <f>SUM(J36:J41)</f>
        <v>#DIV/0!</v>
      </c>
    </row>
    <row r="43" ht="31.5" customHeight="1">
      <c r="B43" s="30" t="s">
        <v>45</v>
      </c>
      <c r="C43" s="4"/>
      <c r="D43" s="4"/>
      <c r="E43" s="4"/>
      <c r="F43" s="4"/>
      <c r="G43" s="4"/>
      <c r="H43" s="4"/>
      <c r="I43" s="4"/>
      <c r="J43" s="4"/>
    </row>
    <row r="44" ht="15.75"/>
    <row r="45" ht="27.949999999999999" customHeight="1">
      <c r="B45" s="6" t="s">
        <v>46</v>
      </c>
      <c r="C45" s="2"/>
      <c r="D45" s="2"/>
      <c r="E45" s="2"/>
      <c r="F45" s="2"/>
      <c r="G45" s="2"/>
      <c r="H45" s="2"/>
      <c r="I45" s="2"/>
      <c r="J45" s="2"/>
    </row>
    <row r="46" ht="20.100000000000001" customHeight="1">
      <c r="B46" s="7">
        <v>5</v>
      </c>
      <c r="C46" s="8" t="s">
        <v>47</v>
      </c>
      <c r="D46" s="9" t="s">
        <v>13</v>
      </c>
      <c r="E46" s="7" t="s">
        <v>14</v>
      </c>
      <c r="F46" s="10">
        <v>118.9062</v>
      </c>
      <c r="G46" s="11">
        <f t="shared" ref="G46:G51" si="12">F46/$F$52</f>
        <v>0.26709240466572598</v>
      </c>
      <c r="H46" s="11">
        <f>G46</f>
        <v>0.26709240466572598</v>
      </c>
      <c r="I46" s="12"/>
      <c r="J46" s="11" t="e">
        <f t="shared" ref="J46:J51" si="13">I46/SUM($I$46:$I$51)</f>
        <v>#DIV/0!</v>
      </c>
    </row>
    <row r="47" ht="20.100000000000001" customHeight="1">
      <c r="B47" s="13">
        <v>5</v>
      </c>
      <c r="C47" s="14" t="s">
        <v>47</v>
      </c>
      <c r="D47" s="15" t="s">
        <v>15</v>
      </c>
      <c r="E47" s="13" t="s">
        <v>14</v>
      </c>
      <c r="F47" s="16">
        <v>26.201799999999999</v>
      </c>
      <c r="G47" s="17">
        <f t="shared" si="12"/>
        <v>5.8855650660524103e-002</v>
      </c>
      <c r="H47" s="17">
        <f t="shared" ref="H47:H51" si="14">H46+G47</f>
        <v>0.32594805532624999</v>
      </c>
      <c r="I47" s="12"/>
      <c r="J47" s="17" t="e">
        <f t="shared" si="13"/>
        <v>#DIV/0!</v>
      </c>
    </row>
    <row r="48" ht="20.100000000000001" customHeight="1">
      <c r="B48" s="7">
        <v>5</v>
      </c>
      <c r="C48" s="8" t="s">
        <v>47</v>
      </c>
      <c r="D48" s="9" t="s">
        <v>16</v>
      </c>
      <c r="E48" s="7" t="s">
        <v>14</v>
      </c>
      <c r="F48" s="10">
        <v>169.86600000000001</v>
      </c>
      <c r="G48" s="11">
        <f t="shared" si="12"/>
        <v>0.38156057809389399</v>
      </c>
      <c r="H48" s="11">
        <f t="shared" si="14"/>
        <v>0.70750863342014303</v>
      </c>
      <c r="I48" s="12"/>
      <c r="J48" s="11" t="e">
        <f t="shared" si="13"/>
        <v>#DIV/0!</v>
      </c>
    </row>
    <row r="49" ht="20.100000000000001" customHeight="1">
      <c r="B49" s="13">
        <v>5</v>
      </c>
      <c r="C49" s="14" t="s">
        <v>47</v>
      </c>
      <c r="D49" s="15" t="s">
        <v>17</v>
      </c>
      <c r="E49" s="13" t="s">
        <v>14</v>
      </c>
      <c r="F49" s="16">
        <v>74.235100000000003</v>
      </c>
      <c r="G49" s="17">
        <f t="shared" si="12"/>
        <v>0.16675018938962499</v>
      </c>
      <c r="H49" s="17">
        <f t="shared" si="14"/>
        <v>0.87425882280976797</v>
      </c>
      <c r="I49" s="12"/>
      <c r="J49" s="17" t="e">
        <f t="shared" si="13"/>
        <v>#DIV/0!</v>
      </c>
    </row>
    <row r="50" ht="20.100000000000001" customHeight="1">
      <c r="B50" s="7">
        <v>5</v>
      </c>
      <c r="C50" s="8" t="s">
        <v>18</v>
      </c>
      <c r="D50" s="9" t="s">
        <v>19</v>
      </c>
      <c r="E50" s="7" t="s">
        <v>14</v>
      </c>
      <c r="F50" s="10">
        <v>37.854300000000002</v>
      </c>
      <c r="G50" s="11">
        <f t="shared" si="12"/>
        <v>8.5030015372939194e-002</v>
      </c>
      <c r="H50" s="11">
        <f t="shared" si="14"/>
        <v>0.95928883818270705</v>
      </c>
      <c r="I50" s="12"/>
      <c r="J50" s="11" t="e">
        <f t="shared" si="13"/>
        <v>#DIV/0!</v>
      </c>
    </row>
    <row r="51" ht="21.949999999999999" customHeight="1">
      <c r="B51" s="18">
        <v>5</v>
      </c>
      <c r="C51" s="19" t="s">
        <v>20</v>
      </c>
      <c r="D51" s="20" t="s">
        <v>21</v>
      </c>
      <c r="E51" s="21" t="s">
        <v>14</v>
      </c>
      <c r="F51" s="22">
        <f>('MEMÓRIA DE CÁLCULO'!F111/31450)+('MEMÓRIA DE CÁLCULO'!F116/31450)+('MEMÓRIA DE CÁLCULO'!C121*'MEMÓRIA DE CÁLCULO'!C103*'MEMÓRIA DE CÁLCULO'!C104*('MEMÓRIA DE CÁLCULO'!C100/22)/2000)</f>
        <v>18.124100366454702</v>
      </c>
      <c r="G51" s="23">
        <f t="shared" si="12"/>
        <v>4.07111618172925e-002</v>
      </c>
      <c r="H51" s="23">
        <f t="shared" si="14"/>
        <v>1</v>
      </c>
      <c r="I51" s="24"/>
      <c r="J51" s="23" t="e">
        <f t="shared" si="13"/>
        <v>#DIV/0!</v>
      </c>
    </row>
    <row r="52" ht="24" customHeight="1">
      <c r="B52" s="25" t="s">
        <v>48</v>
      </c>
      <c r="C52" s="2"/>
      <c r="D52" s="26"/>
      <c r="E52" s="27" t="s">
        <v>14</v>
      </c>
      <c r="F52" s="28">
        <f>SUM(F46:F51)</f>
        <v>445.18750036645503</v>
      </c>
      <c r="G52" s="29">
        <f>SUM(G46:G51)</f>
        <v>1</v>
      </c>
      <c r="H52" s="29">
        <f>H51</f>
        <v>1</v>
      </c>
      <c r="I52" s="28">
        <f>SUM(I46:I51)</f>
        <v>0</v>
      </c>
      <c r="J52" s="29" t="e">
        <f>SUM(J46:J51)</f>
        <v>#DIV/0!</v>
      </c>
    </row>
    <row r="53" ht="25.5" customHeight="1">
      <c r="B53" s="30" t="s">
        <v>49</v>
      </c>
      <c r="C53" s="4"/>
      <c r="D53" s="4"/>
      <c r="E53" s="4"/>
      <c r="F53" s="4"/>
      <c r="G53" s="4"/>
      <c r="H53" s="4"/>
      <c r="I53" s="4"/>
      <c r="J53" s="4"/>
    </row>
    <row r="54" ht="15.75"/>
    <row r="55" ht="27.949999999999999" customHeight="1">
      <c r="B55" s="6" t="s">
        <v>50</v>
      </c>
      <c r="C55" s="2"/>
      <c r="D55" s="2"/>
      <c r="E55" s="2"/>
      <c r="F55" s="2"/>
      <c r="G55" s="2"/>
      <c r="H55" s="2"/>
      <c r="I55" s="2"/>
      <c r="J55" s="2"/>
    </row>
    <row r="56" ht="20.100000000000001" customHeight="1">
      <c r="B56" s="7">
        <v>6</v>
      </c>
      <c r="C56" s="8" t="s">
        <v>51</v>
      </c>
      <c r="D56" s="9" t="s">
        <v>13</v>
      </c>
      <c r="E56" s="7" t="s">
        <v>14</v>
      </c>
      <c r="F56" s="10">
        <v>55.943100000000001</v>
      </c>
      <c r="G56" s="11">
        <f t="shared" ref="G56:G61" si="15">F56/$F$62</f>
        <v>0.238691698727233</v>
      </c>
      <c r="H56" s="11">
        <f>G56</f>
        <v>0.238691698727233</v>
      </c>
      <c r="I56" s="12"/>
      <c r="J56" s="11" t="e">
        <f t="shared" ref="J56:J61" si="16">I56/SUM($I$56:$I$61)</f>
        <v>#DIV/0!</v>
      </c>
    </row>
    <row r="57" ht="20.100000000000001" customHeight="1">
      <c r="B57" s="13">
        <v>6</v>
      </c>
      <c r="C57" s="14" t="s">
        <v>51</v>
      </c>
      <c r="D57" s="15" t="s">
        <v>15</v>
      </c>
      <c r="E57" s="13" t="s">
        <v>14</v>
      </c>
      <c r="F57" s="16">
        <v>13.880699999999999</v>
      </c>
      <c r="G57" s="17">
        <f t="shared" si="15"/>
        <v>5.9224602542996503e-002</v>
      </c>
      <c r="H57" s="17">
        <f t="shared" ref="H57:H61" si="17">H56+G57</f>
        <v>0.29791630127023</v>
      </c>
      <c r="I57" s="12"/>
      <c r="J57" s="17" t="e">
        <f t="shared" si="16"/>
        <v>#DIV/0!</v>
      </c>
    </row>
    <row r="58" ht="20.100000000000001" customHeight="1">
      <c r="B58" s="7">
        <v>6</v>
      </c>
      <c r="C58" s="8" t="s">
        <v>51</v>
      </c>
      <c r="D58" s="9" t="s">
        <v>16</v>
      </c>
      <c r="E58" s="7" t="s">
        <v>14</v>
      </c>
      <c r="F58" s="10">
        <v>55.943100000000001</v>
      </c>
      <c r="G58" s="11">
        <f t="shared" si="15"/>
        <v>0.238691698727233</v>
      </c>
      <c r="H58" s="11">
        <f t="shared" si="17"/>
        <v>0.536607999997463</v>
      </c>
      <c r="I58" s="12"/>
      <c r="J58" s="11" t="e">
        <f t="shared" si="16"/>
        <v>#DIV/0!</v>
      </c>
    </row>
    <row r="59" ht="20.100000000000001" customHeight="1">
      <c r="B59" s="13">
        <v>6</v>
      </c>
      <c r="C59" s="14" t="s">
        <v>51</v>
      </c>
      <c r="D59" s="15" t="s">
        <v>17</v>
      </c>
      <c r="E59" s="13" t="s">
        <v>14</v>
      </c>
      <c r="F59" s="16">
        <v>49.417200000000001</v>
      </c>
      <c r="G59" s="17">
        <f t="shared" si="15"/>
        <v>0.21084772589190501</v>
      </c>
      <c r="H59" s="17">
        <f t="shared" si="17"/>
        <v>0.74745572588936804</v>
      </c>
      <c r="I59" s="12"/>
      <c r="J59" s="17" t="e">
        <f t="shared" si="16"/>
        <v>#DIV/0!</v>
      </c>
    </row>
    <row r="60" ht="20.100000000000001" customHeight="1">
      <c r="B60" s="7">
        <v>6</v>
      </c>
      <c r="C60" s="8" t="s">
        <v>18</v>
      </c>
      <c r="D60" s="9" t="s">
        <v>19</v>
      </c>
      <c r="E60" s="7" t="s">
        <v>14</v>
      </c>
      <c r="F60" s="10">
        <v>37.854300000000002</v>
      </c>
      <c r="G60" s="11">
        <f t="shared" si="15"/>
        <v>0.16151245052795299</v>
      </c>
      <c r="H60" s="11">
        <f t="shared" si="17"/>
        <v>0.90896817641732097</v>
      </c>
      <c r="I60" s="12"/>
      <c r="J60" s="11" t="e">
        <f t="shared" si="16"/>
        <v>#DIV/0!</v>
      </c>
    </row>
    <row r="61" ht="21.949999999999999" customHeight="1">
      <c r="B61" s="18">
        <v>6</v>
      </c>
      <c r="C61" s="19" t="s">
        <v>20</v>
      </c>
      <c r="D61" s="20" t="s">
        <v>21</v>
      </c>
      <c r="E61" s="21" t="s">
        <v>14</v>
      </c>
      <c r="F61" s="22">
        <f>('MEMÓRIA DE CÁLCULO'!F111/31450)+('MEMÓRIA DE CÁLCULO'!F116/31450)+('MEMÓRIA DE CÁLCULO'!C121*'MEMÓRIA DE CÁLCULO'!C103*'MEMÓRIA DE CÁLCULO'!C104*('MEMÓRIA DE CÁLCULO'!C100/22)/1500)</f>
        <v>21.3354818664547</v>
      </c>
      <c r="G61" s="23">
        <f t="shared" si="15"/>
        <v>9.1031823582678695e-002</v>
      </c>
      <c r="H61" s="23">
        <f t="shared" si="17"/>
        <v>1</v>
      </c>
      <c r="I61" s="24"/>
      <c r="J61" s="23" t="e">
        <f t="shared" si="16"/>
        <v>#DIV/0!</v>
      </c>
    </row>
    <row r="62" ht="24" customHeight="1">
      <c r="B62" s="25" t="s">
        <v>52</v>
      </c>
      <c r="C62" s="2"/>
      <c r="D62" s="26"/>
      <c r="E62" s="27" t="s">
        <v>14</v>
      </c>
      <c r="F62" s="28">
        <f>SUM(F56:F61)</f>
        <v>234.37388186645501</v>
      </c>
      <c r="G62" s="29">
        <f>SUM(G56:G61)</f>
        <v>1</v>
      </c>
      <c r="H62" s="29">
        <f>H61</f>
        <v>1</v>
      </c>
      <c r="I62" s="28">
        <f>SUM(I56:I61)</f>
        <v>0</v>
      </c>
      <c r="J62" s="29" t="e">
        <f>SUM(J56:J61)</f>
        <v>#DIV/0!</v>
      </c>
    </row>
    <row r="63" ht="29.25" customHeight="1">
      <c r="B63" s="30" t="s">
        <v>53</v>
      </c>
      <c r="C63" s="4"/>
      <c r="D63" s="4"/>
      <c r="E63" s="4"/>
      <c r="F63" s="4"/>
      <c r="G63" s="4"/>
      <c r="H63" s="4"/>
      <c r="I63" s="4"/>
      <c r="J63" s="4"/>
    </row>
    <row r="64" ht="15.75"/>
    <row r="65" ht="27.949999999999999" customHeight="1">
      <c r="B65" s="6" t="s">
        <v>54</v>
      </c>
      <c r="C65" s="2"/>
      <c r="D65" s="2"/>
      <c r="E65" s="2"/>
      <c r="F65" s="2"/>
      <c r="G65" s="2"/>
      <c r="H65" s="2"/>
      <c r="I65" s="2"/>
      <c r="J65" s="2"/>
    </row>
    <row r="66" ht="20.100000000000001" customHeight="1">
      <c r="B66" s="7">
        <v>7</v>
      </c>
      <c r="C66" s="8" t="s">
        <v>55</v>
      </c>
      <c r="D66" s="9" t="s">
        <v>13</v>
      </c>
      <c r="E66" s="7" t="s">
        <v>14</v>
      </c>
      <c r="F66" s="10">
        <v>35.309699999999999</v>
      </c>
      <c r="G66" s="11">
        <f t="shared" ref="G66:G71" si="18">F66/$F$72</f>
        <v>0.205755548086202</v>
      </c>
      <c r="H66" s="11">
        <f>G66</f>
        <v>0.205755548086202</v>
      </c>
      <c r="I66" s="12"/>
      <c r="J66" s="11" t="e">
        <f t="shared" ref="J66:J71" si="19">I66/SUM($I$66:$I$71)</f>
        <v>#DIV/0!</v>
      </c>
    </row>
    <row r="67" ht="20.100000000000001" customHeight="1">
      <c r="B67" s="13">
        <v>7</v>
      </c>
      <c r="C67" s="14" t="s">
        <v>55</v>
      </c>
      <c r="D67" s="15" t="s">
        <v>15</v>
      </c>
      <c r="E67" s="13" t="s">
        <v>14</v>
      </c>
      <c r="F67" s="16">
        <v>8.9479000000000006</v>
      </c>
      <c r="G67" s="17">
        <f t="shared" si="18"/>
        <v>5.2140915066413197e-002</v>
      </c>
      <c r="H67" s="17">
        <f t="shared" ref="H67:H71" si="20">H66+G67</f>
        <v>0.257896463152616</v>
      </c>
      <c r="I67" s="12"/>
      <c r="J67" s="17" t="e">
        <f t="shared" si="19"/>
        <v>#DIV/0!</v>
      </c>
    </row>
    <row r="68" ht="20.100000000000001" customHeight="1">
      <c r="B68" s="7">
        <v>7</v>
      </c>
      <c r="C68" s="8" t="s">
        <v>55</v>
      </c>
      <c r="D68" s="9" t="s">
        <v>16</v>
      </c>
      <c r="E68" s="7" t="s">
        <v>14</v>
      </c>
      <c r="F68" s="10">
        <v>35.309699999999999</v>
      </c>
      <c r="G68" s="11">
        <f t="shared" si="18"/>
        <v>0.205755548086202</v>
      </c>
      <c r="H68" s="11">
        <f t="shared" si="20"/>
        <v>0.463652011238818</v>
      </c>
      <c r="I68" s="12"/>
      <c r="J68" s="11" t="e">
        <f t="shared" si="19"/>
        <v>#DIV/0!</v>
      </c>
    </row>
    <row r="69" ht="20.100000000000001" customHeight="1">
      <c r="B69" s="13">
        <v>7</v>
      </c>
      <c r="C69" s="14" t="s">
        <v>55</v>
      </c>
      <c r="D69" s="15" t="s">
        <v>17</v>
      </c>
      <c r="E69" s="13" t="s">
        <v>14</v>
      </c>
      <c r="F69" s="16">
        <v>41.217399999999998</v>
      </c>
      <c r="G69" s="17">
        <f t="shared" si="18"/>
        <v>0.24018070750213799</v>
      </c>
      <c r="H69" s="17">
        <f t="shared" si="20"/>
        <v>0.70383271874095599</v>
      </c>
      <c r="I69" s="12"/>
      <c r="J69" s="17" t="e">
        <f t="shared" si="19"/>
        <v>#DIV/0!</v>
      </c>
    </row>
    <row r="70" ht="20.100000000000001" customHeight="1">
      <c r="B70" s="7">
        <v>7</v>
      </c>
      <c r="C70" s="8" t="s">
        <v>18</v>
      </c>
      <c r="D70" s="9" t="s">
        <v>19</v>
      </c>
      <c r="E70" s="7" t="s">
        <v>14</v>
      </c>
      <c r="F70" s="10">
        <v>37.854300000000002</v>
      </c>
      <c r="G70" s="11">
        <f t="shared" si="18"/>
        <v>0.220583359357897</v>
      </c>
      <c r="H70" s="11">
        <f t="shared" si="20"/>
        <v>0.92441607809885296</v>
      </c>
      <c r="I70" s="12"/>
      <c r="J70" s="11" t="e">
        <f t="shared" si="19"/>
        <v>#DIV/0!</v>
      </c>
    </row>
    <row r="71" ht="21.949999999999999" customHeight="1">
      <c r="B71" s="18">
        <v>7</v>
      </c>
      <c r="C71" s="19" t="s">
        <v>20</v>
      </c>
      <c r="D71" s="20" t="s">
        <v>21</v>
      </c>
      <c r="E71" s="21" t="s">
        <v>14</v>
      </c>
      <c r="F71" s="22">
        <f>('MEMÓRIA DE CÁLCULO'!F111/31450)+('MEMÓRIA DE CÁLCULO'!F116/31450)+('MEMÓRIA DE CÁLCULO'!C121*'MEMÓRIA DE CÁLCULO'!C103*'MEMÓRIA DE CÁLCULO'!C104*('MEMÓRIA DE CÁLCULO'!C100/22)/4300)</f>
        <v>12.970953308315201</v>
      </c>
      <c r="G71" s="23">
        <f t="shared" si="18"/>
        <v>7.5583921901146905e-002</v>
      </c>
      <c r="H71" s="23">
        <f t="shared" si="20"/>
        <v>1</v>
      </c>
      <c r="I71" s="24"/>
      <c r="J71" s="23" t="e">
        <f t="shared" si="19"/>
        <v>#DIV/0!</v>
      </c>
    </row>
    <row r="72" ht="24" customHeight="1">
      <c r="B72" s="25" t="s">
        <v>56</v>
      </c>
      <c r="C72" s="2"/>
      <c r="D72" s="26"/>
      <c r="E72" s="27" t="s">
        <v>14</v>
      </c>
      <c r="F72" s="28">
        <f>SUM(F66:F71)</f>
        <v>171.609953308315</v>
      </c>
      <c r="G72" s="29">
        <f>SUM(G66:G71)</f>
        <v>1</v>
      </c>
      <c r="H72" s="29">
        <f>H71</f>
        <v>1</v>
      </c>
      <c r="I72" s="28">
        <f>SUM(I66:I71)</f>
        <v>0</v>
      </c>
      <c r="J72" s="29" t="e">
        <f>SUM(J66:J71)</f>
        <v>#DIV/0!</v>
      </c>
    </row>
    <row r="73" ht="29.25" customHeight="1">
      <c r="B73" s="30" t="s">
        <v>57</v>
      </c>
      <c r="C73" s="4"/>
      <c r="D73" s="4"/>
      <c r="E73" s="4"/>
      <c r="F73" s="4"/>
      <c r="G73" s="4"/>
      <c r="H73" s="4"/>
      <c r="I73" s="4"/>
      <c r="J73" s="4"/>
    </row>
    <row r="74" ht="15.75"/>
  </sheetData>
  <mergeCells count="23">
    <mergeCell ref="B1:J1"/>
    <mergeCell ref="B2:J2"/>
    <mergeCell ref="B4:J4"/>
    <mergeCell ref="B11:D11"/>
    <mergeCell ref="B12:J12"/>
    <mergeCell ref="B14:J14"/>
    <mergeCell ref="B21:D21"/>
    <mergeCell ref="B22:J22"/>
    <mergeCell ref="B24:J24"/>
    <mergeCell ref="B32:D32"/>
    <mergeCell ref="B33:J33"/>
    <mergeCell ref="B35:J35"/>
    <mergeCell ref="B42:D42"/>
    <mergeCell ref="B43:J43"/>
    <mergeCell ref="B45:J45"/>
    <mergeCell ref="B52:D52"/>
    <mergeCell ref="B53:J53"/>
    <mergeCell ref="B55:J55"/>
    <mergeCell ref="B62:D62"/>
    <mergeCell ref="B63:J63"/>
    <mergeCell ref="B65:J65"/>
    <mergeCell ref="B72:D72"/>
    <mergeCell ref="B73:J73"/>
  </mergeCells>
  <printOptions headings="0" gridLines="0"/>
  <pageMargins left="0.75" right="0.75" top="1" bottom="1" header="0.5" footer="0.5"/>
  <pageSetup paperSize="9" scale="6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GridLines="0" zoomScale="90" workbookViewId="0">
      <pane xSplit="1" ySplit="3" topLeftCell="B4" activePane="bottomRight" state="frozen"/>
      <selection activeCell="F5" activeCellId="0" sqref="F5"/>
    </sheetView>
  </sheetViews>
  <sheetFormatPr defaultColWidth="8.71428571428571" defaultRowHeight="14.25" outlineLevelCol="6"/>
  <cols>
    <col customWidth="1" min="1" max="1" width="2"/>
    <col customWidth="1" min="2" max="2" width="50"/>
    <col customWidth="1" min="3" max="3" width="28"/>
    <col customWidth="1" min="4" max="4" width="18"/>
    <col customWidth="1" min="5" max="5" width="14"/>
    <col customWidth="1" min="6" max="6" width="12.285714285714301"/>
    <col customWidth="1" min="7" max="7" width="36"/>
  </cols>
  <sheetData>
    <row r="1" ht="24" customHeight="1">
      <c r="B1" s="31" t="s">
        <v>58</v>
      </c>
      <c r="C1" s="32"/>
      <c r="D1" s="32"/>
      <c r="E1" s="32"/>
      <c r="F1" s="32"/>
      <c r="G1" s="32"/>
    </row>
    <row r="2" ht="42" customHeight="1">
      <c r="B2" s="33" t="s">
        <v>59</v>
      </c>
      <c r="C2" s="32"/>
      <c r="D2" s="32"/>
      <c r="E2" s="32"/>
      <c r="F2" s="32"/>
      <c r="G2" s="32"/>
    </row>
    <row r="4" ht="27.75" customHeight="1">
      <c r="B4" s="34" t="s">
        <v>60</v>
      </c>
      <c r="C4" s="32"/>
      <c r="D4" s="32"/>
      <c r="E4" s="32"/>
      <c r="F4" s="32"/>
      <c r="G4" s="32"/>
    </row>
    <row r="5" ht="18" customHeight="1">
      <c r="B5" s="35" t="s">
        <v>61</v>
      </c>
      <c r="C5" s="35" t="s">
        <v>62</v>
      </c>
      <c r="D5" s="35" t="s">
        <v>63</v>
      </c>
      <c r="E5" s="35" t="s">
        <v>64</v>
      </c>
      <c r="F5" s="36"/>
      <c r="G5" s="35" t="s">
        <v>65</v>
      </c>
    </row>
    <row r="6">
      <c r="B6" s="37" t="s">
        <v>66</v>
      </c>
      <c r="C6" s="38" t="s">
        <v>67</v>
      </c>
      <c r="D6" s="39">
        <v>1291146.8907999999</v>
      </c>
      <c r="E6" s="40"/>
      <c r="F6" s="40"/>
      <c r="G6" s="41" t="s">
        <v>68</v>
      </c>
    </row>
    <row r="7">
      <c r="B7" s="42" t="s">
        <v>13</v>
      </c>
      <c r="C7" s="43" t="s">
        <v>67</v>
      </c>
      <c r="D7" s="44">
        <v>90.380300000000005</v>
      </c>
      <c r="E7" s="45">
        <f t="shared" ref="E7:E12" si="21">D7/$D$13</f>
        <v>0.26228008216031201</v>
      </c>
      <c r="F7" s="46"/>
      <c r="G7" s="47"/>
    </row>
    <row r="8">
      <c r="B8" s="42" t="s">
        <v>15</v>
      </c>
      <c r="C8" s="43" t="s">
        <v>67</v>
      </c>
      <c r="D8" s="44">
        <v>23.899100000000001</v>
      </c>
      <c r="E8" s="45">
        <f t="shared" si="21"/>
        <v>6.93542498924824e-002</v>
      </c>
      <c r="F8" s="46"/>
      <c r="G8" s="47"/>
    </row>
    <row r="9">
      <c r="B9" s="42" t="s">
        <v>33</v>
      </c>
      <c r="C9" s="43" t="s">
        <v>67</v>
      </c>
      <c r="D9" s="44">
        <v>0</v>
      </c>
      <c r="E9" s="45">
        <f t="shared" si="21"/>
        <v>0</v>
      </c>
      <c r="F9" s="46"/>
      <c r="G9" s="47"/>
    </row>
    <row r="10">
      <c r="B10" s="42" t="s">
        <v>34</v>
      </c>
      <c r="C10" s="43" t="s">
        <v>67</v>
      </c>
      <c r="D10" s="44">
        <v>116.2032</v>
      </c>
      <c r="E10" s="45">
        <f t="shared" si="21"/>
        <v>0.33721712412208399</v>
      </c>
      <c r="F10" s="46"/>
      <c r="G10" s="47"/>
    </row>
    <row r="11" ht="24" customHeight="1">
      <c r="B11" s="42" t="s">
        <v>69</v>
      </c>
      <c r="C11" s="43" t="s">
        <v>70</v>
      </c>
      <c r="D11" s="44">
        <v>76.2577</v>
      </c>
      <c r="E11" s="45">
        <f t="shared" si="21"/>
        <v>0.22129685143063799</v>
      </c>
      <c r="F11" s="46"/>
      <c r="G11" s="47"/>
    </row>
    <row r="12" ht="24.75" customHeight="1">
      <c r="B12" s="42" t="s">
        <v>37</v>
      </c>
      <c r="C12" s="43" t="s">
        <v>71</v>
      </c>
      <c r="D12" s="44">
        <v>37.854300000000002</v>
      </c>
      <c r="E12" s="45">
        <f t="shared" si="21"/>
        <v>0.109851692394483</v>
      </c>
      <c r="F12" s="46"/>
      <c r="G12" s="47" t="s">
        <v>72</v>
      </c>
    </row>
    <row r="13" ht="29" customHeight="1">
      <c r="B13" s="48" t="s">
        <v>73</v>
      </c>
      <c r="C13" s="49" t="s">
        <v>74</v>
      </c>
      <c r="D13" s="50">
        <f>SUM(D7:D12)</f>
        <v>344.59460000000001</v>
      </c>
      <c r="E13" s="51">
        <v>1</v>
      </c>
      <c r="F13" s="52"/>
      <c r="G13" s="53" t="s">
        <v>75</v>
      </c>
    </row>
    <row r="14" ht="21.75" customHeight="1">
      <c r="B14" s="37" t="s">
        <v>76</v>
      </c>
      <c r="C14" s="38" t="s">
        <v>67</v>
      </c>
      <c r="D14" s="54">
        <v>152.1337</v>
      </c>
      <c r="E14" s="40"/>
      <c r="F14" s="40"/>
      <c r="G14" s="41" t="s">
        <v>77</v>
      </c>
    </row>
    <row r="15" ht="19.350000000000001" customHeight="1">
      <c r="B15" s="55" t="s">
        <v>78</v>
      </c>
      <c r="C15" s="56" t="s">
        <v>79</v>
      </c>
      <c r="D15" s="57">
        <v>571.22000000000003</v>
      </c>
      <c r="E15" s="58">
        <f>D15/D13</f>
        <v>1.6576580132132099</v>
      </c>
      <c r="F15" s="59"/>
      <c r="G15" s="60" t="s">
        <v>80</v>
      </c>
    </row>
    <row r="17" ht="27.75" customHeight="1">
      <c r="B17" s="34" t="s">
        <v>81</v>
      </c>
      <c r="C17" s="32"/>
      <c r="D17" s="32"/>
      <c r="E17" s="32"/>
      <c r="F17" s="32"/>
      <c r="G17" s="32"/>
    </row>
    <row r="18" ht="18" customHeight="1">
      <c r="B18" s="35" t="s">
        <v>61</v>
      </c>
      <c r="C18" s="35" t="s">
        <v>62</v>
      </c>
      <c r="D18" s="35" t="s">
        <v>63</v>
      </c>
      <c r="E18" s="35" t="s">
        <v>64</v>
      </c>
      <c r="F18" s="36"/>
      <c r="G18" s="35" t="s">
        <v>65</v>
      </c>
    </row>
    <row r="19">
      <c r="B19" s="37" t="s">
        <v>66</v>
      </c>
      <c r="C19" s="38" t="s">
        <v>67</v>
      </c>
      <c r="D19" s="39">
        <v>1098742.9139</v>
      </c>
      <c r="E19" s="40"/>
      <c r="F19" s="40"/>
      <c r="G19" s="41" t="s">
        <v>68</v>
      </c>
    </row>
    <row r="20">
      <c r="B20" s="42" t="s">
        <v>13</v>
      </c>
      <c r="C20" s="43" t="s">
        <v>67</v>
      </c>
      <c r="D20" s="44">
        <v>96.140000000000001</v>
      </c>
      <c r="E20" s="45">
        <f t="shared" ref="E20:E25" si="22">D20/$D$26</f>
        <v>0.28683480743670098</v>
      </c>
      <c r="F20" s="46"/>
      <c r="G20" s="47"/>
    </row>
    <row r="21">
      <c r="B21" s="42" t="s">
        <v>15</v>
      </c>
      <c r="C21" s="43" t="s">
        <v>67</v>
      </c>
      <c r="D21" s="44">
        <v>21.185099999999998</v>
      </c>
      <c r="E21" s="45">
        <f t="shared" si="22"/>
        <v>6.3205992084743701e-002</v>
      </c>
      <c r="F21" s="46"/>
      <c r="G21" s="47"/>
    </row>
    <row r="22">
      <c r="B22" s="42" t="s">
        <v>33</v>
      </c>
      <c r="C22" s="43" t="s">
        <v>67</v>
      </c>
      <c r="D22" s="44">
        <v>0</v>
      </c>
      <c r="E22" s="45">
        <f t="shared" si="22"/>
        <v>0</v>
      </c>
      <c r="F22" s="46"/>
      <c r="G22" s="47"/>
    </row>
    <row r="23">
      <c r="B23" s="42" t="s">
        <v>34</v>
      </c>
      <c r="C23" s="43" t="s">
        <v>67</v>
      </c>
      <c r="D23" s="44">
        <v>96.140000000000001</v>
      </c>
      <c r="E23" s="45">
        <f t="shared" si="22"/>
        <v>0.28683480743670098</v>
      </c>
      <c r="F23" s="46"/>
      <c r="G23" s="47"/>
    </row>
    <row r="24" ht="19.350000000000001" customHeight="1">
      <c r="B24" s="42" t="s">
        <v>69</v>
      </c>
      <c r="C24" s="43" t="s">
        <v>70</v>
      </c>
      <c r="D24" s="44">
        <v>83.856099999999998</v>
      </c>
      <c r="E24" s="45">
        <f t="shared" si="22"/>
        <v>0.25018564901074197</v>
      </c>
      <c r="F24" s="46"/>
      <c r="G24" s="47"/>
    </row>
    <row r="25" ht="28.5" customHeight="1">
      <c r="B25" s="42" t="s">
        <v>37</v>
      </c>
      <c r="C25" s="43" t="s">
        <v>71</v>
      </c>
      <c r="D25" s="44">
        <v>37.854300000000002</v>
      </c>
      <c r="E25" s="45">
        <f t="shared" si="22"/>
        <v>0.112938744031112</v>
      </c>
      <c r="F25" s="46"/>
      <c r="G25" s="47" t="s">
        <v>72</v>
      </c>
    </row>
    <row r="26" ht="19.350000000000001" customHeight="1">
      <c r="B26" s="48" t="s">
        <v>73</v>
      </c>
      <c r="C26" s="49" t="s">
        <v>74</v>
      </c>
      <c r="D26" s="50">
        <f>SUM(D20:D25)</f>
        <v>335.1755</v>
      </c>
      <c r="E26" s="51">
        <v>1</v>
      </c>
      <c r="F26" s="52"/>
      <c r="G26" s="53" t="s">
        <v>82</v>
      </c>
    </row>
    <row r="27" ht="27" customHeight="1">
      <c r="B27" s="37" t="s">
        <v>76</v>
      </c>
      <c r="C27" s="38" t="s">
        <v>67</v>
      </c>
      <c r="D27" s="54">
        <v>155.17939999999999</v>
      </c>
      <c r="E27" s="40"/>
      <c r="F27" s="40"/>
      <c r="G27" s="41" t="s">
        <v>77</v>
      </c>
    </row>
    <row r="28" ht="19.350000000000001" customHeight="1">
      <c r="B28" s="55" t="s">
        <v>78</v>
      </c>
      <c r="C28" s="56" t="s">
        <v>79</v>
      </c>
      <c r="D28" s="57">
        <v>559.79999999999995</v>
      </c>
      <c r="E28" s="58">
        <f>D28/D26</f>
        <v>1.67016980656402</v>
      </c>
      <c r="F28" s="59"/>
      <c r="G28" s="60" t="s">
        <v>80</v>
      </c>
    </row>
    <row r="30" ht="27.75" customHeight="1">
      <c r="B30" s="34" t="s">
        <v>83</v>
      </c>
      <c r="C30" s="32"/>
      <c r="D30" s="32"/>
      <c r="E30" s="32"/>
      <c r="F30" s="32"/>
      <c r="G30" s="32"/>
    </row>
    <row r="31" ht="18" customHeight="1">
      <c r="B31" s="35" t="s">
        <v>61</v>
      </c>
      <c r="C31" s="35" t="s">
        <v>62</v>
      </c>
      <c r="D31" s="35" t="s">
        <v>63</v>
      </c>
      <c r="E31" s="35" t="s">
        <v>64</v>
      </c>
      <c r="F31" s="36"/>
      <c r="G31" s="35" t="s">
        <v>65</v>
      </c>
    </row>
    <row r="32">
      <c r="B32" s="37" t="s">
        <v>66</v>
      </c>
      <c r="C32" s="38" t="s">
        <v>67</v>
      </c>
      <c r="D32" s="39">
        <v>835451.95109999995</v>
      </c>
      <c r="E32" s="40"/>
      <c r="F32" s="40"/>
      <c r="G32" s="41" t="s">
        <v>68</v>
      </c>
    </row>
    <row r="33">
      <c r="B33" s="42" t="s">
        <v>13</v>
      </c>
      <c r="C33" s="43" t="s">
        <v>67</v>
      </c>
      <c r="D33" s="44">
        <v>46.289099999999998</v>
      </c>
      <c r="E33" s="45">
        <f t="shared" ref="E33:E38" si="23">D33/$D$39</f>
        <v>0.141757769266906</v>
      </c>
      <c r="F33" s="46"/>
      <c r="G33" s="47"/>
    </row>
    <row r="34">
      <c r="B34" s="42" t="s">
        <v>15</v>
      </c>
      <c r="C34" s="43" t="s">
        <v>67</v>
      </c>
      <c r="D34" s="44">
        <v>15.1508</v>
      </c>
      <c r="E34" s="45">
        <f t="shared" si="23"/>
        <v>4.6398474167979903e-002</v>
      </c>
      <c r="F34" s="46"/>
      <c r="G34" s="47"/>
    </row>
    <row r="35">
      <c r="B35" s="42" t="s">
        <v>33</v>
      </c>
      <c r="C35" s="43" t="s">
        <v>67</v>
      </c>
      <c r="D35" s="44">
        <v>5.4332000000000003</v>
      </c>
      <c r="E35" s="45">
        <f t="shared" si="23"/>
        <v>1.66388698847235e-002</v>
      </c>
      <c r="F35" s="46"/>
      <c r="G35" s="47"/>
    </row>
    <row r="36">
      <c r="B36" s="42" t="s">
        <v>34</v>
      </c>
      <c r="C36" s="43" t="s">
        <v>67</v>
      </c>
      <c r="D36" s="44">
        <v>66.046199999999999</v>
      </c>
      <c r="E36" s="45">
        <f t="shared" si="23"/>
        <v>0.20226277850629901</v>
      </c>
      <c r="F36" s="46"/>
      <c r="G36" s="47"/>
    </row>
    <row r="37" ht="27.75" customHeight="1">
      <c r="B37" s="42" t="s">
        <v>69</v>
      </c>
      <c r="C37" s="43" t="s">
        <v>70</v>
      </c>
      <c r="D37" s="44">
        <v>160.71510000000001</v>
      </c>
      <c r="E37" s="45">
        <f t="shared" si="23"/>
        <v>0.492180968381492</v>
      </c>
      <c r="F37" s="46"/>
      <c r="G37" s="47"/>
    </row>
    <row r="38" ht="21">
      <c r="B38" s="42" t="s">
        <v>37</v>
      </c>
      <c r="C38" s="43" t="s">
        <v>71</v>
      </c>
      <c r="D38" s="44">
        <v>32.902200000000001</v>
      </c>
      <c r="E38" s="45">
        <f t="shared" si="23"/>
        <v>0.100761139792599</v>
      </c>
      <c r="F38" s="46"/>
      <c r="G38" s="47" t="s">
        <v>84</v>
      </c>
    </row>
    <row r="39" ht="19.350000000000001" customHeight="1">
      <c r="B39" s="48" t="s">
        <v>73</v>
      </c>
      <c r="C39" s="49" t="s">
        <v>74</v>
      </c>
      <c r="D39" s="50">
        <f>SUM(D33:D38)</f>
        <v>326.53660000000002</v>
      </c>
      <c r="E39" s="51">
        <v>1</v>
      </c>
      <c r="F39" s="52"/>
      <c r="G39" s="53" t="s">
        <v>85</v>
      </c>
    </row>
    <row r="40" ht="23.25" customHeight="1">
      <c r="B40" s="37" t="s">
        <v>76</v>
      </c>
      <c r="C40" s="38" t="s">
        <v>67</v>
      </c>
      <c r="D40" s="54">
        <v>99.775300000000001</v>
      </c>
      <c r="E40" s="40"/>
      <c r="F40" s="40"/>
      <c r="G40" s="41" t="s">
        <v>77</v>
      </c>
    </row>
    <row r="41" ht="37.5" customHeight="1">
      <c r="B41" s="55" t="s">
        <v>78</v>
      </c>
      <c r="C41" s="56" t="s">
        <v>79</v>
      </c>
      <c r="D41" s="57">
        <v>50000</v>
      </c>
      <c r="E41" s="58">
        <f>D41/D39</f>
        <v>153.12219212180199</v>
      </c>
      <c r="F41" s="59"/>
      <c r="G41" s="60" t="s">
        <v>86</v>
      </c>
    </row>
    <row r="43" ht="27.75" customHeight="1">
      <c r="B43" s="34" t="s">
        <v>87</v>
      </c>
      <c r="C43" s="32"/>
      <c r="D43" s="32"/>
      <c r="E43" s="32"/>
      <c r="F43" s="32"/>
      <c r="G43" s="32"/>
    </row>
    <row r="44" ht="18" customHeight="1">
      <c r="B44" s="35" t="s">
        <v>61</v>
      </c>
      <c r="C44" s="35" t="s">
        <v>62</v>
      </c>
      <c r="D44" s="35" t="s">
        <v>63</v>
      </c>
      <c r="E44" s="35" t="s">
        <v>64</v>
      </c>
      <c r="F44" s="36"/>
      <c r="G44" s="35" t="s">
        <v>65</v>
      </c>
    </row>
    <row r="45">
      <c r="B45" s="37" t="s">
        <v>66</v>
      </c>
      <c r="C45" s="38" t="s">
        <v>67</v>
      </c>
      <c r="D45" s="39">
        <v>735429.94810000004</v>
      </c>
      <c r="E45" s="40"/>
      <c r="F45" s="40"/>
      <c r="G45" s="41" t="s">
        <v>68</v>
      </c>
    </row>
    <row r="46">
      <c r="B46" s="42" t="s">
        <v>13</v>
      </c>
      <c r="C46" s="43" t="s">
        <v>67</v>
      </c>
      <c r="D46" s="44">
        <v>58.834400000000002</v>
      </c>
      <c r="E46" s="45">
        <f t="shared" ref="E46:E51" si="24">D46/$D$52</f>
        <v>0.244271690517669</v>
      </c>
      <c r="F46" s="46"/>
      <c r="G46" s="47"/>
    </row>
    <row r="47">
      <c r="B47" s="42" t="s">
        <v>15</v>
      </c>
      <c r="C47" s="43" t="s">
        <v>67</v>
      </c>
      <c r="D47" s="44">
        <v>13.6128</v>
      </c>
      <c r="E47" s="45">
        <f t="shared" si="24"/>
        <v>5.6518323781307001e-002</v>
      </c>
      <c r="F47" s="46"/>
      <c r="G47" s="47"/>
    </row>
    <row r="48">
      <c r="B48" s="42" t="s">
        <v>33</v>
      </c>
      <c r="C48" s="43" t="s">
        <v>67</v>
      </c>
      <c r="D48" s="44">
        <v>0</v>
      </c>
      <c r="E48" s="45">
        <f t="shared" si="24"/>
        <v>0</v>
      </c>
      <c r="F48" s="46"/>
      <c r="G48" s="47"/>
    </row>
    <row r="49">
      <c r="B49" s="42" t="s">
        <v>34</v>
      </c>
      <c r="C49" s="43" t="s">
        <v>67</v>
      </c>
      <c r="D49" s="44">
        <v>58.834400000000002</v>
      </c>
      <c r="E49" s="45">
        <f t="shared" si="24"/>
        <v>0.244271690517669</v>
      </c>
      <c r="F49" s="46"/>
      <c r="G49" s="47"/>
    </row>
    <row r="50" ht="19.350000000000001" customHeight="1">
      <c r="B50" s="42" t="s">
        <v>69</v>
      </c>
      <c r="C50" s="43" t="s">
        <v>70</v>
      </c>
      <c r="D50" s="44">
        <v>71.720500000000001</v>
      </c>
      <c r="E50" s="45">
        <f t="shared" si="24"/>
        <v>0.29777286383089702</v>
      </c>
      <c r="F50" s="46"/>
      <c r="G50" s="47"/>
    </row>
    <row r="51" ht="29.25" customHeight="1">
      <c r="B51" s="42" t="s">
        <v>37</v>
      </c>
      <c r="C51" s="43" t="s">
        <v>71</v>
      </c>
      <c r="D51" s="44">
        <v>37.854300000000002</v>
      </c>
      <c r="E51" s="45">
        <f t="shared" si="24"/>
        <v>0.157165431352457</v>
      </c>
      <c r="F51" s="46"/>
      <c r="G51" s="47" t="s">
        <v>72</v>
      </c>
    </row>
    <row r="52" ht="24.75" customHeight="1">
      <c r="B52" s="48" t="s">
        <v>73</v>
      </c>
      <c r="C52" s="49" t="s">
        <v>74</v>
      </c>
      <c r="D52" s="50">
        <f>SUM(D46:D51)</f>
        <v>240.85640000000001</v>
      </c>
      <c r="E52" s="51">
        <v>1</v>
      </c>
      <c r="F52" s="52"/>
      <c r="G52" s="53" t="s">
        <v>88</v>
      </c>
    </row>
    <row r="53" ht="25.5" customHeight="1">
      <c r="B53" s="37" t="s">
        <v>76</v>
      </c>
      <c r="C53" s="38" t="s">
        <v>67</v>
      </c>
      <c r="D53" s="54">
        <v>110.3015</v>
      </c>
      <c r="E53" s="40"/>
      <c r="F53" s="40"/>
      <c r="G53" s="41" t="s">
        <v>77</v>
      </c>
    </row>
    <row r="54" ht="27.75" customHeight="1">
      <c r="B54" s="55" t="s">
        <v>78</v>
      </c>
      <c r="C54" s="56" t="s">
        <v>79</v>
      </c>
      <c r="D54" s="57">
        <v>411.29000000000002</v>
      </c>
      <c r="E54" s="58">
        <f>D54/D52</f>
        <v>1.70761499383035</v>
      </c>
      <c r="F54" s="59"/>
      <c r="G54" s="60" t="s">
        <v>80</v>
      </c>
    </row>
    <row r="56" ht="27.75" customHeight="1">
      <c r="B56" s="34" t="s">
        <v>89</v>
      </c>
      <c r="C56" s="32"/>
      <c r="D56" s="32"/>
      <c r="E56" s="32"/>
      <c r="F56" s="32"/>
      <c r="G56" s="32"/>
    </row>
    <row r="57" ht="18" customHeight="1">
      <c r="B57" s="35" t="s">
        <v>61</v>
      </c>
      <c r="C57" s="35" t="s">
        <v>62</v>
      </c>
      <c r="D57" s="35" t="s">
        <v>63</v>
      </c>
      <c r="E57" s="35" t="s">
        <v>64</v>
      </c>
      <c r="F57" s="36"/>
      <c r="G57" s="35" t="s">
        <v>65</v>
      </c>
    </row>
    <row r="58">
      <c r="B58" s="37" t="s">
        <v>66</v>
      </c>
      <c r="C58" s="38" t="s">
        <v>67</v>
      </c>
      <c r="D58" s="39">
        <v>1358928.1348999999</v>
      </c>
      <c r="E58" s="40"/>
      <c r="F58" s="40"/>
      <c r="G58" s="41" t="s">
        <v>68</v>
      </c>
    </row>
    <row r="59">
      <c r="B59" s="42" t="s">
        <v>13</v>
      </c>
      <c r="C59" s="43" t="s">
        <v>67</v>
      </c>
      <c r="D59" s="44">
        <v>118.9062</v>
      </c>
      <c r="E59" s="45">
        <f t="shared" ref="E59:E64" si="25">D59/$D$65</f>
        <v>0.278427512167983</v>
      </c>
      <c r="F59" s="46"/>
      <c r="G59" s="47"/>
    </row>
    <row r="60">
      <c r="B60" s="42" t="s">
        <v>15</v>
      </c>
      <c r="C60" s="43" t="s">
        <v>67</v>
      </c>
      <c r="D60" s="44">
        <v>26.201799999999999</v>
      </c>
      <c r="E60" s="45">
        <f t="shared" si="25"/>
        <v>6.13534196561916e-002</v>
      </c>
      <c r="F60" s="46"/>
      <c r="G60" s="47"/>
    </row>
    <row r="61">
      <c r="B61" s="42" t="s">
        <v>33</v>
      </c>
      <c r="C61" s="43" t="s">
        <v>67</v>
      </c>
      <c r="D61" s="44">
        <v>0</v>
      </c>
      <c r="E61" s="45">
        <f t="shared" si="25"/>
        <v>0</v>
      </c>
      <c r="F61" s="46"/>
      <c r="G61" s="47"/>
    </row>
    <row r="62">
      <c r="B62" s="42" t="s">
        <v>34</v>
      </c>
      <c r="C62" s="43" t="s">
        <v>67</v>
      </c>
      <c r="D62" s="44">
        <v>169.86600000000001</v>
      </c>
      <c r="E62" s="45">
        <f t="shared" si="25"/>
        <v>0.39775358881140399</v>
      </c>
      <c r="F62" s="46"/>
      <c r="G62" s="47"/>
    </row>
    <row r="63" ht="19.350000000000001" customHeight="1">
      <c r="B63" s="42" t="s">
        <v>69</v>
      </c>
      <c r="C63" s="43" t="s">
        <v>70</v>
      </c>
      <c r="D63" s="44">
        <v>74.235100000000003</v>
      </c>
      <c r="E63" s="45">
        <f t="shared" si="25"/>
        <v>0.173826883783532</v>
      </c>
      <c r="F63" s="46"/>
      <c r="G63" s="47"/>
    </row>
    <row r="64" ht="25.5" customHeight="1">
      <c r="B64" s="42" t="s">
        <v>37</v>
      </c>
      <c r="C64" s="43" t="s">
        <v>71</v>
      </c>
      <c r="D64" s="44">
        <v>37.854300000000002</v>
      </c>
      <c r="E64" s="45">
        <f t="shared" si="25"/>
        <v>8.8638595580890295e-002</v>
      </c>
      <c r="F64" s="46"/>
      <c r="G64" s="47" t="s">
        <v>72</v>
      </c>
    </row>
    <row r="65" ht="23.25" customHeight="1">
      <c r="B65" s="48" t="s">
        <v>73</v>
      </c>
      <c r="C65" s="49" t="s">
        <v>74</v>
      </c>
      <c r="D65" s="50">
        <f>SUM(D59:D64)</f>
        <v>427.0634</v>
      </c>
      <c r="E65" s="51">
        <v>1</v>
      </c>
      <c r="F65" s="52"/>
      <c r="G65" s="53" t="s">
        <v>90</v>
      </c>
    </row>
    <row r="66" ht="24" customHeight="1">
      <c r="B66" s="37" t="s">
        <v>76</v>
      </c>
      <c r="C66" s="38" t="s">
        <v>67</v>
      </c>
      <c r="D66" s="54">
        <v>182.9623</v>
      </c>
      <c r="E66" s="40"/>
      <c r="F66" s="40"/>
      <c r="G66" s="41" t="s">
        <v>77</v>
      </c>
    </row>
    <row r="67" ht="19.350000000000001" customHeight="1">
      <c r="B67" s="55" t="s">
        <v>78</v>
      </c>
      <c r="C67" s="56" t="s">
        <v>79</v>
      </c>
      <c r="D67" s="57">
        <v>548.37</v>
      </c>
      <c r="E67" s="58">
        <f>D67/D65</f>
        <v>1.28404822328488</v>
      </c>
      <c r="F67" s="59"/>
      <c r="G67" s="60" t="s">
        <v>80</v>
      </c>
    </row>
    <row r="69" ht="27.75" customHeight="1">
      <c r="B69" s="34" t="s">
        <v>91</v>
      </c>
      <c r="C69" s="32"/>
      <c r="D69" s="32"/>
      <c r="E69" s="32"/>
      <c r="F69" s="32"/>
      <c r="G69" s="32"/>
    </row>
    <row r="70" ht="18" customHeight="1">
      <c r="B70" s="35" t="s">
        <v>61</v>
      </c>
      <c r="C70" s="35" t="s">
        <v>62</v>
      </c>
      <c r="D70" s="35" t="s">
        <v>63</v>
      </c>
      <c r="E70" s="35" t="s">
        <v>64</v>
      </c>
      <c r="F70" s="36"/>
      <c r="G70" s="35" t="s">
        <v>65</v>
      </c>
    </row>
    <row r="71">
      <c r="B71" s="37" t="s">
        <v>66</v>
      </c>
      <c r="C71" s="38" t="s">
        <v>67</v>
      </c>
      <c r="D71" s="39">
        <v>740046.83330000006</v>
      </c>
      <c r="E71" s="40"/>
      <c r="F71" s="40"/>
      <c r="G71" s="41" t="s">
        <v>68</v>
      </c>
    </row>
    <row r="72">
      <c r="B72" s="42" t="s">
        <v>13</v>
      </c>
      <c r="C72" s="43" t="s">
        <v>67</v>
      </c>
      <c r="D72" s="44">
        <v>55.943100000000001</v>
      </c>
      <c r="E72" s="45">
        <f t="shared" ref="E72:E77" si="26">D72/$D$78</f>
        <v>0.26259632066331701</v>
      </c>
      <c r="F72" s="46"/>
      <c r="G72" s="47"/>
    </row>
    <row r="73">
      <c r="B73" s="42" t="s">
        <v>15</v>
      </c>
      <c r="C73" s="43" t="s">
        <v>67</v>
      </c>
      <c r="D73" s="44">
        <v>13.880699999999999</v>
      </c>
      <c r="E73" s="45">
        <f t="shared" si="26"/>
        <v>6.5155859225379101e-002</v>
      </c>
      <c r="F73" s="46"/>
      <c r="G73" s="47"/>
    </row>
    <row r="74">
      <c r="B74" s="42" t="s">
        <v>33</v>
      </c>
      <c r="C74" s="43" t="s">
        <v>67</v>
      </c>
      <c r="D74" s="44">
        <v>0</v>
      </c>
      <c r="E74" s="45">
        <f t="shared" si="26"/>
        <v>0</v>
      </c>
      <c r="F74" s="46"/>
      <c r="G74" s="47"/>
    </row>
    <row r="75">
      <c r="B75" s="42" t="s">
        <v>34</v>
      </c>
      <c r="C75" s="43" t="s">
        <v>67</v>
      </c>
      <c r="D75" s="44">
        <v>55.943100000000001</v>
      </c>
      <c r="E75" s="45">
        <f t="shared" si="26"/>
        <v>0.26259632066331701</v>
      </c>
      <c r="F75" s="46"/>
      <c r="G75" s="47"/>
    </row>
    <row r="76" ht="25.5" customHeight="1">
      <c r="B76" s="42" t="s">
        <v>69</v>
      </c>
      <c r="C76" s="43" t="s">
        <v>70</v>
      </c>
      <c r="D76" s="44">
        <v>49.417200000000001</v>
      </c>
      <c r="E76" s="45">
        <f t="shared" si="26"/>
        <v>0.23196381497420199</v>
      </c>
      <c r="F76" s="46"/>
      <c r="G76" s="47"/>
    </row>
    <row r="77" ht="25.5" customHeight="1">
      <c r="B77" s="42" t="s">
        <v>37</v>
      </c>
      <c r="C77" s="43" t="s">
        <v>71</v>
      </c>
      <c r="D77" s="44">
        <v>37.854300000000002</v>
      </c>
      <c r="E77" s="45">
        <f t="shared" si="26"/>
        <v>0.177687684473785</v>
      </c>
      <c r="F77" s="46"/>
      <c r="G77" s="47" t="s">
        <v>72</v>
      </c>
    </row>
    <row r="78" ht="27.75" customHeight="1">
      <c r="B78" s="48" t="s">
        <v>73</v>
      </c>
      <c r="C78" s="49" t="s">
        <v>74</v>
      </c>
      <c r="D78" s="50">
        <f>SUM(D72:D77)</f>
        <v>213.0384</v>
      </c>
      <c r="E78" s="51">
        <v>1</v>
      </c>
      <c r="F78" s="52"/>
      <c r="G78" s="53" t="s">
        <v>92</v>
      </c>
    </row>
    <row r="79" ht="26.25" customHeight="1">
      <c r="B79" s="37" t="s">
        <v>76</v>
      </c>
      <c r="C79" s="38" t="s">
        <v>67</v>
      </c>
      <c r="D79" s="54">
        <v>107.6781</v>
      </c>
      <c r="E79" s="40"/>
      <c r="F79" s="40"/>
      <c r="G79" s="41" t="s">
        <v>77</v>
      </c>
    </row>
    <row r="80" ht="26.25" customHeight="1">
      <c r="B80" s="55" t="s">
        <v>78</v>
      </c>
      <c r="C80" s="56" t="s">
        <v>79</v>
      </c>
      <c r="D80" s="57">
        <v>411.29000000000002</v>
      </c>
      <c r="E80" s="58">
        <f>D80/D78</f>
        <v>1.93059091694267</v>
      </c>
      <c r="F80" s="59"/>
      <c r="G80" s="60" t="s">
        <v>80</v>
      </c>
    </row>
    <row r="82" ht="27.75" customHeight="1">
      <c r="B82" s="34" t="s">
        <v>93</v>
      </c>
      <c r="C82" s="32"/>
      <c r="D82" s="32"/>
      <c r="E82" s="32"/>
      <c r="F82" s="32"/>
      <c r="G82" s="32"/>
    </row>
    <row r="83" ht="18" customHeight="1">
      <c r="B83" s="35" t="s">
        <v>61</v>
      </c>
      <c r="C83" s="35" t="s">
        <v>62</v>
      </c>
      <c r="D83" s="35" t="s">
        <v>63</v>
      </c>
      <c r="E83" s="35" t="s">
        <v>64</v>
      </c>
      <c r="F83" s="36"/>
      <c r="G83" s="35" t="s">
        <v>65</v>
      </c>
    </row>
    <row r="84">
      <c r="B84" s="37" t="s">
        <v>66</v>
      </c>
      <c r="C84" s="38" t="s">
        <v>67</v>
      </c>
      <c r="D84" s="39">
        <v>479203.63579999999</v>
      </c>
      <c r="E84" s="40"/>
      <c r="F84" s="40"/>
      <c r="G84" s="41" t="s">
        <v>68</v>
      </c>
    </row>
    <row r="85">
      <c r="B85" s="42" t="s">
        <v>13</v>
      </c>
      <c r="C85" s="43" t="s">
        <v>67</v>
      </c>
      <c r="D85" s="44">
        <v>35.309699999999999</v>
      </c>
      <c r="E85" s="45">
        <f t="shared" ref="E85:E90" si="27">D85/$D$91</f>
        <v>0.22257893708356699</v>
      </c>
      <c r="F85" s="46"/>
      <c r="G85" s="47"/>
    </row>
    <row r="86">
      <c r="B86" s="42" t="s">
        <v>15</v>
      </c>
      <c r="C86" s="43" t="s">
        <v>67</v>
      </c>
      <c r="D86" s="44">
        <v>8.9479000000000006</v>
      </c>
      <c r="E86" s="45">
        <f t="shared" si="27"/>
        <v>5.6404162910759698e-002</v>
      </c>
      <c r="F86" s="46"/>
      <c r="G86" s="47"/>
    </row>
    <row r="87">
      <c r="B87" s="42" t="s">
        <v>33</v>
      </c>
      <c r="C87" s="43" t="s">
        <v>67</v>
      </c>
      <c r="D87" s="44">
        <v>0</v>
      </c>
      <c r="E87" s="45">
        <f t="shared" si="27"/>
        <v>0</v>
      </c>
      <c r="F87" s="46"/>
      <c r="G87" s="47"/>
    </row>
    <row r="88">
      <c r="B88" s="42" t="s">
        <v>34</v>
      </c>
      <c r="C88" s="43" t="s">
        <v>67</v>
      </c>
      <c r="D88" s="44">
        <v>35.309699999999999</v>
      </c>
      <c r="E88" s="45">
        <f t="shared" si="27"/>
        <v>0.22257893708356699</v>
      </c>
      <c r="F88" s="46"/>
      <c r="G88" s="47"/>
    </row>
    <row r="89" ht="25.5" customHeight="1">
      <c r="B89" s="42" t="s">
        <v>69</v>
      </c>
      <c r="C89" s="43" t="s">
        <v>70</v>
      </c>
      <c r="D89" s="44">
        <v>41.217399999999998</v>
      </c>
      <c r="E89" s="45">
        <f t="shared" si="27"/>
        <v>0.25981883395634098</v>
      </c>
      <c r="F89" s="46"/>
      <c r="G89" s="47"/>
    </row>
    <row r="90" ht="33.75" customHeight="1">
      <c r="B90" s="42" t="s">
        <v>37</v>
      </c>
      <c r="C90" s="43" t="s">
        <v>71</v>
      </c>
      <c r="D90" s="44">
        <v>37.854300000000002</v>
      </c>
      <c r="E90" s="45">
        <f t="shared" si="27"/>
        <v>0.23861912896576501</v>
      </c>
      <c r="F90" s="46"/>
      <c r="G90" s="47" t="s">
        <v>72</v>
      </c>
    </row>
    <row r="91" ht="19.350000000000001" customHeight="1">
      <c r="B91" s="48" t="s">
        <v>73</v>
      </c>
      <c r="C91" s="49" t="s">
        <v>74</v>
      </c>
      <c r="D91" s="50">
        <f>SUM(D85:D90)</f>
        <v>158.63900000000001</v>
      </c>
      <c r="E91" s="51">
        <v>1</v>
      </c>
      <c r="F91" s="52"/>
      <c r="G91" s="53" t="s">
        <v>94</v>
      </c>
    </row>
    <row r="92" ht="19.350000000000001" customHeight="1">
      <c r="B92" s="37" t="s">
        <v>76</v>
      </c>
      <c r="C92" s="38" t="s">
        <v>67</v>
      </c>
      <c r="D92" s="54">
        <v>82.111900000000006</v>
      </c>
      <c r="E92" s="40"/>
      <c r="F92" s="40"/>
      <c r="G92" s="41" t="s">
        <v>77</v>
      </c>
    </row>
    <row r="93" ht="19.350000000000001" customHeight="1">
      <c r="B93" s="55" t="s">
        <v>78</v>
      </c>
      <c r="C93" s="56" t="s">
        <v>79</v>
      </c>
      <c r="D93" s="57">
        <v>380.67000000000002</v>
      </c>
      <c r="E93" s="58">
        <f>D93/D91</f>
        <v>2.3995990897572499</v>
      </c>
      <c r="F93" s="59"/>
      <c r="G93" s="60" t="s">
        <v>80</v>
      </c>
    </row>
    <row r="94" ht="15.75"/>
    <row r="95" ht="32.100000000000001" customHeight="1">
      <c r="B95" s="61" t="s">
        <v>95</v>
      </c>
      <c r="C95" s="2"/>
      <c r="D95" s="2"/>
      <c r="E95" s="2"/>
      <c r="F95" s="2"/>
      <c r="G95" s="26"/>
    </row>
    <row r="96" ht="39.950000000000003" customHeight="1">
      <c r="B96" s="62" t="s">
        <v>96</v>
      </c>
      <c r="C96" s="4"/>
      <c r="D96" s="4"/>
      <c r="E96" s="4"/>
      <c r="F96" s="4"/>
      <c r="G96" s="63"/>
    </row>
    <row r="97" ht="15.75"/>
    <row r="98" ht="26.100000000000001" customHeight="1">
      <c r="B98" s="64" t="s">
        <v>97</v>
      </c>
      <c r="C98" s="2"/>
      <c r="D98" s="2"/>
      <c r="E98" s="2"/>
      <c r="F98" s="2"/>
      <c r="G98" s="26"/>
    </row>
    <row r="99" ht="27.949999999999999" customHeight="1">
      <c r="B99" s="65" t="s">
        <v>61</v>
      </c>
      <c r="C99" s="5" t="s">
        <v>98</v>
      </c>
      <c r="D99" s="5" t="s">
        <v>5</v>
      </c>
      <c r="E99" s="5"/>
      <c r="F99" s="5"/>
      <c r="G99" s="65" t="s">
        <v>99</v>
      </c>
    </row>
    <row r="100" ht="21.949999999999999" customHeight="1">
      <c r="B100" s="15" t="s">
        <v>100</v>
      </c>
      <c r="C100" s="66">
        <v>220</v>
      </c>
      <c r="D100" s="13" t="s">
        <v>101</v>
      </c>
      <c r="G100" s="15" t="s">
        <v>102</v>
      </c>
    </row>
    <row r="101" ht="21.949999999999999" customHeight="1">
      <c r="B101" s="67" t="s">
        <v>103</v>
      </c>
      <c r="C101" s="68">
        <v>4</v>
      </c>
      <c r="D101" s="69" t="s">
        <v>104</v>
      </c>
      <c r="G101" s="67" t="s">
        <v>105</v>
      </c>
    </row>
    <row r="102" ht="21.949999999999999" customHeight="1">
      <c r="B102" s="15" t="s">
        <v>106</v>
      </c>
      <c r="C102" s="70">
        <f>C100/12*C101</f>
        <v>73.3333333333333</v>
      </c>
      <c r="D102" s="13" t="s">
        <v>107</v>
      </c>
      <c r="G102" s="15"/>
    </row>
    <row r="103" ht="21.949999999999999" customHeight="1">
      <c r="B103" s="67" t="s">
        <v>108</v>
      </c>
      <c r="C103" s="68">
        <v>1.5</v>
      </c>
      <c r="D103" s="69" t="s">
        <v>109</v>
      </c>
      <c r="G103" s="67" t="s">
        <v>110</v>
      </c>
    </row>
    <row r="104" ht="21.949999999999999" customHeight="1">
      <c r="B104" s="15" t="s">
        <v>111</v>
      </c>
      <c r="C104" s="68">
        <v>3</v>
      </c>
      <c r="D104" s="13" t="s">
        <v>112</v>
      </c>
      <c r="G104" s="15" t="s">
        <v>113</v>
      </c>
    </row>
    <row r="105" ht="21.949999999999999" customHeight="1">
      <c r="B105" s="67" t="s">
        <v>114</v>
      </c>
      <c r="C105" s="66">
        <v>1</v>
      </c>
      <c r="D105" s="69" t="s">
        <v>38</v>
      </c>
      <c r="G105" s="67" t="s">
        <v>115</v>
      </c>
    </row>
    <row r="106" ht="15.75"/>
    <row r="107" ht="26.100000000000001" customHeight="1">
      <c r="B107" s="64" t="s">
        <v>116</v>
      </c>
      <c r="C107" s="2"/>
      <c r="D107" s="2"/>
      <c r="E107" s="2"/>
      <c r="F107" s="2"/>
      <c r="G107" s="26"/>
    </row>
    <row r="108" ht="27.949999999999999" customHeight="1">
      <c r="B108" s="71" t="s">
        <v>117</v>
      </c>
      <c r="C108" s="72" t="s">
        <v>118</v>
      </c>
      <c r="D108" s="72" t="s">
        <v>119</v>
      </c>
      <c r="E108" s="72" t="s">
        <v>120</v>
      </c>
      <c r="F108" s="72" t="s">
        <v>121</v>
      </c>
      <c r="G108" s="71" t="s">
        <v>122</v>
      </c>
    </row>
    <row r="109" ht="21.949999999999999" customHeight="1">
      <c r="B109" s="73" t="s">
        <v>123</v>
      </c>
      <c r="C109" s="12">
        <v>35</v>
      </c>
      <c r="D109" s="74">
        <f>C103*2*7</f>
        <v>21</v>
      </c>
      <c r="E109" s="74">
        <f t="shared" ref="E109:E110" si="28">D109*12</f>
        <v>252</v>
      </c>
      <c r="F109" s="75">
        <f>C109*E109*C105</f>
        <v>8820</v>
      </c>
      <c r="G109" s="73" t="s">
        <v>124</v>
      </c>
    </row>
    <row r="110" ht="21.949999999999999" customHeight="1">
      <c r="B110" s="67" t="s">
        <v>125</v>
      </c>
      <c r="C110" s="12">
        <v>14</v>
      </c>
      <c r="D110" s="76">
        <f>3*4*2</f>
        <v>24</v>
      </c>
      <c r="E110" s="76">
        <f t="shared" si="28"/>
        <v>288</v>
      </c>
      <c r="F110" s="77">
        <f>C110*E110*C105</f>
        <v>4032</v>
      </c>
      <c r="G110" s="67" t="s">
        <v>126</v>
      </c>
    </row>
    <row r="111" ht="21.949999999999999" customHeight="1">
      <c r="B111" s="78" t="s">
        <v>127</v>
      </c>
      <c r="C111" s="2"/>
      <c r="D111" s="2"/>
      <c r="E111" s="26"/>
      <c r="F111" s="79">
        <f>SUM(F109:F110)</f>
        <v>12852</v>
      </c>
    </row>
    <row r="112" ht="15.75"/>
    <row r="113" ht="26.100000000000001" customHeight="1">
      <c r="B113" s="64" t="s">
        <v>128</v>
      </c>
      <c r="C113" s="2"/>
      <c r="D113" s="2"/>
      <c r="E113" s="2"/>
      <c r="F113" s="2"/>
      <c r="G113" s="26"/>
    </row>
    <row r="114" ht="32.100000000000001" customHeight="1">
      <c r="B114" s="62" t="s">
        <v>129</v>
      </c>
      <c r="C114" s="4"/>
      <c r="D114" s="4"/>
      <c r="E114" s="4"/>
      <c r="F114" s="4"/>
      <c r="G114" s="63"/>
    </row>
    <row r="115" ht="27.949999999999999" customHeight="1">
      <c r="B115" s="71" t="s">
        <v>61</v>
      </c>
      <c r="C115" s="72" t="s">
        <v>130</v>
      </c>
      <c r="D115" s="72" t="s">
        <v>131</v>
      </c>
      <c r="E115" s="72" t="s">
        <v>132</v>
      </c>
      <c r="F115" s="72" t="s">
        <v>133</v>
      </c>
      <c r="G115" s="71" t="s">
        <v>134</v>
      </c>
    </row>
    <row r="116" ht="24" customHeight="1">
      <c r="B116" s="73" t="s">
        <v>135</v>
      </c>
      <c r="C116" s="12">
        <v>288.81490000000002</v>
      </c>
      <c r="D116" s="80">
        <f>C101*C100/12</f>
        <v>73.3333333333333</v>
      </c>
      <c r="E116" s="74">
        <v>12</v>
      </c>
      <c r="F116" s="81">
        <f>C116*D116*E116</f>
        <v>254157.11199999999</v>
      </c>
      <c r="G116" s="73" t="s">
        <v>136</v>
      </c>
    </row>
    <row r="117" ht="15.75"/>
    <row r="118" ht="26.100000000000001" customHeight="1">
      <c r="B118" s="64" t="s">
        <v>137</v>
      </c>
      <c r="C118" s="2"/>
      <c r="D118" s="2"/>
      <c r="E118" s="2"/>
      <c r="F118" s="2"/>
      <c r="G118" s="26"/>
    </row>
    <row r="119" ht="39.950000000000003" customHeight="1">
      <c r="B119" s="62" t="s">
        <v>138</v>
      </c>
      <c r="C119" s="4"/>
      <c r="D119" s="4"/>
      <c r="E119" s="4"/>
      <c r="F119" s="4"/>
      <c r="G119" s="63"/>
    </row>
    <row r="120" ht="27.949999999999999" customHeight="1">
      <c r="B120" s="71" t="s">
        <v>139</v>
      </c>
      <c r="C120" s="72" t="s">
        <v>140</v>
      </c>
      <c r="D120" s="72" t="s">
        <v>141</v>
      </c>
      <c r="E120" s="72" t="s">
        <v>142</v>
      </c>
      <c r="F120" s="72" t="s">
        <v>143</v>
      </c>
      <c r="G120" s="71" t="s">
        <v>144</v>
      </c>
    </row>
    <row r="121" ht="21.949999999999999" customHeight="1">
      <c r="B121" s="73" t="s">
        <v>145</v>
      </c>
      <c r="C121" s="12">
        <v>428.18419999999998</v>
      </c>
      <c r="D121" s="80">
        <f>C103</f>
        <v>1.5</v>
      </c>
      <c r="E121" s="80">
        <f>C104</f>
        <v>3</v>
      </c>
      <c r="F121" s="75">
        <f>C121*D121*E121*5</f>
        <v>9634.1445000000003</v>
      </c>
      <c r="G121" s="73" t="s">
        <v>146</v>
      </c>
    </row>
    <row r="122" ht="21.949999999999999" customHeight="1">
      <c r="B122" s="67" t="s">
        <v>147</v>
      </c>
      <c r="C122" s="12">
        <v>475.49540000000002</v>
      </c>
      <c r="D122" s="82">
        <f>C103</f>
        <v>1.5</v>
      </c>
      <c r="E122" s="82">
        <f>C104</f>
        <v>3</v>
      </c>
      <c r="F122" s="77">
        <f>C122*D122*E122*2</f>
        <v>4279.4585999999999</v>
      </c>
      <c r="G122" s="67" t="s">
        <v>148</v>
      </c>
    </row>
    <row r="123" ht="21.949999999999999" customHeight="1">
      <c r="B123" s="78" t="s">
        <v>149</v>
      </c>
      <c r="C123" s="2"/>
      <c r="D123" s="2"/>
      <c r="E123" s="26"/>
      <c r="F123" s="79">
        <f>(F121+F122)*12</f>
        <v>166963.2372</v>
      </c>
    </row>
    <row r="124" ht="15.75"/>
    <row r="125" ht="26.100000000000001" customHeight="1">
      <c r="B125" s="64" t="s">
        <v>150</v>
      </c>
      <c r="C125" s="2"/>
      <c r="D125" s="2"/>
      <c r="E125" s="2"/>
      <c r="F125" s="2"/>
      <c r="G125" s="26"/>
    </row>
    <row r="126" ht="26.100000000000001" customHeight="1">
      <c r="B126" s="83" t="s">
        <v>151</v>
      </c>
      <c r="C126" s="2"/>
      <c r="D126" s="2"/>
      <c r="E126" s="26"/>
      <c r="F126" s="84">
        <f>F111+F116+F123</f>
        <v>433972.3492</v>
      </c>
      <c r="G126" s="85" t="s">
        <v>152</v>
      </c>
    </row>
  </sheetData>
  <mergeCells count="21">
    <mergeCell ref="B1:G1"/>
    <mergeCell ref="B2:G2"/>
    <mergeCell ref="B4:G4"/>
    <mergeCell ref="B17:G17"/>
    <mergeCell ref="B30:G30"/>
    <mergeCell ref="B43:G43"/>
    <mergeCell ref="B56:G56"/>
    <mergeCell ref="B69:G69"/>
    <mergeCell ref="B82:G82"/>
    <mergeCell ref="B95:G95"/>
    <mergeCell ref="B96:G96"/>
    <mergeCell ref="B98:G98"/>
    <mergeCell ref="B107:G107"/>
    <mergeCell ref="B111:E111"/>
    <mergeCell ref="B113:G113"/>
    <mergeCell ref="B114:G114"/>
    <mergeCell ref="B118:G118"/>
    <mergeCell ref="B119:G119"/>
    <mergeCell ref="B123:E123"/>
    <mergeCell ref="B125:G125"/>
    <mergeCell ref="B126:E126"/>
  </mergeCells>
  <printOptions headings="0" gridLines="0"/>
  <pageMargins left="0.75" right="0.75" top="1" bottom="1" header="0.51181102362204689" footer="0.51181102362204689"/>
  <pageSetup paperSize="9" scale="75" fitToWidth="1" fitToHeight="1" pageOrder="downThenOver" orientation="landscape" usePrinterDefaults="1" blackAndWhite="0" draft="0" cellComments="none" useFirstPageNumber="0" errors="displayed" horizontalDpi="300" verticalDpi="300" copies="1"/>
  <headerFooter/>
  <rowBreaks count="1" manualBreakCount="1">
    <brk id="68" man="1" max="16383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GridLines="0" zoomScale="90" workbookViewId="0">
      <pane xSplit="1" ySplit="3" topLeftCell="B4" activePane="bottomRight" state="frozen"/>
      <selection activeCell="B27" activeCellId="0" sqref="B27:F27"/>
    </sheetView>
  </sheetViews>
  <sheetFormatPr defaultColWidth="8.71428571428571" defaultRowHeight="15" outlineLevelCol="5"/>
  <cols>
    <col customWidth="1" min="1" max="1" width="2"/>
    <col customWidth="1" min="2" max="2" width="48"/>
    <col customWidth="1" min="3" max="3" width="16"/>
    <col customWidth="1" min="4" max="5" width="14"/>
    <col customWidth="1" min="6" max="6" width="30"/>
  </cols>
  <sheetData>
    <row r="1" ht="24" customHeight="1">
      <c r="B1" s="31" t="s">
        <v>153</v>
      </c>
      <c r="C1" s="86"/>
      <c r="D1" s="86"/>
      <c r="E1" s="86"/>
      <c r="F1" s="32"/>
    </row>
    <row r="2" ht="36" customHeight="1">
      <c r="B2" s="87" t="s">
        <v>154</v>
      </c>
      <c r="C2" s="88"/>
      <c r="D2" s="88"/>
      <c r="E2" s="88"/>
      <c r="F2" s="32"/>
    </row>
    <row r="4" ht="19.5" customHeight="1">
      <c r="B4" s="34" t="s">
        <v>155</v>
      </c>
      <c r="C4" s="32"/>
      <c r="D4" s="32"/>
      <c r="E4" s="32"/>
      <c r="F4" s="32"/>
    </row>
    <row r="5">
      <c r="B5" s="35" t="s">
        <v>156</v>
      </c>
      <c r="C5" s="35" t="s">
        <v>157</v>
      </c>
      <c r="D5" s="35" t="s">
        <v>158</v>
      </c>
      <c r="E5" s="35" t="s">
        <v>134</v>
      </c>
    </row>
    <row r="6" ht="37.5" customHeight="1">
      <c r="B6" s="42" t="s">
        <v>159</v>
      </c>
      <c r="C6" s="89"/>
      <c r="D6" s="44">
        <v>15.5604</v>
      </c>
      <c r="E6" s="47" t="s">
        <v>160</v>
      </c>
    </row>
    <row r="7" ht="27.75" customHeight="1">
      <c r="B7" s="42" t="s">
        <v>161</v>
      </c>
      <c r="C7" s="45">
        <v>0.94169999999999998</v>
      </c>
      <c r="D7" s="89"/>
      <c r="E7" s="47" t="s">
        <v>162</v>
      </c>
    </row>
    <row r="8">
      <c r="B8" s="42" t="s">
        <v>163</v>
      </c>
      <c r="C8" s="45">
        <v>0.93420000000000003</v>
      </c>
      <c r="D8" s="44">
        <v>14.536526</v>
      </c>
      <c r="E8" s="47" t="s">
        <v>164</v>
      </c>
    </row>
    <row r="9" ht="25.5" customHeight="1">
      <c r="B9" s="42" t="s">
        <v>165</v>
      </c>
      <c r="C9" s="45">
        <v>0.38940000000000002</v>
      </c>
      <c r="D9" s="44">
        <v>6.0588309999999996</v>
      </c>
      <c r="E9" s="47" t="s">
        <v>166</v>
      </c>
    </row>
    <row r="10" ht="39.75" customHeight="1">
      <c r="B10" s="42" t="s">
        <v>167</v>
      </c>
      <c r="C10" s="45">
        <v>0.1091</v>
      </c>
      <c r="D10" s="44">
        <v>1.6986140000000001</v>
      </c>
      <c r="E10" s="47" t="s">
        <v>168</v>
      </c>
    </row>
    <row r="11" ht="19.350000000000001" customHeight="1">
      <c r="B11" s="48" t="s">
        <v>169</v>
      </c>
      <c r="C11" s="90"/>
      <c r="D11" s="50">
        <f>D6+D8+D9+D10</f>
        <v>37.854371</v>
      </c>
      <c r="E11" s="53" t="s">
        <v>170</v>
      </c>
    </row>
    <row r="13" ht="19.5" customHeight="1">
      <c r="B13" s="91" t="s">
        <v>171</v>
      </c>
      <c r="C13" s="32"/>
      <c r="D13" s="32"/>
      <c r="E13" s="32"/>
      <c r="F13" s="32"/>
    </row>
    <row r="14" ht="41.25" customHeight="1">
      <c r="B14" s="42" t="s">
        <v>159</v>
      </c>
      <c r="C14" s="92"/>
      <c r="D14" s="44">
        <v>13.040800000000001</v>
      </c>
      <c r="E14" s="47" t="s">
        <v>172</v>
      </c>
    </row>
    <row r="15" ht="28.5" customHeight="1">
      <c r="B15" s="42" t="s">
        <v>173</v>
      </c>
      <c r="C15" s="45">
        <v>0.94389999999999996</v>
      </c>
      <c r="D15" s="44"/>
      <c r="E15" s="47" t="s">
        <v>174</v>
      </c>
    </row>
    <row r="16" ht="34.5" customHeight="1">
      <c r="B16" s="93" t="s">
        <v>169</v>
      </c>
      <c r="C16" s="49"/>
      <c r="D16" s="94">
        <v>32.902200000000001</v>
      </c>
      <c r="E16" s="95" t="s">
        <v>175</v>
      </c>
    </row>
    <row r="18">
      <c r="B18" s="91" t="s">
        <v>176</v>
      </c>
      <c r="C18" s="32"/>
      <c r="D18" s="32"/>
      <c r="E18" s="32"/>
      <c r="F18" s="32"/>
    </row>
    <row r="19" ht="22.350000000000001" customHeight="1">
      <c r="B19" s="35" t="s">
        <v>2</v>
      </c>
      <c r="C19" s="35" t="s">
        <v>177</v>
      </c>
      <c r="D19" s="35" t="s">
        <v>178</v>
      </c>
      <c r="E19" s="35" t="s">
        <v>179</v>
      </c>
    </row>
    <row r="20" ht="37.5" customHeight="1">
      <c r="B20" s="89">
        <v>1</v>
      </c>
      <c r="C20" s="96" t="s">
        <v>180</v>
      </c>
      <c r="D20" s="44">
        <v>37.854300000000002</v>
      </c>
      <c r="E20" s="96" t="s">
        <v>181</v>
      </c>
    </row>
    <row r="21" ht="46.5" customHeight="1">
      <c r="B21" s="89">
        <v>2</v>
      </c>
      <c r="C21" s="96" t="s">
        <v>182</v>
      </c>
      <c r="D21" s="44">
        <v>37.854300000000002</v>
      </c>
      <c r="E21" s="96" t="s">
        <v>181</v>
      </c>
    </row>
    <row r="22" ht="36" customHeight="1">
      <c r="B22" s="89">
        <v>3</v>
      </c>
      <c r="C22" s="96" t="s">
        <v>183</v>
      </c>
      <c r="D22" s="44">
        <v>32.902200000000001</v>
      </c>
      <c r="E22" s="96" t="s">
        <v>184</v>
      </c>
    </row>
    <row r="23" ht="48" customHeight="1">
      <c r="B23" s="89">
        <v>4</v>
      </c>
      <c r="C23" s="96" t="s">
        <v>185</v>
      </c>
      <c r="D23" s="44">
        <v>37.854300000000002</v>
      </c>
      <c r="E23" s="96" t="s">
        <v>181</v>
      </c>
    </row>
    <row r="24" ht="36.75" customHeight="1">
      <c r="B24" s="89">
        <v>5</v>
      </c>
      <c r="C24" s="96" t="s">
        <v>186</v>
      </c>
      <c r="D24" s="44">
        <v>37.854300000000002</v>
      </c>
      <c r="E24" s="96" t="s">
        <v>181</v>
      </c>
    </row>
    <row r="25" ht="38.25" customHeight="1">
      <c r="B25" s="89">
        <v>6</v>
      </c>
      <c r="C25" s="96" t="s">
        <v>187</v>
      </c>
      <c r="D25" s="44">
        <v>37.854300000000002</v>
      </c>
      <c r="E25" s="96" t="s">
        <v>181</v>
      </c>
    </row>
    <row r="26" ht="37.5" customHeight="1">
      <c r="B26" s="89">
        <v>7</v>
      </c>
      <c r="C26" s="96" t="s">
        <v>188</v>
      </c>
      <c r="D26" s="44">
        <v>37.854300000000002</v>
      </c>
      <c r="E26" s="96" t="s">
        <v>181</v>
      </c>
    </row>
    <row r="27">
      <c r="B27" s="97" t="s">
        <v>189</v>
      </c>
      <c r="C27" s="32"/>
      <c r="D27" s="32"/>
      <c r="E27" s="32"/>
      <c r="F27" s="32"/>
    </row>
  </sheetData>
  <mergeCells count="6">
    <mergeCell ref="B1:E1"/>
    <mergeCell ref="B2:E2"/>
    <mergeCell ref="B4:F4"/>
    <mergeCell ref="B13:F13"/>
    <mergeCell ref="B18:F18"/>
    <mergeCell ref="B27:F27"/>
  </mergeCells>
  <printOptions headings="0" gridLines="0"/>
  <pageMargins left="0.75" right="0.75" top="1" bottom="1" header="0.51181102362204689" footer="0.51181102362204689"/>
  <pageSetup paperSize="9" scale="69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GridLines="0" zoomScale="90" workbookViewId="0">
      <pane xSplit="1" ySplit="3" topLeftCell="B4" activePane="bottomRight" state="frozen"/>
      <selection activeCell="E13" activeCellId="0" sqref="E13"/>
    </sheetView>
  </sheetViews>
  <sheetFormatPr defaultColWidth="8.71428571428571" defaultRowHeight="15" outlineLevelCol="5"/>
  <cols>
    <col customWidth="1" min="1" max="1" width="2"/>
    <col customWidth="1" min="2" max="2" width="40"/>
    <col customWidth="1" min="3" max="3" width="18"/>
    <col customWidth="1" min="4" max="5" width="16"/>
    <col customWidth="1" min="6" max="6" width="34"/>
  </cols>
  <sheetData>
    <row r="1" ht="24" customHeight="1">
      <c r="B1" s="31" t="s">
        <v>190</v>
      </c>
      <c r="C1" s="32"/>
      <c r="D1" s="32"/>
      <c r="E1" s="32"/>
      <c r="F1" s="32"/>
    </row>
    <row r="2" ht="30" customHeight="1">
      <c r="B2" s="33" t="s">
        <v>191</v>
      </c>
      <c r="C2" s="32"/>
      <c r="D2" s="32"/>
      <c r="E2" s="32"/>
      <c r="F2" s="32"/>
    </row>
    <row r="3" ht="25.5" customHeight="1">
      <c r="B3" s="98" t="s">
        <v>192</v>
      </c>
      <c r="C3" s="98" t="s">
        <v>193</v>
      </c>
      <c r="D3" s="98" t="s">
        <v>194</v>
      </c>
      <c r="E3" s="98" t="s">
        <v>195</v>
      </c>
      <c r="F3" s="98" t="s">
        <v>196</v>
      </c>
    </row>
    <row r="4">
      <c r="B4" s="42" t="s">
        <v>197</v>
      </c>
      <c r="C4" s="89" t="s">
        <v>198</v>
      </c>
      <c r="D4" s="45">
        <v>2.9999999999999999e-002</v>
      </c>
      <c r="E4" s="99">
        <v>2.9999999999999999e-002</v>
      </c>
      <c r="F4" s="43" t="s">
        <v>199</v>
      </c>
    </row>
    <row r="5">
      <c r="B5" s="42" t="s">
        <v>200</v>
      </c>
      <c r="C5" s="89" t="s">
        <v>201</v>
      </c>
      <c r="D5" s="45">
        <v>8.0000000000000002e-003</v>
      </c>
      <c r="E5" s="99">
        <v>8.0000000000000002e-003</v>
      </c>
      <c r="F5" s="43" t="s">
        <v>202</v>
      </c>
    </row>
    <row r="6">
      <c r="B6" s="42" t="s">
        <v>203</v>
      </c>
      <c r="C6" s="89" t="s">
        <v>204</v>
      </c>
      <c r="D6" s="45">
        <v>1.4999999999999999e-002</v>
      </c>
      <c r="E6" s="99">
        <v>1.4999999999999999e-002</v>
      </c>
      <c r="F6" s="43" t="s">
        <v>205</v>
      </c>
    </row>
    <row r="7">
      <c r="B7" s="42" t="s">
        <v>206</v>
      </c>
      <c r="C7" s="89" t="s">
        <v>207</v>
      </c>
      <c r="D7" s="45">
        <v>1.2999999999999999e-002</v>
      </c>
      <c r="E7" s="99">
        <v>1.2999999999999999e-002</v>
      </c>
      <c r="F7" s="43" t="s">
        <v>208</v>
      </c>
    </row>
    <row r="8">
      <c r="B8" s="42" t="s">
        <v>209</v>
      </c>
      <c r="C8" s="89" t="s">
        <v>210</v>
      </c>
      <c r="D8" s="45">
        <v>4.0000000000000001e-002</v>
      </c>
      <c r="E8" s="99">
        <v>4.0000000000000001e-002</v>
      </c>
      <c r="F8" s="43" t="s">
        <v>211</v>
      </c>
    </row>
    <row r="9">
      <c r="B9" s="42" t="s">
        <v>212</v>
      </c>
      <c r="C9" s="89" t="s">
        <v>213</v>
      </c>
      <c r="D9" s="45">
        <v>3.6499999999999998e-002</v>
      </c>
      <c r="E9" s="99">
        <v>3.6499999999999998e-002</v>
      </c>
      <c r="F9" s="43" t="s">
        <v>214</v>
      </c>
    </row>
    <row r="10">
      <c r="B10" s="42" t="s">
        <v>215</v>
      </c>
      <c r="C10" s="89" t="s">
        <v>216</v>
      </c>
      <c r="D10" s="45">
        <v>3.0800000000000001e-002</v>
      </c>
      <c r="E10" s="99">
        <v>3.0800000000000001e-002</v>
      </c>
      <c r="F10" s="43" t="s">
        <v>217</v>
      </c>
    </row>
    <row r="11">
      <c r="B11" s="42" t="s">
        <v>218</v>
      </c>
      <c r="C11" s="89" t="s">
        <v>219</v>
      </c>
      <c r="D11" s="45">
        <v>7.0000000000000007e-002</v>
      </c>
      <c r="E11" s="99">
        <v>7.0000000000000007e-002</v>
      </c>
      <c r="F11" s="43" t="s">
        <v>220</v>
      </c>
    </row>
    <row r="12">
      <c r="B12" s="100" t="s">
        <v>221</v>
      </c>
      <c r="C12" s="37"/>
      <c r="D12" s="37"/>
      <c r="E12" s="101">
        <f>E8+E9+E10</f>
        <v>0.10730000000000001</v>
      </c>
      <c r="F12" s="41" t="s">
        <v>222</v>
      </c>
    </row>
    <row r="13">
      <c r="B13" s="48" t="s">
        <v>223</v>
      </c>
      <c r="C13" s="90"/>
      <c r="D13" s="90"/>
      <c r="E13" s="102">
        <f>((1+E4+E5+E6+E7)*(1+E11)/(1-E12))-1</f>
        <v>0.27771927859303203</v>
      </c>
      <c r="F13" s="53" t="s">
        <v>224</v>
      </c>
    </row>
    <row r="15" ht="24" customHeight="1">
      <c r="B15" s="97" t="s">
        <v>225</v>
      </c>
      <c r="C15" s="32"/>
      <c r="D15" s="32"/>
      <c r="E15" s="32"/>
      <c r="F15" s="32"/>
    </row>
  </sheetData>
  <mergeCells count="3">
    <mergeCell ref="B1:F1"/>
    <mergeCell ref="B2:F2"/>
    <mergeCell ref="B15:F15"/>
  </mergeCells>
  <printOptions headings="0" gridLines="0"/>
  <pageMargins left="0.75" right="0.75" top="1" bottom="1" header="0.51181102362204689" footer="0.51181102362204689"/>
  <pageSetup paperSize="9" scale="68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HeadingPairs>
    <vt:vector size="0" baseType="variant"/>
  </HeadingPairs>
  <TitlesOfParts>
    <vt:vector size="0" baseType="lpstr"/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revision>2</cp:revision>
  <dcterms:created xsi:type="dcterms:W3CDTF">2026-06-24T18:12:00Z</dcterms:created>
  <dcterms:modified xsi:type="dcterms:W3CDTF">2026-07-07T13:36:45Z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1046-12.1.0.26880</vt:lpwstr>
  </property>
  <property fmtid="{D5CDD505-2E9C-101B-9397-08002B2CF9AE}" pid="3" name="CalculationRule">
    <vt:i4>0</vt:i4>
  </property>
  <property fmtid="{D5CDD505-2E9C-101B-9397-08002B2CF9AE}" pid="4" name="ICV">
    <vt:lpwstr>318B5ADB20CC45A38B82582F32AC2089_13</vt:lpwstr>
  </property>
</Properties>
</file>