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showInkAnnotation="0" defaultThemeVersion="124226"/>
  <bookViews>
    <workbookView xWindow="0" yWindow="0" windowWidth="20490" windowHeight="7620"/>
  </bookViews>
  <sheets>
    <sheet name="Memória de Drenagem" sheetId="37" r:id="rId1"/>
    <sheet name="Memória de Pavimentação" sheetId="51" r:id="rId2"/>
    <sheet name="Calçada e Acessibilidade" sheetId="60" r:id="rId3"/>
    <sheet name="DIMENS" sheetId="50" r:id="rId4"/>
  </sheets>
  <definedNames>
    <definedName name="\" localSheetId="2">#REF!</definedName>
    <definedName name="\">#REF!</definedName>
    <definedName name="\c" localSheetId="2">#REF!</definedName>
    <definedName name="\c">#REF!</definedName>
    <definedName name="\I" localSheetId="2">#REF!</definedName>
    <definedName name="\I">#REF!</definedName>
    <definedName name="\p">#REF!</definedName>
    <definedName name="\S">#REF!</definedName>
    <definedName name="\t">#REF!</definedName>
    <definedName name="_____PL1">#REF!</definedName>
    <definedName name="____PL1">#REF!</definedName>
    <definedName name="____PNV2002">#REF!</definedName>
    <definedName name="____PNV2003">#REF!</definedName>
    <definedName name="___PL1">#REF!</definedName>
    <definedName name="___PNV2002">#REF!</definedName>
    <definedName name="___PNV2003">#REF!</definedName>
    <definedName name="__PL1">#REF!</definedName>
    <definedName name="__PNV2002">#REF!</definedName>
    <definedName name="__PNV2003">#REF!</definedName>
    <definedName name="_01_09_96">#REF!</definedName>
    <definedName name="_02">#REF!</definedName>
    <definedName name="_1830201">#N/A</definedName>
    <definedName name="_3">#REF!</definedName>
    <definedName name="_33">#REF!</definedName>
    <definedName name="_4">#REF!</definedName>
    <definedName name="_A254001">#REF!</definedName>
    <definedName name="_A810101">#REF!</definedName>
    <definedName name="_A810102">#REF!</definedName>
    <definedName name="_A810105555">#REF!</definedName>
    <definedName name="_A810112">#REF!</definedName>
    <definedName name="_A840300">#REF!</definedName>
    <definedName name="_AHAH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Key1" localSheetId="2" hidden="1">#REF!</definedName>
    <definedName name="_Key1" hidden="1">#REF!</definedName>
    <definedName name="_Key2" hidden="1">#REF!</definedName>
    <definedName name="_Order1">255</definedName>
    <definedName name="_Order2">255</definedName>
    <definedName name="_PE006" localSheetId="2">#REF!</definedName>
    <definedName name="_PE006">#REF!</definedName>
    <definedName name="_PE007" localSheetId="2">#REF!</definedName>
    <definedName name="_PE007">#REF!</definedName>
    <definedName name="_PE016" localSheetId="2">#REF!</definedName>
    <definedName name="_PE016">#REF!</definedName>
    <definedName name="_PE107">#REF!</definedName>
    <definedName name="_PE108">#REF!</definedName>
    <definedName name="_PE110">#REF!</definedName>
    <definedName name="_PE111">#REF!</definedName>
    <definedName name="_PE113">#REF!</definedName>
    <definedName name="_PE114">#REF!</definedName>
    <definedName name="_PE116">#REF!</definedName>
    <definedName name="_PE117">#REF!</definedName>
    <definedName name="_PE119">#REF!</definedName>
    <definedName name="_PE123">#REF!</definedName>
    <definedName name="_PE315">#REF!</definedName>
    <definedName name="_PE400">#REF!</definedName>
    <definedName name="_PE404">#REF!</definedName>
    <definedName name="_PE408">#REF!</definedName>
    <definedName name="_PE507">#REF!</definedName>
    <definedName name="_PL1">#REF!</definedName>
    <definedName name="_PL201">#REF!</definedName>
    <definedName name="_PL203">#REF!</definedName>
    <definedName name="_PL204">#REF!</definedName>
    <definedName name="_PL206">#REF!</definedName>
    <definedName name="_PL702">#REF!</definedName>
    <definedName name="_PL705">#REF!</definedName>
    <definedName name="_PL706">#REF!</definedName>
    <definedName name="_PL707">#REF!</definedName>
    <definedName name="_PL708">#REF!</definedName>
    <definedName name="_pm101">#REF!</definedName>
    <definedName name="_PM103">#REF!</definedName>
    <definedName name="_PM104">#REF!</definedName>
    <definedName name="_PM107">#REF!</definedName>
    <definedName name="_PM109">#REF!</definedName>
    <definedName name="_PM326">#REF!</definedName>
    <definedName name="_PM332">#REF!</definedName>
    <definedName name="_PM333">#REF!</definedName>
    <definedName name="_PM700">#REF!</definedName>
    <definedName name="_PM905">#REF!</definedName>
    <definedName name="_PM990">#REF!</definedName>
    <definedName name="_PNV2002">#REF!</definedName>
    <definedName name="_PNV2003">#REF!</definedName>
    <definedName name="_PP501">#REF!</definedName>
    <definedName name="_PP502">#REF!</definedName>
    <definedName name="_PP701">#REF!</definedName>
    <definedName name="_PP801">#REF!</definedName>
    <definedName name="_pt101">#REF!</definedName>
    <definedName name="_PT103">#REF!</definedName>
    <definedName name="_PT104">#REF!</definedName>
    <definedName name="_PT107">#REF!</definedName>
    <definedName name="_PT109">#REF!</definedName>
    <definedName name="_Sort" hidden="1">#REF!</definedName>
    <definedName name="_STG03">#REF!</definedName>
    <definedName name="_TCB10">#REF!</definedName>
    <definedName name="_TLB5">#REF!</definedName>
    <definedName name="_TLC4">#REF!</definedName>
    <definedName name="_TOT1">#REF!</definedName>
    <definedName name="_TOT2">#REF!</definedName>
    <definedName name="_TOT3">#REF!</definedName>
    <definedName name="_TOT4">#REF!</definedName>
    <definedName name="_TOT6">#REF!</definedName>
    <definedName name="_TOT7">#REF!</definedName>
    <definedName name="_YE006">#REF!</definedName>
    <definedName name="_YE007">#REF!</definedName>
    <definedName name="_YE016">#REF!</definedName>
    <definedName name="_YE107">#REF!</definedName>
    <definedName name="_YE108">#REF!</definedName>
    <definedName name="_YE110">#REF!</definedName>
    <definedName name="_YE111">#REF!</definedName>
    <definedName name="_YE113">#REF!</definedName>
    <definedName name="_YE114">#REF!</definedName>
    <definedName name="_YE116">#REF!</definedName>
    <definedName name="_YE117">#REF!</definedName>
    <definedName name="_YE119">#REF!</definedName>
    <definedName name="_YE123">#REF!</definedName>
    <definedName name="_YE315">#REF!</definedName>
    <definedName name="_YE400">#REF!</definedName>
    <definedName name="_YE404">#REF!</definedName>
    <definedName name="_YE408">#REF!</definedName>
    <definedName name="_YE507">#REF!</definedName>
    <definedName name="a">#REF!</definedName>
    <definedName name="A.8.301.03">#REF!</definedName>
    <definedName name="A_km">#REF!</definedName>
    <definedName name="A0.333.17">#REF!</definedName>
    <definedName name="A0.333.18">#REF!</definedName>
    <definedName name="A2.0.353.17">#REF!</definedName>
    <definedName name="A2.0.353.18">#REF!</definedName>
    <definedName name="A2.530.03">#REF!</definedName>
    <definedName name="A2.530.04">#REF!</definedName>
    <definedName name="A2.540.01">#REF!</definedName>
    <definedName name="A3.329.00">#REF!</definedName>
    <definedName name="A8.001.00">#REF!</definedName>
    <definedName name="A8.100.00">#REF!</definedName>
    <definedName name="A8.100.01">#REF!</definedName>
    <definedName name="A8.103.00">#REF!</definedName>
    <definedName name="A8.109.00">#REF!</definedName>
    <definedName name="A8.300.01">#REF!</definedName>
    <definedName name="A8.302.05">#REF!</definedName>
    <definedName name="A8.401.00">#REF!</definedName>
    <definedName name="A8.402.02">#REF!</definedName>
    <definedName name="A8.901.00">#REF!</definedName>
    <definedName name="aa">#REF!</definedName>
    <definedName name="AAA" hidden="1">#REF!</definedName>
    <definedName name="AAAA">#REF!</definedName>
    <definedName name="AAAAAAAAA" localSheetId="2">'Calçada e Acessibilidade'!AAAAAAAAA</definedName>
    <definedName name="AAAAAAAAA">[0]!AAAAAAAAA</definedName>
    <definedName name="ACOMPANHAMENTO" localSheetId="2" hidden="1">IF(VALUE(#REF!)=2,"BM","PLE")</definedName>
    <definedName name="ACOMPANHAMENTO" hidden="1">IF(VALUE(#REF!)=2,"BM","PLE")</definedName>
    <definedName name="adfhdfhsd" localSheetId="2">#REF!</definedName>
    <definedName name="adfhdfhsd">#REF!</definedName>
    <definedName name="ALTA" localSheetId="2">#REF!</definedName>
    <definedName name="ALTA">#REF!</definedName>
    <definedName name="amarela">#REF!</definedName>
    <definedName name="AQCAP">#REF!</definedName>
    <definedName name="AQCM30">#REF!</definedName>
    <definedName name="AQRC1C">#REF!</definedName>
    <definedName name="AQRR1C">#REF!</definedName>
    <definedName name="AQRR2C">#REF!</definedName>
    <definedName name="ÀREA">#REF!</definedName>
    <definedName name="ÀREA_ACUM">#REF!</definedName>
    <definedName name="_xlnm.Print_Area" localSheetId="2">'Calçada e Acessibilidade'!$A$1:$U$53</definedName>
    <definedName name="_xlnm.Print_Area" localSheetId="3">DIMENS!$A$2:$AF$31</definedName>
    <definedName name="_xlnm.Print_Area" localSheetId="0">'Memória de Drenagem'!$A$1:$AF$77</definedName>
    <definedName name="_xlnm.Print_Area" localSheetId="1">'Memória de Pavimentação'!$A$1:$U$100</definedName>
    <definedName name="Área_impressão_IM" localSheetId="2">#REF!</definedName>
    <definedName name="Área_impressão_IM">#REF!</definedName>
    <definedName name="AREAL">#REF!</definedName>
    <definedName name="AREIA">#REF!</definedName>
    <definedName name="ARMADURA">#REF!</definedName>
    <definedName name="ARRUMADA">#REF!</definedName>
    <definedName name="as">#REF!</definedName>
    <definedName name="asfasgas">#REF!</definedName>
    <definedName name="Aut_original">#REF!</definedName>
    <definedName name="Aut_resumo">#REF!</definedName>
    <definedName name="azul">#REF!</definedName>
    <definedName name="AZULSINAL">#REF!</definedName>
    <definedName name="B" localSheetId="2">'Calçada e Acessibilidade'!B</definedName>
    <definedName name="B">[0]!B</definedName>
    <definedName name="_xlnm.Database" localSheetId="2">#REF!</definedName>
    <definedName name="_xlnm.Database">#REF!</definedName>
    <definedName name="BB" localSheetId="2">#REF!</definedName>
    <definedName name="BB">#REF!</definedName>
    <definedName name="BDI" localSheetId="2">#REF!</definedName>
    <definedName name="BDI">#REF!</definedName>
    <definedName name="BDI.Opcao" hidden="1">#REF!</definedName>
    <definedName name="BDI.TipoObra" hidden="1">#REF!</definedName>
    <definedName name="BDI_7">#N/A</definedName>
    <definedName name="BDI_8">#N/A</definedName>
    <definedName name="BG" localSheetId="2">#REF!</definedName>
    <definedName name="BG">#REF!</definedName>
    <definedName name="BGU" localSheetId="2">#REF!</definedName>
    <definedName name="BGU">#REF!</definedName>
    <definedName name="Bloco" localSheetId="2" hidden="1">#REF!</definedName>
    <definedName name="Bloco" hidden="1">#REF!</definedName>
    <definedName name="Bloco2" hidden="1">#REF!</definedName>
    <definedName name="BOLETIM">#REF!</definedName>
    <definedName name="BR">#REF!</definedName>
    <definedName name="BRITA">#REF!</definedName>
    <definedName name="BRITAREM">#REF!</definedName>
    <definedName name="BSCC">#REF!</definedName>
    <definedName name="ca">#REF!</definedName>
    <definedName name="CadIns" hidden="1">#REF!</definedName>
    <definedName name="CadSrv" hidden="1">#REF!</definedName>
    <definedName name="CAIAÇÃO">#REF!</definedName>
    <definedName name="CAMINHAO">#REF!</definedName>
    <definedName name="CANTEIRO">#REF!</definedName>
    <definedName name="CAPASELANTE">#REF!</definedName>
    <definedName name="CAPINA">#REF!</definedName>
    <definedName name="CARRO">#REF!</definedName>
    <definedName name="CBU">#REF!</definedName>
    <definedName name="CBUII">#REF!</definedName>
    <definedName name="CBUQ">#REF!</definedName>
    <definedName name="CBUQB">#REF!</definedName>
    <definedName name="CBUQc">#REF!</definedName>
    <definedName name="CBUQFINA">#REF!</definedName>
    <definedName name="CCCCCCCCCCC" localSheetId="2">'Calçada e Acessibilidade'!CCCCCCCCCCC</definedName>
    <definedName name="CCCCCCCCCCC">[0]!CCCCCCCCCCC</definedName>
    <definedName name="cch" hidden="1">#N/A</definedName>
    <definedName name="CCONST" localSheetId="2">#REF!</definedName>
    <definedName name="CCONST">#REF!</definedName>
    <definedName name="CD" localSheetId="2">#REF!</definedName>
    <definedName name="CD">#REF!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ELSO" localSheetId="2">'Calçada e Acessibilidade'!CELSO</definedName>
    <definedName name="CELSO">[0]!CELSO</definedName>
    <definedName name="CÉLULA" localSheetId="2">#REF!</definedName>
    <definedName name="CÉLULA">#REF!</definedName>
    <definedName name="Chave" localSheetId="2" hidden="1">#REF!</definedName>
    <definedName name="Chave" hidden="1">#REF!</definedName>
    <definedName name="Chave1" localSheetId="2" hidden="1">#REF!</definedName>
    <definedName name="Chave1" hidden="1">#REF!</definedName>
    <definedName name="CIMENTO">#REF!</definedName>
    <definedName name="Clas" hidden="1">MAX(LEN(#REF!))</definedName>
    <definedName name="Cliente">""</definedName>
    <definedName name="Cls" hidden="1">#N/A</definedName>
    <definedName name="CM.30">#REF!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oluna" hidden="1">#REF!</definedName>
    <definedName name="comp">#REF!</definedName>
    <definedName name="CONCIM">#REF!</definedName>
    <definedName name="CONCR">#REF!</definedName>
    <definedName name="CONCRETO">#REF!</definedName>
    <definedName name="CONSERVA1">#REF!</definedName>
    <definedName name="CONSERVA2">#REF!</definedName>
    <definedName name="consumo.2">#REF!</definedName>
    <definedName name="CONTRATO">#REF!</definedName>
    <definedName name="correção">#REF!</definedName>
    <definedName name="CpuAux" hidden="1">#REF!</definedName>
    <definedName name="CPUs" hidden="1">#REF!</definedName>
    <definedName name="CRC">#REF!</definedName>
    <definedName name="CRIT" hidden="1">#REF!</definedName>
    <definedName name="Criteria">#REF!</definedName>
    <definedName name="_xlnm.Criteria">#REF!</definedName>
    <definedName name="Cronograma">#REF!</definedName>
    <definedName name="CSA">#REF!</definedName>
    <definedName name="CUN">#REF!</definedName>
    <definedName name="CunEq" localSheetId="2" hidden="1">SUM(IF(#REF! =#REF!,(#REF!)*(#REF!="EQ")))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x">#REF!</definedName>
    <definedName name="d">#REF!</definedName>
    <definedName name="dadinho">#REF!</definedName>
    <definedName name="DADOS">#REF!</definedName>
    <definedName name="dal">#REF!</definedName>
    <definedName name="DAR">#REF!</definedName>
    <definedName name="DATA">#REF!</definedName>
    <definedName name="DATA_AT">#REF!</definedName>
    <definedName name="Data_Final">#REF!</definedName>
    <definedName name="Data_Início">#REF!</definedName>
    <definedName name="DATA_M">#REF!</definedName>
    <definedName name="DATA_NF">#REF!</definedName>
    <definedName name="data1">#REF!</definedName>
    <definedName name="Database">#REF!</definedName>
    <definedName name="DATAMEDIÇÃO">#REF!</definedName>
    <definedName name="DB">#REF!</definedName>
    <definedName name="DD">#REF!</definedName>
    <definedName name="DDDD">#REF!</definedName>
    <definedName name="dddddddd">#REF!</definedName>
    <definedName name="DE_km">#REF!</definedName>
    <definedName name="Declividade">#REF!</definedName>
    <definedName name="dedss">#REF!</definedName>
    <definedName name="DEMONSTRATIVO_DO_RESULTADO_GERENCIAL___DGR">#REF!</definedName>
    <definedName name="DER">#REF!</definedName>
    <definedName name="des">#REF!</definedName>
    <definedName name="DescAux" hidden="1">#N/A</definedName>
    <definedName name="descricao">#REF!</definedName>
    <definedName name="Desma">#REF!</definedName>
    <definedName name="DESOBBUE">#REF!</definedName>
    <definedName name="DESONERACAO" hidden="1">IF(OR(Import.Desoneracao="DESONERADO",Import.Desoneracao="SIM"),"SIM","NÃO")</definedName>
    <definedName name="DESTOC15" localSheetId="2">#REF!</definedName>
    <definedName name="DESTOC15">#REF!</definedName>
    <definedName name="DESTOC30" localSheetId="2">#REF!</definedName>
    <definedName name="DESTOC30">#REF!</definedName>
    <definedName name="DGA" localSheetId="2">#REF!</definedName>
    <definedName name="DGA">#REF!</definedName>
    <definedName name="dghdfhsdf">#REF!</definedName>
    <definedName name="dghzdfhsd" localSheetId="2" hidden="1">{#N/A,#N/A,FALSE,"Pla_Preço";#N/A,#N/A,FALSE,"Crono"}</definedName>
    <definedName name="dghzdfhsd" hidden="1">{#N/A,#N/A,FALSE,"Pla_Preço";#N/A,#N/A,FALSE,"Crono"}</definedName>
    <definedName name="DIE">#REF!</definedName>
    <definedName name="DIGITAL" localSheetId="2">'Calçada e Acessibilidade'!DIGITAL</definedName>
    <definedName name="DIGITAL">[0]!DIGITAL</definedName>
    <definedName name="DISTAU" localSheetId="2">#REF!</definedName>
    <definedName name="DISTAU">#REF!</definedName>
    <definedName name="DISTBP" localSheetId="2">#REF!</definedName>
    <definedName name="DISTBP">#REF!</definedName>
    <definedName name="DISTBU" localSheetId="2">#REF!</definedName>
    <definedName name="DISTBU">#REF!</definedName>
    <definedName name="DISTCIM">#REF!</definedName>
    <definedName name="DISTFILLER">#REF!</definedName>
    <definedName name="DISTFRESADO">#REF!</definedName>
    <definedName name="DISTMASSA">#REF!</definedName>
    <definedName name="DISTSOLO">#REF!</definedName>
    <definedName name="DJ">#REF!</definedName>
    <definedName name="DMT_ADUELAS">#REF!</definedName>
    <definedName name="DMT_ARGILA">#REF!</definedName>
    <definedName name="DMT_BASE">#REF!</definedName>
    <definedName name="DMT_BF">#REF!</definedName>
    <definedName name="DMT_CBUQ">#REF!</definedName>
    <definedName name="DMT_CM30">#REF!</definedName>
    <definedName name="DMT_PEDREIRA">#REF!</definedName>
    <definedName name="DMT_PISO">#REF!</definedName>
    <definedName name="DMT_TUBOS">#REF!</definedName>
    <definedName name="dre">#REF!</definedName>
    <definedName name="drenae">#REF!</definedName>
    <definedName name="Dreno1">#REF!</definedName>
    <definedName name="DSASDSA">#REF!</definedName>
    <definedName name="Dsc">#N/A</definedName>
    <definedName name="dsghnfxgvnjxf">#REF!</definedName>
    <definedName name="dsgjhxgn" localSheetId="2" hidden="1">{#N/A,#N/A,FALSE,"Pla_Preço";#N/A,#N/A,FALSE,"Crono"}</definedName>
    <definedName name="dsgjhxgn" hidden="1">{#N/A,#N/A,FALSE,"Pla_Preço";#N/A,#N/A,FALSE,"Crono"}</definedName>
    <definedName name="dsgsd">#REF!</definedName>
    <definedName name="E" hidden="1">#REF!</definedName>
    <definedName name="e__cm">#REF!</definedName>
    <definedName name="ECJ">#REF!</definedName>
    <definedName name="edit">#REF!</definedName>
    <definedName name="EDITAL">#REF!</definedName>
    <definedName name="EEEE">#REF!</definedName>
    <definedName name="EJ">#REF!</definedName>
    <definedName name="EmpAux">""</definedName>
    <definedName name="Empr">#REF!</definedName>
    <definedName name="EMPRESA">#REF!</definedName>
    <definedName name="emprestimo">#REF!</definedName>
    <definedName name="ENC">#REF!</definedName>
    <definedName name="ENCARREGADO">#REF!</definedName>
    <definedName name="ENG">#REF!</definedName>
    <definedName name="ENROCAMENTO">#REF!</definedName>
    <definedName name="ENROCAMENTOJOGADA">#REF!</definedName>
    <definedName name="EPA">#REF!</definedName>
    <definedName name="EPJ">#REF!</definedName>
    <definedName name="EQ" hidden="1">#REF!</definedName>
    <definedName name="EQUIP">#REF!</definedName>
    <definedName name="ES">#REF!</definedName>
    <definedName name="ESC1CAT">#REF!</definedName>
    <definedName name="ESCAVAÇÃO">#REF!</definedName>
    <definedName name="Eu">#REF!</definedName>
    <definedName name="EX">#REF!</definedName>
    <definedName name="EXA">#REF!</definedName>
    <definedName name="Excel_BuiltIn_Print_Area_2">#REF!</definedName>
    <definedName name="EXT">#REF!</definedName>
    <definedName name="EXT__m">#REF!</definedName>
    <definedName name="extenção">#REF!</definedName>
    <definedName name="EXTENSÃO">#REF!</definedName>
    <definedName name="Extenso" localSheetId="2">'Calçada e Acessibilidade'!Extenso</definedName>
    <definedName name="Extenso">[0]!Extenso</definedName>
    <definedName name="Extract" localSheetId="2">#REF!</definedName>
    <definedName name="Extract">#REF!</definedName>
    <definedName name="f" localSheetId="2">#REF!</definedName>
    <definedName name="f">#REF!</definedName>
    <definedName name="fator" localSheetId="2">#REF!</definedName>
    <definedName name="fator">#REF!</definedName>
    <definedName name="FATOR1">#REF!</definedName>
    <definedName name="fc1a">#REF!</definedName>
    <definedName name="FC2A">#REF!</definedName>
    <definedName name="FC3A">#REF!</definedName>
    <definedName name="FDFDFSDF" hidden="1">#REF!</definedName>
    <definedName name="feriados">#REF!</definedName>
    <definedName name="fhdfhsfd">#REF!</definedName>
    <definedName name="figura1">"Figura 1"</definedName>
    <definedName name="FIM">#REF!</definedName>
    <definedName name="FIRMA">#REF!</definedName>
    <definedName name="FIRMA2">#REF!</definedName>
    <definedName name="FORMA">#REF!</definedName>
    <definedName name="FRESAGEM">#REF!</definedName>
    <definedName name="G">#REF!</definedName>
    <definedName name="GAS">#REF!</definedName>
    <definedName name="GEOVANI">#REF!</definedName>
    <definedName name="GEOVANI2">#REF!</definedName>
    <definedName name="GG">#REF!</definedName>
    <definedName name="ghgh">#REF!</definedName>
    <definedName name="GN">#REF!</definedName>
    <definedName name="GRADUADA">#REF!</definedName>
    <definedName name="GRAMA">#REF!</definedName>
    <definedName name="GRAMADA">#REF!</definedName>
    <definedName name="gsdfhj">#REF!</definedName>
    <definedName name="Guia">"Figura 1"</definedName>
    <definedName name="haihaah">#REF!</definedName>
    <definedName name="hi">#REF!</definedName>
    <definedName name="hiper_170">#REF!</definedName>
    <definedName name="HP">#REF!</definedName>
    <definedName name="HP.1">#REF!</definedName>
    <definedName name="IM">#REF!</definedName>
    <definedName name="IMP">#REF!</definedName>
    <definedName name="Import.Apelido" hidden="1">#REF!</definedName>
    <definedName name="Import.CR" hidden="1">#REF!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SICONV" hidden="1">#REF!</definedName>
    <definedName name="IMPR">#REF!</definedName>
    <definedName name="IMPRIMAÇÃO">#REF!</definedName>
    <definedName name="INDICE">#REF!</definedName>
    <definedName name="INICIO">#REF!</definedName>
    <definedName name="INSUMOS">#REF!</definedName>
    <definedName name="Itens" hidden="1">#REF!</definedName>
    <definedName name="JAZU">#REF!</definedName>
    <definedName name="jnxcfhnxc">#REF!</definedName>
    <definedName name="JOGADA">#REF!</definedName>
    <definedName name="JR_PAGE_ANCHOR_0_1">#REF!</definedName>
    <definedName name="JR_PAGE_ANCHOR_1_1">#REF!</definedName>
    <definedName name="JR_PAGE_ANCHOR_4_1">#REF!</definedName>
    <definedName name="JR_PAGE_ANCHOR_6_1">#REF!</definedName>
    <definedName name="JUROS">#REF!</definedName>
    <definedName name="Kincc">#REF!</definedName>
    <definedName name="Koae">#REF!</definedName>
    <definedName name="Kp">#REF!</definedName>
    <definedName name="Kt">#REF!</definedName>
    <definedName name="KTT">#REF!</definedName>
    <definedName name="LADO">#REF!</definedName>
    <definedName name="LAG">#REF!</definedName>
    <definedName name="LARG">#REF!</definedName>
    <definedName name="LB">#REF!</definedName>
    <definedName name="LD">#REF!</definedName>
    <definedName name="LDA">#REF!</definedName>
    <definedName name="LEIVAS">#REF!</definedName>
    <definedName name="LILASDRENA">#REF!</definedName>
    <definedName name="LIMPBUE">#REF!</definedName>
    <definedName name="LIMPEZADESCIDA">#REF!</definedName>
    <definedName name="LIMPEZAMEIOFIO">#REF!</definedName>
    <definedName name="LIMPEZAPONTE">#REF!</definedName>
    <definedName name="LIMPVALA">#REF!</definedName>
    <definedName name="loc">#REF!</definedName>
    <definedName name="LOCAL">#REF!</definedName>
    <definedName name="LOLO">#REF!</definedName>
    <definedName name="LOTE">#REF!</definedName>
    <definedName name="LP">#REF!</definedName>
    <definedName name="LPS">#REF!</definedName>
    <definedName name="LSMF">#REF!</definedName>
    <definedName name="LVC">#REF!</definedName>
    <definedName name="MANCANT">#REF!</definedName>
    <definedName name="Max" hidden="1">COUNTIF(#REF!,"&lt;&gt;0")+3</definedName>
    <definedName name="MBBET">#REF!</definedName>
    <definedName name="MBUF">#REF!</definedName>
    <definedName name="MBUFMANUAL">#REF!</definedName>
    <definedName name="MBUQ">#REF!</definedName>
    <definedName name="Medição">#REF!</definedName>
    <definedName name="MEDIÇÃO1">#REF!</definedName>
    <definedName name="medir">#REF!</definedName>
    <definedName name="MEIO">#REF!</definedName>
    <definedName name="MERCADOSEL">#REF!</definedName>
    <definedName name="MERCADOSELF">#REF!</definedName>
    <definedName name="MERDA" localSheetId="2">'Calçada e Acessibilidade'!MERDA</definedName>
    <definedName name="MERDA">[0]!MERDA</definedName>
    <definedName name="MES" localSheetId="2">#REF!</definedName>
    <definedName name="MES">#REF!</definedName>
    <definedName name="MESTEXTO" localSheetId="2">#REF!</definedName>
    <definedName name="MESTEXTO">#REF!</definedName>
    <definedName name="MFC" localSheetId="2">#REF!</definedName>
    <definedName name="MFC">#REF!</definedName>
    <definedName name="MICRO">#REF!</definedName>
    <definedName name="MICRO1.5">#REF!</definedName>
    <definedName name="MICRO8">#REF!</definedName>
    <definedName name="mmm">#REF!</definedName>
    <definedName name="mmmmmmmmmmmmmmmmmm">#REF!</definedName>
    <definedName name="MO" hidden="1">#REF!</definedName>
    <definedName name="Mob">#REF!</definedName>
    <definedName name="Modelo" hidden="1">#REF!</definedName>
    <definedName name="módulo1.Extenso" localSheetId="2">'Calçada e Acessibilidade'!módulo1.Extenso</definedName>
    <definedName name="módulo1.Extenso">[0]!módulo1.Extenso</definedName>
    <definedName name="MOTOSERRA" localSheetId="2">#REF!</definedName>
    <definedName name="MOTOSERRA">#REF!</definedName>
    <definedName name="MP" localSheetId="2" hidden="1">#REF!</definedName>
    <definedName name="MP" hidden="1">#REF!</definedName>
    <definedName name="MUDAS" localSheetId="2">#REF!</definedName>
    <definedName name="MUDAS">#REF!</definedName>
    <definedName name="municipio" localSheetId="2">#REF!</definedName>
    <definedName name="municipio">#REF!</definedName>
    <definedName name="N">#REF!</definedName>
    <definedName name="N_NF">#REF!</definedName>
    <definedName name="NG">#REF!</definedName>
    <definedName name="NGNG">#REF!</definedName>
    <definedName name="NLEq">4</definedName>
    <definedName name="NLMo">6</definedName>
    <definedName name="NLMp">5</definedName>
    <definedName name="NLTr">3</definedName>
    <definedName name="NN">#REF!</definedName>
    <definedName name="NTEI">#REF!</definedName>
    <definedName name="NUAISDHG">#REF!</definedName>
    <definedName name="NUMEROMEDIÇÃO">#REF!</definedName>
    <definedName name="oac">#REF!</definedName>
    <definedName name="OBR_NE">#REF!</definedName>
    <definedName name="OBR_SE">#REF!</definedName>
    <definedName name="OBR_SL">#REF!</definedName>
    <definedName name="OBR_TC">#REF!</definedName>
    <definedName name="OBRA">#REF!</definedName>
    <definedName name="OBRAS">#REF!</definedName>
    <definedName name="OBRASF">#REF!</definedName>
    <definedName name="oc">#REF!</definedName>
    <definedName name="ok">#REF!</definedName>
    <definedName name="OnOff">"ON"</definedName>
    <definedName name="OPA">#REF!</definedName>
    <definedName name="Ordem" hidden="1">#REF!</definedName>
    <definedName name="org">#REF!</definedName>
    <definedName name="Origem" hidden="1">#REF!</definedName>
    <definedName name="p01.401.00">#REF!</definedName>
    <definedName name="p02.300.00">#REF!</definedName>
    <definedName name="p02.400.00">#REF!</definedName>
    <definedName name="p02.500.01">#REF!</definedName>
    <definedName name="p02.530.00">#REF!</definedName>
    <definedName name="p02.530.01">#REF!</definedName>
    <definedName name="p02.530.02">#REF!</definedName>
    <definedName name="P02.530.03">#REF!</definedName>
    <definedName name="p02.540.00">#REF!</definedName>
    <definedName name="p03.950.00">#REF!</definedName>
    <definedName name="PassaExtenso">#REF!</definedName>
    <definedName name="PAV">#REF!</definedName>
    <definedName name="pavi">#REF!</definedName>
    <definedName name="PAVIMENTONOVO">#REF!</definedName>
    <definedName name="Payment_Needed">"Pagamento necessário"</definedName>
    <definedName name="PCAP.20">#REF!</definedName>
    <definedName name="PCM.30">#REF!</definedName>
    <definedName name="PEAD1200">#REF!</definedName>
    <definedName name="PEDREIRA">#REF!</definedName>
    <definedName name="PEN">#REF!</definedName>
    <definedName name="percentuais">#REF!</definedName>
    <definedName name="PercResid.">#REF!</definedName>
    <definedName name="PERIODO">#REF!</definedName>
    <definedName name="Período">#REF!</definedName>
    <definedName name="PERIODO_LIQUIDO">#REF!</definedName>
    <definedName name="pesquisa">#REF!</definedName>
    <definedName name="PINT">#REF!</definedName>
    <definedName name="PINTFAIXA">#REF!</definedName>
    <definedName name="PINTURALIGAÇÃO">#REF!</definedName>
    <definedName name="PL">#REF!</definedName>
    <definedName name="Plan1" hidden="1">#REF!</definedName>
    <definedName name="PLANEJADA">#REF!</definedName>
    <definedName name="planilha">[0]!planilha</definedName>
    <definedName name="PMBUF" localSheetId="2">#REF!</definedName>
    <definedName name="PMBUF">#REF!</definedName>
    <definedName name="Ponte" localSheetId="2">'Calçada e Acessibilidade'!Ponte</definedName>
    <definedName name="Ponte">[0]!Ponte</definedName>
    <definedName name="Posição" localSheetId="2" hidden="1">#REF!</definedName>
    <definedName name="Posição" hidden="1">#REF!</definedName>
    <definedName name="potencia" localSheetId="2">#REF!</definedName>
    <definedName name="potencia">#REF!</definedName>
    <definedName name="Prd" hidden="1">#N/A</definedName>
    <definedName name="PrdAux" hidden="1">#N/A</definedName>
    <definedName name="precipitações" localSheetId="2">#REF!</definedName>
    <definedName name="precipitações">#REF!</definedName>
    <definedName name="Preço_Improd." localSheetId="2">#REF!</definedName>
    <definedName name="Preço_Improd.">#REF!</definedName>
    <definedName name="Preço_prod." localSheetId="2">#REF!</definedName>
    <definedName name="Preço_prod.">#REF!</definedName>
    <definedName name="preco1">#REF!</definedName>
    <definedName name="Print">#REF!</definedName>
    <definedName name="Print_01">#REF!</definedName>
    <definedName name="Print_Area_MI">#N/A</definedName>
    <definedName name="PRL.1C">#REF!</definedName>
    <definedName name="PRM.1C">#REF!</definedName>
    <definedName name="PROCESSO">#REF!</definedName>
    <definedName name="produção">#REF!</definedName>
    <definedName name="produçao1">#REF!</definedName>
    <definedName name="PRR.1C">#REF!</definedName>
    <definedName name="Pto">ROUND(#REF!*#REF!,2)</definedName>
    <definedName name="Pun">#N/A</definedName>
    <definedName name="q">#REF!</definedName>
    <definedName name="qadfhnbxfc">#REF!</definedName>
    <definedName name="QD" hidden="1">#REF!</definedName>
    <definedName name="QQ_2" localSheetId="2">'Calçada e Acessibilidade'!QQ_2</definedName>
    <definedName name="QQ_2">[0]!QQ_2</definedName>
    <definedName name="QTD" localSheetId="2" hidden="1">#REF!</definedName>
    <definedName name="QTD" hidden="1">#REF!</definedName>
    <definedName name="QtEq" localSheetId="2" hidden="1">#REF!</definedName>
    <definedName name="QtEq" hidden="1">#REF!</definedName>
    <definedName name="QtMo" localSheetId="2" hidden="1">#REF!</definedName>
    <definedName name="QtMo" hidden="1">#REF!</definedName>
    <definedName name="QtMp" hidden="1">#REF!</definedName>
    <definedName name="QtTr" hidden="1">#REF!</definedName>
    <definedName name="Quant.">#REF!</definedName>
    <definedName name="Quant.1">#REF!</definedName>
    <definedName name="QUANTIDADE">#REF!</definedName>
    <definedName name="Rachão" localSheetId="2">'Calçada e Acessibilidade'!Rachão</definedName>
    <definedName name="Rachão">[0]!Rachão</definedName>
    <definedName name="RBV" localSheetId="2">#REF!</definedName>
    <definedName name="RBV">#REF!</definedName>
    <definedName name="RCGP" localSheetId="2">#REF!</definedName>
    <definedName name="RCGP">#REF!</definedName>
    <definedName name="RCOLONIAO" localSheetId="2">#REF!</definedName>
    <definedName name="RCOLONIAO">#REF!</definedName>
    <definedName name="RDEF">#REF!</definedName>
    <definedName name="reaj">#REF!</definedName>
    <definedName name="REAJ1">#REF!</definedName>
    <definedName name="REAJ2">#REF!</definedName>
    <definedName name="REAJ3">#REF!</definedName>
    <definedName name="REAJ4">#REF!</definedName>
    <definedName name="REAJ5">#REF!</definedName>
    <definedName name="REAJAQUISIÇÃO">#REF!</definedName>
    <definedName name="REAJTRANSPORTE">#REF!</definedName>
    <definedName name="REAJUSTAMENTO">#REF!</definedName>
    <definedName name="reajustamentoaquisição">#REF!</definedName>
    <definedName name="reajustamentotransp">#REF!</definedName>
    <definedName name="Real_170">#REF!</definedName>
    <definedName name="Real_180">#REF!</definedName>
    <definedName name="Real_190">#REF!</definedName>
    <definedName name="Real_250">#REF!</definedName>
    <definedName name="Real_270">#REF!</definedName>
    <definedName name="Real_320">#REF!</definedName>
    <definedName name="Real_330">#REF!</definedName>
    <definedName name="Real_350">#REF!</definedName>
    <definedName name="Real_370">#REF!</definedName>
    <definedName name="Real_390">#REF!</definedName>
    <definedName name="Real_400">#REF!</definedName>
    <definedName name="Real_401">#REF!</definedName>
    <definedName name="Real_402">#REF!</definedName>
    <definedName name="Real_403">#REF!</definedName>
    <definedName name="Real_405">#REF!</definedName>
    <definedName name="Real_406">#REF!</definedName>
    <definedName name="Real_407">#REF!</definedName>
    <definedName name="Real_408">#REF!</definedName>
    <definedName name="Real_409">#REF!</definedName>
    <definedName name="Real_410">#REF!</definedName>
    <definedName name="Real_411">#REF!</definedName>
    <definedName name="Real_CP">#REF!</definedName>
    <definedName name="Real_Priv">#REF!</definedName>
    <definedName name="Real_Publ">#REF!</definedName>
    <definedName name="rec" localSheetId="2">'Calçada e Acessibilidade'!rec</definedName>
    <definedName name="rec">[0]!rec</definedName>
    <definedName name="RECGC" localSheetId="2">#REF!</definedName>
    <definedName name="RECGC">#REF!</definedName>
    <definedName name="RECGP" localSheetId="2">#REF!</definedName>
    <definedName name="RECGP">#REF!</definedName>
    <definedName name="RECOMPOSIÇÃOMANUAL" localSheetId="2">#REF!</definedName>
    <definedName name="RECOMPOSIÇÃOMANUAL">#REF!</definedName>
    <definedName name="RECOMPOSIÇÃOMECANIZADA">#REF!</definedName>
    <definedName name="RECPS">#REF!</definedName>
    <definedName name="RECREV">#REF!</definedName>
    <definedName name="RECREVESTIMENTO">#REF!</definedName>
    <definedName name="RECREVPRIMARIO">#REF!</definedName>
    <definedName name="REF">#REF!</definedName>
    <definedName name="REG">#REF!</definedName>
    <definedName name="REGFAIXA">#REF!</definedName>
    <definedName name="REGULA">#REF!</definedName>
    <definedName name="Reimbursement">"Reembolso"</definedName>
    <definedName name="Relat" hidden="1">#REF!</definedName>
    <definedName name="REMENDOMANUAL">#REF!</definedName>
    <definedName name="REMMAN">#REF!</definedName>
    <definedName name="REMMEC">#REF!</definedName>
    <definedName name="REMOPS">#REF!</definedName>
    <definedName name="RESUMO" localSheetId="2">'Calçada e Acessibilidade'!RESUMO</definedName>
    <definedName name="RESUMO">[0]!RESUMO</definedName>
    <definedName name="RETRO" localSheetId="2">#REF!</definedName>
    <definedName name="RETRO">#REF!</definedName>
    <definedName name="RGC" localSheetId="2">#REF!</definedName>
    <definedName name="RGC">#REF!</definedName>
    <definedName name="RMA" localSheetId="2">#REF!</definedName>
    <definedName name="RMA">#REF!</definedName>
    <definedName name="RMAN">#REF!</definedName>
    <definedName name="RMANAT">#REF!</definedName>
    <definedName name="RMEC">#REF!</definedName>
    <definedName name="RMECAT">#REF!</definedName>
    <definedName name="RMSH">#REF!</definedName>
    <definedName name="ROÇADA">#REF!</definedName>
    <definedName name="ROÇADACOLONIÃO">#REF!</definedName>
    <definedName name="rod">#REF!</definedName>
    <definedName name="rodo">#REF!</definedName>
    <definedName name="RODOVIA">#REF!</definedName>
    <definedName name="RODOVIA_1">#REF!</definedName>
    <definedName name="RPDMAN">#REF!</definedName>
    <definedName name="RPDMEC">#REF!</definedName>
    <definedName name="RR.1C">#REF!</definedName>
    <definedName name="RR.1CREC">#REF!</definedName>
    <definedName name="RRM">#REF!</definedName>
    <definedName name="RRP">#REF!</definedName>
    <definedName name="rrr">#REF!</definedName>
    <definedName name="RRRR">#REF!</definedName>
    <definedName name="RS">#REF!</definedName>
    <definedName name="RVGL">#REF!</definedName>
    <definedName name="Salários">#REF!</definedName>
    <definedName name="SB">#REF!</definedName>
    <definedName name="sbg">#REF!</definedName>
    <definedName name="SBTC">#REF!</definedName>
    <definedName name="sdfs" localSheetId="2">'Calçada e Acessibilidade'!sdfs</definedName>
    <definedName name="sdfs">[0]!sdfs</definedName>
    <definedName name="se" localSheetId="2">#REF!</definedName>
    <definedName name="se">#REF!</definedName>
    <definedName name="SEG" localSheetId="2">#REF!</definedName>
    <definedName name="SEG">#REF!</definedName>
    <definedName name="SEGMENTO" localSheetId="2">#REF!</definedName>
    <definedName name="SEGMENTO">#REF!</definedName>
    <definedName name="SEGMENTO_1">#REF!</definedName>
    <definedName name="SERV">#REF!</definedName>
    <definedName name="SERVENTE">#REF!</definedName>
    <definedName name="SERVIÇO">#REF!</definedName>
    <definedName name="serviço1">#REF!</definedName>
    <definedName name="Serviços">#REF!</definedName>
    <definedName name="sfas">#REF!</definedName>
    <definedName name="SICRO">#REF!</definedName>
    <definedName name="SLRP">#REF!</definedName>
    <definedName name="solo">#REF!</definedName>
    <definedName name="SOLOCIM">#REF!</definedName>
    <definedName name="SOLOMANUAL">#REF!</definedName>
    <definedName name="solomecanizado">#REF!</definedName>
    <definedName name="SOMA6">#REF!</definedName>
    <definedName name="SOMA7">#REF!</definedName>
    <definedName name="SRV" hidden="1">#REF!</definedName>
    <definedName name="sss">#REF!</definedName>
    <definedName name="sssrttt" localSheetId="2">'Calçada e Acessibilidade'!sssrttt</definedName>
    <definedName name="sssrttt">[0]!sssrttt</definedName>
    <definedName name="SSSS" localSheetId="2">#REF!</definedName>
    <definedName name="SSSS">#REF!</definedName>
    <definedName name="SSSSSS" localSheetId="2">#REF!</definedName>
    <definedName name="SSSSSS">#REF!</definedName>
    <definedName name="ST" localSheetId="2">#REF!</definedName>
    <definedName name="ST">#REF!</definedName>
    <definedName name="STC">#REF!</definedName>
    <definedName name="STR">#REF!</definedName>
    <definedName name="SUB_TRECHO">#REF!</definedName>
    <definedName name="Subt">#REF!</definedName>
    <definedName name="subtrec">#REF!</definedName>
    <definedName name="SUBTRECHO">#REF!</definedName>
    <definedName name="SUBTRECHO_1">#REF!</definedName>
    <definedName name="SUPER">#REF!</definedName>
    <definedName name="T">#REF!</definedName>
    <definedName name="T0.230.17">#REF!</definedName>
    <definedName name="T0.303.17">#REF!</definedName>
    <definedName name="T2.241.00">#REF!</definedName>
    <definedName name="T2.500.01">#REF!</definedName>
    <definedName name="T2.530.02">#REF!</definedName>
    <definedName name="T3.329.01">#REF!</definedName>
    <definedName name="T3.950.00">#REF!</definedName>
    <definedName name="T4.000.00">#REF!</definedName>
    <definedName name="T5.000.00">#REF!</definedName>
    <definedName name="T8.100.01">#REF!</definedName>
    <definedName name="T8.300.01">#REF!</definedName>
    <definedName name="t8.301.01">#REF!</definedName>
    <definedName name="T8.302.05">#REF!</definedName>
    <definedName name="T8.402.00">#REF!</definedName>
    <definedName name="T8.500.00">#REF!</definedName>
    <definedName name="t8.501.00">#REF!</definedName>
    <definedName name="T8.900.00">#REF!</definedName>
    <definedName name="T8.900.01">#REF!</definedName>
    <definedName name="T8.901.01">#REF!</definedName>
    <definedName name="T8.910.00">#REF!</definedName>
    <definedName name="T9.002.00">#REF!</definedName>
    <definedName name="T9.002.06">#REF!</definedName>
    <definedName name="TACS">#REF!</definedName>
    <definedName name="tapaburaco">#REF!</definedName>
    <definedName name="TAPAEMERGENCIAL">#REF!</definedName>
    <definedName name="TaxaJuros">#REF!</definedName>
    <definedName name="TB">#REF!</definedName>
    <definedName name="TCAP">#REF!</definedName>
    <definedName name="TCC">#REF!</definedName>
    <definedName name="TCM">#REF!</definedName>
    <definedName name="TENROCAMENTO">#REF!</definedName>
    <definedName name="Teor">#REF!</definedName>
    <definedName name="terra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_xlnm.Print_Titles" localSheetId="3">DIMENS!$A:$A,DIMENS!#REF!</definedName>
    <definedName name="_xlnm.Print_Titles" localSheetId="1">'Memória de Pavimentação'!$B:$C</definedName>
    <definedName name="TLMBCS" localSheetId="2">#REF!</definedName>
    <definedName name="TLMBCS">#REF!</definedName>
    <definedName name="TOT" hidden="1">#REF!</definedName>
    <definedName name="TOTAL">#REF!</definedName>
    <definedName name="TOTGC">#REF!</definedName>
    <definedName name="TPM">#REF!</definedName>
    <definedName name="TR">#REF!</definedName>
    <definedName name="TrabAnual">#REF!</definedName>
    <definedName name="TRAF">#REF!</definedName>
    <definedName name="TRANSPORTE10">#REF!</definedName>
    <definedName name="TRANSPORTE4T">#REF!</definedName>
    <definedName name="TRANSPORTE5M">#REF!</definedName>
    <definedName name="TRANSPORTEBASEMANUAL">#REF!</definedName>
    <definedName name="TRANSPORTECAPAMANUAL">#REF!</definedName>
    <definedName name="transportecorreção">#REF!</definedName>
    <definedName name="Transporteenrocamento">#REF!</definedName>
    <definedName name="TRANSPORTEESPECIAL">#REF!</definedName>
    <definedName name="TRANSPORTELOCAL">#REF!</definedName>
    <definedName name="TRANSPORTEMATBET">#REF!</definedName>
    <definedName name="TRANSPORTERECOMPOSIÇÃO">#REF!</definedName>
    <definedName name="transportetapaburaco">#REF!</definedName>
    <definedName name="TRANSPORTETAPAEMERGENCIAL">#REF!</definedName>
    <definedName name="TRANSPSOLO">#REF!</definedName>
    <definedName name="TRANSREM">#REF!</definedName>
    <definedName name="TRC1C">#REF!</definedName>
    <definedName name="trec">#REF!</definedName>
    <definedName name="TRECHO">#REF!</definedName>
    <definedName name="TRECHO_1">#REF!</definedName>
    <definedName name="TRECREVPRIMARIO">#REF!</definedName>
    <definedName name="TRFORMA">#REF!</definedName>
    <definedName name="TRMUDAS">#REF!</definedName>
    <definedName name="TRR1C">#REF!</definedName>
    <definedName name="TRR2C">#REF!</definedName>
    <definedName name="TSD">#REF!</definedName>
    <definedName name="TUBO">#REF!</definedName>
    <definedName name="un" hidden="1">#N/A</definedName>
    <definedName name="Und">#N/A</definedName>
    <definedName name="unid.2">#REF!</definedName>
    <definedName name="unidade">#REF!</definedName>
    <definedName name="Unidade1">#REF!</definedName>
    <definedName name="UnidAux" hidden="1">#N/A</definedName>
    <definedName name="USINA">#REF!</definedName>
    <definedName name="uuujsh">#REF!</definedName>
    <definedName name="VALCORTE">#REF!</definedName>
    <definedName name="valeta">#REF!</definedName>
    <definedName name="VALOR_NF">#REF!</definedName>
    <definedName name="Vazios">#REF!</definedName>
    <definedName name="verde">#REF!</definedName>
    <definedName name="verdepav">#REF!</definedName>
    <definedName name="VidaAnos">#REF!</definedName>
    <definedName name="Vidahoras">#REF!</definedName>
    <definedName name="VOL_ACUM">#REF!</definedName>
    <definedName name="VOLUME">#REF!</definedName>
    <definedName name="VPA">#REF!</definedName>
    <definedName name="W" hidden="1">#REF!</definedName>
    <definedName name="W0E0W">#REF!</definedName>
    <definedName name="wdgadfgdsz">#REF!</definedName>
    <definedName name="WEWRWR" localSheetId="2">'Calçada e Acessibilidade'!WEWRWR</definedName>
    <definedName name="WEWRWR">[0]!WEWRWR</definedName>
    <definedName name="wrn.preco." localSheetId="2" hidden="1">{#N/A,#N/A,FALSE,"Pla_Preço";#N/A,#N/A,FALSE,"Crono"}</definedName>
    <definedName name="wrn.preco." hidden="1">{#N/A,#N/A,FALSE,"Pla_Preço";#N/A,#N/A,FALSE,"Crono"}</definedName>
    <definedName name="x">#REF!</definedName>
    <definedName name="XXX" localSheetId="2">'Calçada e Acessibilidade'!XXX</definedName>
    <definedName name="XXX">[0]!XXX</definedName>
    <definedName name="xxxx" localSheetId="2">#REF!</definedName>
    <definedName name="xxxx">#REF!</definedName>
  </definedName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0" i="60" l="1"/>
  <c r="D50" i="51"/>
  <c r="E50" i="51"/>
  <c r="F50" i="51"/>
  <c r="G50" i="51"/>
  <c r="H50" i="51"/>
  <c r="I50" i="51"/>
  <c r="J50" i="51"/>
  <c r="K50" i="51"/>
  <c r="L50" i="51"/>
  <c r="M50" i="51"/>
  <c r="N50" i="51"/>
  <c r="O50" i="51"/>
  <c r="P50" i="51"/>
  <c r="Q50" i="51"/>
  <c r="R50" i="51"/>
  <c r="S50" i="51"/>
  <c r="U50" i="51"/>
  <c r="T77" i="51"/>
  <c r="U46" i="51"/>
  <c r="U45" i="51"/>
  <c r="S45" i="51"/>
  <c r="U37" i="51"/>
  <c r="U36" i="51"/>
  <c r="S37" i="51"/>
  <c r="H21" i="51"/>
  <c r="AD76" i="37"/>
  <c r="U76" i="37"/>
  <c r="V76" i="37"/>
  <c r="W76" i="37"/>
  <c r="X76" i="37"/>
  <c r="Y76" i="37"/>
  <c r="Z76" i="37"/>
  <c r="AA76" i="37"/>
  <c r="AB76" i="37"/>
  <c r="AC76" i="37"/>
  <c r="AL23" i="37"/>
  <c r="T56" i="51" l="1"/>
  <c r="T55" i="51"/>
  <c r="F41" i="60"/>
  <c r="F42" i="60"/>
  <c r="T53" i="51" l="1"/>
  <c r="AL21" i="37"/>
  <c r="L14" i="51"/>
  <c r="Q8" i="60"/>
  <c r="P9" i="60"/>
  <c r="P14" i="60"/>
  <c r="P15" i="60"/>
  <c r="P16" i="60"/>
  <c r="Q17" i="60"/>
  <c r="P19" i="60"/>
  <c r="Q22" i="60"/>
  <c r="P23" i="60"/>
  <c r="P24" i="60"/>
  <c r="Q25" i="60"/>
  <c r="P33" i="60"/>
  <c r="P10" i="60"/>
  <c r="Q10" i="60"/>
  <c r="P11" i="60"/>
  <c r="Q11" i="60"/>
  <c r="P12" i="60"/>
  <c r="Q12" i="60"/>
  <c r="P13" i="60"/>
  <c r="Q18" i="60"/>
  <c r="P18" i="60"/>
  <c r="Q19" i="60"/>
  <c r="P20" i="60"/>
  <c r="Q20" i="60"/>
  <c r="P21" i="60"/>
  <c r="Q21" i="60"/>
  <c r="P22" i="60"/>
  <c r="P26" i="60"/>
  <c r="Q26" i="60"/>
  <c r="P27" i="60"/>
  <c r="Q27" i="60"/>
  <c r="P28" i="60"/>
  <c r="Q28" i="60"/>
  <c r="P29" i="60"/>
  <c r="Q29" i="60"/>
  <c r="P30" i="60"/>
  <c r="Q30" i="60"/>
  <c r="P31" i="60"/>
  <c r="Q31" i="60"/>
  <c r="P32" i="60"/>
  <c r="Q32" i="60"/>
  <c r="Q33" i="60"/>
  <c r="T58" i="51"/>
  <c r="T59" i="51"/>
  <c r="I39" i="51"/>
  <c r="I44" i="51" s="1"/>
  <c r="I45" i="51" s="1"/>
  <c r="I46" i="51" s="1"/>
  <c r="P8" i="60" l="1"/>
  <c r="Q9" i="60"/>
  <c r="P25" i="60"/>
  <c r="P17" i="60"/>
  <c r="Q24" i="60"/>
  <c r="Q16" i="60"/>
  <c r="Q23" i="60"/>
  <c r="Q14" i="60"/>
  <c r="Q15" i="60"/>
  <c r="O34" i="60"/>
  <c r="Q13" i="60"/>
  <c r="P34" i="60" l="1"/>
  <c r="Q34" i="60"/>
  <c r="D14" i="51" l="1"/>
  <c r="D34" i="51" s="1"/>
  <c r="U4" i="51"/>
  <c r="AC13" i="37"/>
  <c r="X13" i="37"/>
  <c r="N13" i="37"/>
  <c r="AD75" i="37"/>
  <c r="AC75" i="37"/>
  <c r="AD50" i="37"/>
  <c r="AD39" i="37"/>
  <c r="AD42" i="37"/>
  <c r="AD43" i="37"/>
  <c r="F15" i="37"/>
  <c r="F13" i="37" l="1"/>
  <c r="L13" i="37" l="1"/>
  <c r="U58" i="51" l="1"/>
  <c r="AF13" i="37"/>
  <c r="G13" i="37"/>
  <c r="H13" i="37"/>
  <c r="I13" i="37"/>
  <c r="J13" i="37"/>
  <c r="K13" i="37"/>
  <c r="M13" i="37"/>
  <c r="O13" i="37"/>
  <c r="P13" i="37"/>
  <c r="Q13" i="37"/>
  <c r="R13" i="37"/>
  <c r="S13" i="37"/>
  <c r="T13" i="37"/>
  <c r="U13" i="37"/>
  <c r="V13" i="37"/>
  <c r="W13" i="37"/>
  <c r="Y13" i="37"/>
  <c r="Z13" i="37"/>
  <c r="AA13" i="37"/>
  <c r="AB13" i="37"/>
  <c r="AF12" i="37"/>
  <c r="U55" i="51"/>
  <c r="U54" i="51"/>
  <c r="U51" i="51"/>
  <c r="U52" i="51"/>
  <c r="U56" i="51" l="1"/>
  <c r="G15" i="37"/>
  <c r="H15" i="37"/>
  <c r="I15" i="37"/>
  <c r="J15" i="37"/>
  <c r="K15" i="37"/>
  <c r="L15" i="37"/>
  <c r="AF15" i="37" s="1"/>
  <c r="M15" i="37"/>
  <c r="N15" i="37"/>
  <c r="O15" i="37"/>
  <c r="P15" i="37"/>
  <c r="Q15" i="37"/>
  <c r="R15" i="37"/>
  <c r="S15" i="37"/>
  <c r="T15" i="37"/>
  <c r="V15" i="37"/>
  <c r="X15" i="37"/>
  <c r="Y15" i="37"/>
  <c r="AA15" i="37"/>
  <c r="AB15" i="37"/>
  <c r="U50" i="37" l="1"/>
  <c r="U77" i="51"/>
  <c r="U61" i="51"/>
  <c r="U62" i="51"/>
  <c r="U63" i="51"/>
  <c r="U64" i="51"/>
  <c r="U65" i="51"/>
  <c r="U66" i="51"/>
  <c r="U67" i="51"/>
  <c r="U68" i="51"/>
  <c r="T60" i="51"/>
  <c r="U76" i="51"/>
  <c r="T69" i="51"/>
  <c r="T73" i="51" s="1"/>
  <c r="U5" i="51"/>
  <c r="U3" i="51"/>
  <c r="U48" i="51"/>
  <c r="U49" i="51"/>
  <c r="U79" i="51"/>
  <c r="U80" i="51"/>
  <c r="U81" i="51"/>
  <c r="U82" i="51"/>
  <c r="U84" i="51"/>
  <c r="U85" i="51"/>
  <c r="U92" i="51"/>
  <c r="U16" i="51"/>
  <c r="U17" i="51"/>
  <c r="U18" i="51"/>
  <c r="U19" i="51"/>
  <c r="U22" i="51"/>
  <c r="U23" i="51"/>
  <c r="U25" i="51"/>
  <c r="U26" i="51"/>
  <c r="U27" i="51"/>
  <c r="U31" i="51"/>
  <c r="U32" i="51"/>
  <c r="U33" i="51"/>
  <c r="U6" i="51"/>
  <c r="U7" i="51"/>
  <c r="U8" i="51"/>
  <c r="U10" i="51"/>
  <c r="U26" i="37"/>
  <c r="V26" i="37"/>
  <c r="W26" i="37"/>
  <c r="X26" i="37"/>
  <c r="Y26" i="37"/>
  <c r="Z26" i="37"/>
  <c r="AA26" i="37"/>
  <c r="AB26" i="37"/>
  <c r="AC26" i="37"/>
  <c r="T74" i="51" l="1"/>
  <c r="T75" i="51" s="1"/>
  <c r="U75" i="51" s="1"/>
  <c r="U53" i="51"/>
  <c r="T70" i="51"/>
  <c r="H6" i="37"/>
  <c r="Q16" i="37"/>
  <c r="P16" i="37"/>
  <c r="O16" i="37"/>
  <c r="N16" i="37"/>
  <c r="M16" i="37"/>
  <c r="L16" i="37"/>
  <c r="K16" i="37"/>
  <c r="J16" i="37"/>
  <c r="I16" i="37"/>
  <c r="H16" i="37"/>
  <c r="G16" i="37"/>
  <c r="F16" i="37"/>
  <c r="Q17" i="37"/>
  <c r="P17" i="37"/>
  <c r="O17" i="37"/>
  <c r="M17" i="37"/>
  <c r="L17" i="37"/>
  <c r="K17" i="37"/>
  <c r="J17" i="37"/>
  <c r="I17" i="37"/>
  <c r="H17" i="37"/>
  <c r="G17" i="37"/>
  <c r="T4" i="37"/>
  <c r="T76" i="37" s="1"/>
  <c r="S4" i="37"/>
  <c r="S76" i="37" s="1"/>
  <c r="Q4" i="37"/>
  <c r="P4" i="37"/>
  <c r="P76" i="37" s="1"/>
  <c r="O4" i="37"/>
  <c r="O76" i="37" s="1"/>
  <c r="N4" i="37"/>
  <c r="N76" i="37" s="1"/>
  <c r="M4" i="37"/>
  <c r="L4" i="37"/>
  <c r="K4" i="37"/>
  <c r="J4" i="37"/>
  <c r="I4" i="37"/>
  <c r="I76" i="37" s="1"/>
  <c r="H4" i="37"/>
  <c r="G4" i="37"/>
  <c r="F4" i="37"/>
  <c r="T3" i="37"/>
  <c r="S3" i="37"/>
  <c r="R3" i="37"/>
  <c r="Q3" i="37"/>
  <c r="P3" i="37"/>
  <c r="O3" i="37"/>
  <c r="N3" i="37"/>
  <c r="M3" i="37"/>
  <c r="L3" i="37"/>
  <c r="K3" i="37"/>
  <c r="J3" i="37"/>
  <c r="I3" i="37"/>
  <c r="H3" i="37"/>
  <c r="G3" i="37"/>
  <c r="F3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T1" i="37"/>
  <c r="S1" i="37"/>
  <c r="Q1" i="37"/>
  <c r="P1" i="37"/>
  <c r="O1" i="37"/>
  <c r="N1" i="37"/>
  <c r="M1" i="37"/>
  <c r="L1" i="37"/>
  <c r="K1" i="37"/>
  <c r="J1" i="37"/>
  <c r="I1" i="37"/>
  <c r="H1" i="37"/>
  <c r="G1" i="37"/>
  <c r="F1" i="37"/>
  <c r="Q50" i="37"/>
  <c r="S50" i="37"/>
  <c r="Q51" i="37"/>
  <c r="S51" i="37"/>
  <c r="R4" i="37"/>
  <c r="F76" i="37" l="1"/>
  <c r="F39" i="37"/>
  <c r="R75" i="37"/>
  <c r="R76" i="37"/>
  <c r="G39" i="37"/>
  <c r="G76" i="37"/>
  <c r="H76" i="37"/>
  <c r="J76" i="37"/>
  <c r="Q76" i="37"/>
  <c r="Q75" i="37"/>
  <c r="K76" i="37"/>
  <c r="L76" i="37"/>
  <c r="M76" i="37"/>
  <c r="Q5" i="37"/>
  <c r="S5" i="37"/>
  <c r="T5" i="37"/>
  <c r="Q21" i="37"/>
  <c r="Q22" i="37" s="1"/>
  <c r="T72" i="51"/>
  <c r="T71" i="51"/>
  <c r="Q23" i="37"/>
  <c r="Q59" i="37" s="1"/>
  <c r="S39" i="37"/>
  <c r="Q39" i="37"/>
  <c r="R5" i="37"/>
  <c r="T23" i="37"/>
  <c r="T51" i="37" s="1"/>
  <c r="T39" i="37"/>
  <c r="S23" i="37"/>
  <c r="S58" i="37" s="1"/>
  <c r="T25" i="37" l="1"/>
  <c r="AF76" i="37"/>
  <c r="S25" i="37"/>
  <c r="Q25" i="37"/>
  <c r="Q58" i="37"/>
  <c r="Q61" i="37" s="1"/>
  <c r="Q62" i="37" s="1"/>
  <c r="Q53" i="37"/>
  <c r="Q55" i="37" s="1"/>
  <c r="Q56" i="37" s="1"/>
  <c r="Q24" i="37"/>
  <c r="Q37" i="37" s="1"/>
  <c r="T50" i="37"/>
  <c r="Q26" i="37"/>
  <c r="S59" i="37"/>
  <c r="S61" i="37" s="1"/>
  <c r="S62" i="37" s="1"/>
  <c r="S53" i="37"/>
  <c r="S55" i="37" s="1"/>
  <c r="S56" i="37" s="1"/>
  <c r="Q30" i="37"/>
  <c r="Q27" i="37"/>
  <c r="F17" i="37"/>
  <c r="Q47" i="37" l="1"/>
  <c r="Q67" i="37"/>
  <c r="Q49" i="37"/>
  <c r="Q48" i="37"/>
  <c r="Q36" i="37"/>
  <c r="Q32" i="37"/>
  <c r="Q72" i="37"/>
  <c r="Q28" i="37"/>
  <c r="Q64" i="37"/>
  <c r="Q34" i="37"/>
  <c r="Q65" i="37"/>
  <c r="Q29" i="37"/>
  <c r="Q33" i="37"/>
  <c r="Q31" i="37"/>
  <c r="Q35" i="37"/>
  <c r="Q69" i="37"/>
  <c r="Q71" i="37"/>
  <c r="Q46" i="37"/>
  <c r="Q66" i="37"/>
  <c r="Q73" i="37"/>
  <c r="Q70" i="37"/>
  <c r="Q74" i="37"/>
  <c r="Q63" i="37"/>
  <c r="Q68" i="37" l="1"/>
  <c r="Q38" i="37"/>
  <c r="Q41" i="37"/>
  <c r="Q42" i="37" s="1"/>
  <c r="Q43" i="37" s="1"/>
  <c r="N17" i="37" l="1"/>
  <c r="R16" i="37" l="1"/>
  <c r="R17" i="37" l="1"/>
  <c r="S16" i="37" l="1"/>
  <c r="S17" i="37" l="1"/>
  <c r="S21" i="37" s="1"/>
  <c r="S22" i="37" s="1"/>
  <c r="S24" i="37" l="1"/>
  <c r="T16" i="37"/>
  <c r="S48" i="37" l="1"/>
  <c r="S26" i="37"/>
  <c r="S69" i="37"/>
  <c r="S35" i="37"/>
  <c r="S33" i="37"/>
  <c r="S31" i="37"/>
  <c r="S36" i="37"/>
  <c r="S72" i="37"/>
  <c r="S46" i="37"/>
  <c r="S30" i="37"/>
  <c r="S64" i="37"/>
  <c r="S28" i="37"/>
  <c r="S49" i="37"/>
  <c r="S34" i="37"/>
  <c r="S32" i="37"/>
  <c r="S74" i="37"/>
  <c r="S27" i="37"/>
  <c r="S63" i="37"/>
  <c r="S70" i="37"/>
  <c r="S71" i="37"/>
  <c r="S65" i="37"/>
  <c r="S29" i="37"/>
  <c r="S66" i="37"/>
  <c r="S67" i="37"/>
  <c r="S37" i="37"/>
  <c r="S47" i="37"/>
  <c r="S73" i="37"/>
  <c r="T17" i="37"/>
  <c r="T21" i="37" s="1"/>
  <c r="T22" i="37" s="1"/>
  <c r="S41" i="37" l="1"/>
  <c r="S42" i="37" s="1"/>
  <c r="S43" i="37" s="1"/>
  <c r="S38" i="37"/>
  <c r="S68" i="37"/>
  <c r="T24" i="37"/>
  <c r="T27" i="37" l="1"/>
  <c r="T26" i="37"/>
  <c r="T32" i="37"/>
  <c r="T33" i="37"/>
  <c r="T30" i="37"/>
  <c r="T63" i="37"/>
  <c r="T31" i="37"/>
  <c r="T47" i="37"/>
  <c r="T71" i="37"/>
  <c r="T64" i="37"/>
  <c r="T29" i="37"/>
  <c r="T36" i="37"/>
  <c r="T46" i="37"/>
  <c r="T37" i="37"/>
  <c r="T48" i="37"/>
  <c r="T74" i="37"/>
  <c r="T70" i="37"/>
  <c r="T66" i="37"/>
  <c r="T69" i="37"/>
  <c r="T35" i="37"/>
  <c r="T67" i="37"/>
  <c r="T73" i="37"/>
  <c r="T28" i="37"/>
  <c r="T49" i="37"/>
  <c r="T72" i="37"/>
  <c r="T34" i="37"/>
  <c r="T65" i="37" l="1"/>
  <c r="T38" i="37"/>
  <c r="T68" i="37"/>
  <c r="T41" i="37"/>
  <c r="T42" i="37" s="1"/>
  <c r="T43" i="37" s="1"/>
  <c r="U57" i="51" l="1"/>
  <c r="U69" i="51" l="1"/>
  <c r="U71" i="51" l="1"/>
  <c r="U72" i="51"/>
  <c r="U70" i="51"/>
  <c r="U59" i="51"/>
  <c r="U60" i="51"/>
  <c r="U73" i="51"/>
  <c r="U74" i="51" l="1"/>
  <c r="AF8" i="37" l="1"/>
  <c r="AF10" i="37"/>
  <c r="AF9" i="37"/>
  <c r="AJ32" i="37"/>
  <c r="M6" i="37"/>
  <c r="P51" i="37" l="1"/>
  <c r="Z50" i="37"/>
  <c r="AA50" i="37"/>
  <c r="AB50" i="37"/>
  <c r="AC50" i="37"/>
  <c r="F50" i="37"/>
  <c r="AF54" i="37"/>
  <c r="AF52" i="37"/>
  <c r="AL24" i="37" l="1"/>
  <c r="AL22" i="37"/>
  <c r="AL20" i="37"/>
  <c r="AL18" i="37"/>
  <c r="AC51" i="37"/>
  <c r="AB5" i="37"/>
  <c r="AB51" i="37"/>
  <c r="AA5" i="37"/>
  <c r="AA51" i="37"/>
  <c r="Z51" i="37"/>
  <c r="Y5" i="37"/>
  <c r="Y50" i="37"/>
  <c r="Y51" i="37"/>
  <c r="X5" i="37"/>
  <c r="X50" i="37"/>
  <c r="X51" i="37"/>
  <c r="V5" i="37"/>
  <c r="W50" i="37"/>
  <c r="W51" i="37"/>
  <c r="V50" i="37"/>
  <c r="V51" i="37"/>
  <c r="U6" i="37"/>
  <c r="U51" i="37"/>
  <c r="P6" i="37"/>
  <c r="N6" i="37"/>
  <c r="K6" i="37"/>
  <c r="AF6" i="37" s="1"/>
  <c r="X75" i="37" l="1"/>
  <c r="Y75" i="37"/>
  <c r="AA75" i="37"/>
  <c r="AB75" i="37"/>
  <c r="Z75" i="37"/>
  <c r="W75" i="37"/>
  <c r="U75" i="37"/>
  <c r="V75" i="37"/>
  <c r="N75" i="37"/>
  <c r="T75" i="37"/>
  <c r="L75" i="37"/>
  <c r="S75" i="37"/>
  <c r="K75" i="37"/>
  <c r="M75" i="37"/>
  <c r="H75" i="37"/>
  <c r="J75" i="37"/>
  <c r="G75" i="37"/>
  <c r="P75" i="37"/>
  <c r="O75" i="37"/>
  <c r="I75" i="37"/>
  <c r="F75" i="37"/>
  <c r="AJ18" i="37"/>
  <c r="AA28" i="37"/>
  <c r="AC28" i="37"/>
  <c r="AB28" i="37"/>
  <c r="AA33" i="37"/>
  <c r="U31" i="37"/>
  <c r="Z28" i="37"/>
  <c r="Y28" i="37"/>
  <c r="X48" i="37"/>
  <c r="W29" i="37"/>
  <c r="Q2" i="51"/>
  <c r="S2" i="51"/>
  <c r="S39" i="51" s="1"/>
  <c r="S44" i="51" s="1"/>
  <c r="Q9" i="51"/>
  <c r="Q11" i="51" s="1"/>
  <c r="Q14" i="51"/>
  <c r="S14" i="51"/>
  <c r="Q21" i="51"/>
  <c r="R21" i="51"/>
  <c r="S21" i="51"/>
  <c r="Q24" i="51"/>
  <c r="R24" i="51"/>
  <c r="S24" i="51"/>
  <c r="R28" i="51"/>
  <c r="R29" i="51"/>
  <c r="R30" i="51" s="1"/>
  <c r="R34" i="51"/>
  <c r="R35" i="51"/>
  <c r="R36" i="51" s="1"/>
  <c r="R37" i="51" s="1"/>
  <c r="Q38" i="51"/>
  <c r="S38" i="51"/>
  <c r="R39" i="51"/>
  <c r="Q43" i="51"/>
  <c r="R43" i="51"/>
  <c r="S43" i="51"/>
  <c r="Q47" i="51"/>
  <c r="R47" i="51"/>
  <c r="S47" i="51"/>
  <c r="AF75" i="37" l="1"/>
  <c r="R40" i="51"/>
  <c r="R44" i="51"/>
  <c r="R45" i="51" s="1"/>
  <c r="R42" i="51"/>
  <c r="R41" i="51"/>
  <c r="R12" i="51"/>
  <c r="R13" i="51" s="1"/>
  <c r="Q12" i="51"/>
  <c r="Q13" i="51" s="1"/>
  <c r="S28" i="51"/>
  <c r="S29" i="51" s="1"/>
  <c r="S30" i="51" s="1"/>
  <c r="S12" i="51"/>
  <c r="S13" i="51" s="1"/>
  <c r="R46" i="51"/>
  <c r="S40" i="51"/>
  <c r="Q15" i="51"/>
  <c r="S34" i="51"/>
  <c r="S35" i="51" s="1"/>
  <c r="S36" i="51" s="1"/>
  <c r="AA49" i="37"/>
  <c r="AA37" i="37"/>
  <c r="AA47" i="37"/>
  <c r="AA65" i="37"/>
  <c r="AA46" i="37"/>
  <c r="AA35" i="37"/>
  <c r="AA74" i="37"/>
  <c r="X30" i="37"/>
  <c r="X28" i="37"/>
  <c r="X69" i="37"/>
  <c r="X29" i="37"/>
  <c r="X34" i="37"/>
  <c r="X35" i="37"/>
  <c r="X32" i="37"/>
  <c r="X74" i="37"/>
  <c r="AB31" i="37"/>
  <c r="AC65" i="37"/>
  <c r="AC34" i="37"/>
  <c r="AC35" i="37"/>
  <c r="X47" i="37"/>
  <c r="X49" i="37"/>
  <c r="AC33" i="37"/>
  <c r="AC27" i="37"/>
  <c r="AC31" i="37"/>
  <c r="AC47" i="37"/>
  <c r="X31" i="37"/>
  <c r="AC68" i="37"/>
  <c r="AC73" i="37"/>
  <c r="AC36" i="37"/>
  <c r="AC67" i="37"/>
  <c r="AC49" i="37"/>
  <c r="X68" i="37"/>
  <c r="AC70" i="37"/>
  <c r="AC32" i="37"/>
  <c r="AC30" i="37"/>
  <c r="X67" i="37"/>
  <c r="X37" i="37"/>
  <c r="AC46" i="37"/>
  <c r="AC69" i="37"/>
  <c r="AC72" i="37"/>
  <c r="AC71" i="37"/>
  <c r="AA34" i="37"/>
  <c r="AA66" i="37"/>
  <c r="AA29" i="37"/>
  <c r="AB73" i="37"/>
  <c r="V29" i="37"/>
  <c r="AA31" i="37"/>
  <c r="AA73" i="37"/>
  <c r="AB37" i="37"/>
  <c r="AA71" i="37"/>
  <c r="AA70" i="37"/>
  <c r="AA68" i="37"/>
  <c r="AA30" i="37"/>
  <c r="AB46" i="37"/>
  <c r="AA27" i="37"/>
  <c r="AA67" i="37"/>
  <c r="AA72" i="37"/>
  <c r="AA36" i="37"/>
  <c r="AB70" i="37"/>
  <c r="AA69" i="37"/>
  <c r="AA32" i="37"/>
  <c r="AA48" i="37"/>
  <c r="AB32" i="37"/>
  <c r="AC74" i="37"/>
  <c r="AC29" i="37"/>
  <c r="AB30" i="37"/>
  <c r="AC66" i="37"/>
  <c r="AC48" i="37"/>
  <c r="W36" i="37"/>
  <c r="AB48" i="37"/>
  <c r="AC37" i="37"/>
  <c r="AB68" i="37"/>
  <c r="AB65" i="37"/>
  <c r="AB29" i="37"/>
  <c r="AB33" i="37"/>
  <c r="AB49" i="37"/>
  <c r="AB71" i="37"/>
  <c r="AB69" i="37"/>
  <c r="AB27" i="37"/>
  <c r="AB35" i="37"/>
  <c r="AB47" i="37"/>
  <c r="W71" i="37"/>
  <c r="AB74" i="37"/>
  <c r="AB67" i="37"/>
  <c r="AB36" i="37"/>
  <c r="W70" i="37"/>
  <c r="X36" i="37"/>
  <c r="AB34" i="37"/>
  <c r="AB66" i="37"/>
  <c r="AB72" i="37"/>
  <c r="W46" i="37"/>
  <c r="Z67" i="37"/>
  <c r="W69" i="37"/>
  <c r="Z32" i="37"/>
  <c r="Z30" i="37"/>
  <c r="W33" i="37"/>
  <c r="W27" i="37"/>
  <c r="W67" i="37"/>
  <c r="W31" i="37"/>
  <c r="W66" i="37"/>
  <c r="X66" i="37"/>
  <c r="X70" i="37"/>
  <c r="Z46" i="37"/>
  <c r="W74" i="37"/>
  <c r="X27" i="37"/>
  <c r="Z37" i="37"/>
  <c r="X65" i="37"/>
  <c r="Z29" i="37"/>
  <c r="W28" i="37"/>
  <c r="W73" i="37"/>
  <c r="V69" i="37"/>
  <c r="W35" i="37"/>
  <c r="W65" i="37"/>
  <c r="X71" i="37"/>
  <c r="X33" i="37"/>
  <c r="X46" i="37"/>
  <c r="X72" i="37"/>
  <c r="Y68" i="37"/>
  <c r="V46" i="37"/>
  <c r="W68" i="37"/>
  <c r="W47" i="37"/>
  <c r="X73" i="37"/>
  <c r="Z27" i="37"/>
  <c r="Z35" i="37"/>
  <c r="Z70" i="37"/>
  <c r="Z34" i="37"/>
  <c r="Z66" i="37"/>
  <c r="Z65" i="37"/>
  <c r="Z71" i="37"/>
  <c r="Z31" i="37"/>
  <c r="Z72" i="37"/>
  <c r="Z47" i="37"/>
  <c r="Z69" i="37"/>
  <c r="Z68" i="37"/>
  <c r="Z73" i="37"/>
  <c r="Z36" i="37"/>
  <c r="Z74" i="37"/>
  <c r="Z33" i="37"/>
  <c r="Z49" i="37"/>
  <c r="Z48" i="37"/>
  <c r="Y34" i="37"/>
  <c r="Y33" i="37"/>
  <c r="Y72" i="37"/>
  <c r="Y36" i="37"/>
  <c r="Y74" i="37"/>
  <c r="Y73" i="37"/>
  <c r="Y70" i="37"/>
  <c r="Y48" i="37"/>
  <c r="Y46" i="37"/>
  <c r="Y67" i="37"/>
  <c r="Y65" i="37"/>
  <c r="Y37" i="37"/>
  <c r="Y35" i="37"/>
  <c r="Y32" i="37"/>
  <c r="Y49" i="37"/>
  <c r="Y47" i="37"/>
  <c r="Y29" i="37"/>
  <c r="Y27" i="37"/>
  <c r="Y66" i="37"/>
  <c r="Y30" i="37"/>
  <c r="Y71" i="37"/>
  <c r="Y69" i="37"/>
  <c r="Y31" i="37"/>
  <c r="V49" i="37"/>
  <c r="V28" i="37"/>
  <c r="V68" i="37"/>
  <c r="V33" i="37"/>
  <c r="V35" i="37"/>
  <c r="V70" i="37"/>
  <c r="V67" i="37"/>
  <c r="W72" i="37"/>
  <c r="V73" i="37"/>
  <c r="V72" i="37"/>
  <c r="W32" i="37"/>
  <c r="W49" i="37"/>
  <c r="W48" i="37"/>
  <c r="V48" i="37"/>
  <c r="W34" i="37"/>
  <c r="W30" i="37"/>
  <c r="W37" i="37"/>
  <c r="V65" i="37"/>
  <c r="V27" i="37"/>
  <c r="V37" i="37"/>
  <c r="V32" i="37"/>
  <c r="V74" i="37"/>
  <c r="V71" i="37"/>
  <c r="V66" i="37"/>
  <c r="V47" i="37"/>
  <c r="V31" i="37"/>
  <c r="V34" i="37"/>
  <c r="V30" i="37"/>
  <c r="V36" i="37"/>
  <c r="U27" i="37"/>
  <c r="U28" i="37"/>
  <c r="U34" i="37"/>
  <c r="U47" i="37"/>
  <c r="U32" i="37"/>
  <c r="U72" i="37"/>
  <c r="U33" i="37"/>
  <c r="U68" i="37"/>
  <c r="U49" i="37"/>
  <c r="U48" i="37"/>
  <c r="U46" i="37"/>
  <c r="U30" i="37"/>
  <c r="U70" i="37"/>
  <c r="U37" i="37"/>
  <c r="U35" i="37"/>
  <c r="U69" i="37"/>
  <c r="U29" i="37"/>
  <c r="U36" i="37"/>
  <c r="U71" i="37"/>
  <c r="U67" i="37"/>
  <c r="U73" i="37"/>
  <c r="U74" i="37"/>
  <c r="U65" i="37"/>
  <c r="U66" i="37"/>
  <c r="Q34" i="51"/>
  <c r="Q35" i="51" s="1"/>
  <c r="Q36" i="51" s="1"/>
  <c r="Q37" i="51" s="1"/>
  <c r="S15" i="51"/>
  <c r="Q28" i="51"/>
  <c r="Q29" i="51" s="1"/>
  <c r="Q30" i="51" s="1"/>
  <c r="S46" i="51"/>
  <c r="Q39" i="51"/>
  <c r="Q40" i="51" l="1"/>
  <c r="Q44" i="51"/>
  <c r="Q45" i="51" s="1"/>
  <c r="Q46" i="51" s="1"/>
  <c r="S42" i="51"/>
  <c r="S41" i="51"/>
  <c r="Q42" i="51"/>
  <c r="Q41" i="51"/>
  <c r="Y63" i="37"/>
  <c r="AC63" i="37"/>
  <c r="AA63" i="37"/>
  <c r="W63" i="37"/>
  <c r="V63" i="37"/>
  <c r="X63" i="37"/>
  <c r="Z63" i="37"/>
  <c r="AB63" i="37"/>
  <c r="X64" i="37"/>
  <c r="AA64" i="37"/>
  <c r="AC64" i="37"/>
  <c r="AB64" i="37"/>
  <c r="Z64" i="37"/>
  <c r="Y64" i="37"/>
  <c r="W64" i="37"/>
  <c r="V64" i="37"/>
  <c r="U64" i="37"/>
  <c r="U63" i="37"/>
  <c r="N51" i="37" l="1"/>
  <c r="M51" i="37"/>
  <c r="L51" i="37"/>
  <c r="K51" i="37"/>
  <c r="J51" i="37"/>
  <c r="I51" i="37"/>
  <c r="H51" i="37"/>
  <c r="G51" i="37"/>
  <c r="F51" i="37"/>
  <c r="G50" i="37"/>
  <c r="H50" i="37"/>
  <c r="I50" i="37"/>
  <c r="J50" i="37"/>
  <c r="K50" i="37"/>
  <c r="L50" i="37"/>
  <c r="M50" i="37"/>
  <c r="N50" i="37"/>
  <c r="O50" i="37"/>
  <c r="P50" i="37"/>
  <c r="O51" i="37"/>
  <c r="E8" i="60" l="1"/>
  <c r="M8" i="60" s="1"/>
  <c r="R8" i="60" s="1"/>
  <c r="F8" i="60"/>
  <c r="N8" i="60" s="1"/>
  <c r="E9" i="60"/>
  <c r="M9" i="60" s="1"/>
  <c r="F9" i="60"/>
  <c r="N9" i="60" s="1"/>
  <c r="E10" i="60"/>
  <c r="M10" i="60" s="1"/>
  <c r="F10" i="60"/>
  <c r="N10" i="60" s="1"/>
  <c r="E11" i="60"/>
  <c r="M11" i="60" s="1"/>
  <c r="F11" i="60"/>
  <c r="N11" i="60" s="1"/>
  <c r="E12" i="60"/>
  <c r="M12" i="60" s="1"/>
  <c r="F12" i="60"/>
  <c r="N12" i="60" s="1"/>
  <c r="E13" i="60"/>
  <c r="M13" i="60" s="1"/>
  <c r="F13" i="60"/>
  <c r="N13" i="60" s="1"/>
  <c r="E14" i="60"/>
  <c r="M14" i="60" s="1"/>
  <c r="F14" i="60"/>
  <c r="N14" i="60" s="1"/>
  <c r="E15" i="60"/>
  <c r="M15" i="60" s="1"/>
  <c r="F15" i="60"/>
  <c r="N15" i="60" s="1"/>
  <c r="E16" i="60"/>
  <c r="M16" i="60" s="1"/>
  <c r="F16" i="60"/>
  <c r="N16" i="60" s="1"/>
  <c r="E17" i="60"/>
  <c r="M17" i="60" s="1"/>
  <c r="F17" i="60"/>
  <c r="N17" i="60" s="1"/>
  <c r="E18" i="60"/>
  <c r="M18" i="60" s="1"/>
  <c r="F18" i="60"/>
  <c r="N18" i="60" s="1"/>
  <c r="E19" i="60"/>
  <c r="M19" i="60" s="1"/>
  <c r="F19" i="60"/>
  <c r="N19" i="60" s="1"/>
  <c r="E20" i="60"/>
  <c r="M20" i="60" s="1"/>
  <c r="F20" i="60"/>
  <c r="N20" i="60" s="1"/>
  <c r="E21" i="60"/>
  <c r="M21" i="60" s="1"/>
  <c r="F21" i="60"/>
  <c r="N21" i="60" s="1"/>
  <c r="E22" i="60"/>
  <c r="M22" i="60" s="1"/>
  <c r="F22" i="60"/>
  <c r="N22" i="60" s="1"/>
  <c r="E23" i="60"/>
  <c r="M23" i="60" s="1"/>
  <c r="F23" i="60"/>
  <c r="N23" i="60" s="1"/>
  <c r="E24" i="60"/>
  <c r="M24" i="60" s="1"/>
  <c r="F24" i="60"/>
  <c r="N24" i="60" s="1"/>
  <c r="E25" i="60"/>
  <c r="M25" i="60" s="1"/>
  <c r="F25" i="60"/>
  <c r="N25" i="60" s="1"/>
  <c r="E26" i="60"/>
  <c r="M26" i="60" s="1"/>
  <c r="F26" i="60"/>
  <c r="N26" i="60" s="1"/>
  <c r="E27" i="60"/>
  <c r="M27" i="60" s="1"/>
  <c r="F27" i="60"/>
  <c r="N27" i="60" s="1"/>
  <c r="E28" i="60"/>
  <c r="M28" i="60" s="1"/>
  <c r="F28" i="60"/>
  <c r="N28" i="60" s="1"/>
  <c r="E29" i="60"/>
  <c r="M29" i="60" s="1"/>
  <c r="F29" i="60"/>
  <c r="N29" i="60" s="1"/>
  <c r="E30" i="60"/>
  <c r="M30" i="60" s="1"/>
  <c r="F30" i="60"/>
  <c r="N30" i="60" s="1"/>
  <c r="E31" i="60"/>
  <c r="M31" i="60" s="1"/>
  <c r="F31" i="60"/>
  <c r="N31" i="60" s="1"/>
  <c r="E32" i="60"/>
  <c r="M32" i="60" s="1"/>
  <c r="F32" i="60"/>
  <c r="N32" i="60" s="1"/>
  <c r="E33" i="60"/>
  <c r="M33" i="60" s="1"/>
  <c r="F33" i="60"/>
  <c r="N33" i="60" s="1"/>
  <c r="D34" i="60"/>
  <c r="G34" i="60"/>
  <c r="J34" i="60"/>
  <c r="R26" i="60" l="1"/>
  <c r="U26" i="60" s="1"/>
  <c r="S30" i="60"/>
  <c r="T30" i="60" s="1"/>
  <c r="S27" i="60"/>
  <c r="T27" i="60" s="1"/>
  <c r="S22" i="60"/>
  <c r="T22" i="60" s="1"/>
  <c r="S11" i="60"/>
  <c r="T11" i="60" s="1"/>
  <c r="S28" i="60"/>
  <c r="T28" i="60" s="1"/>
  <c r="R19" i="60"/>
  <c r="U19" i="60" s="1"/>
  <c r="S15" i="60"/>
  <c r="T15" i="60" s="1"/>
  <c r="S10" i="60"/>
  <c r="T10" i="60" s="1"/>
  <c r="R22" i="60"/>
  <c r="U22" i="60" s="1"/>
  <c r="S20" i="60"/>
  <c r="T20" i="60" s="1"/>
  <c r="S31" i="60"/>
  <c r="T31" i="60" s="1"/>
  <c r="R31" i="60"/>
  <c r="U31" i="60" s="1"/>
  <c r="R25" i="60"/>
  <c r="U25" i="60" s="1"/>
  <c r="S17" i="60"/>
  <c r="T17" i="60" s="1"/>
  <c r="R14" i="60"/>
  <c r="U14" i="60" s="1"/>
  <c r="S19" i="60"/>
  <c r="T19" i="60" s="1"/>
  <c r="S18" i="60"/>
  <c r="T18" i="60" s="1"/>
  <c r="R16" i="60"/>
  <c r="U16" i="60" s="1"/>
  <c r="R11" i="60"/>
  <c r="U11" i="60" s="1"/>
  <c r="R33" i="60"/>
  <c r="U33" i="60" s="1"/>
  <c r="S26" i="60"/>
  <c r="T26" i="60" s="1"/>
  <c r="R24" i="60"/>
  <c r="U24" i="60" s="1"/>
  <c r="S16" i="60"/>
  <c r="T16" i="60" s="1"/>
  <c r="S24" i="60"/>
  <c r="T24" i="60" s="1"/>
  <c r="R21" i="60"/>
  <c r="U21" i="60" s="1"/>
  <c r="R18" i="60"/>
  <c r="U18" i="60" s="1"/>
  <c r="S13" i="60"/>
  <c r="T13" i="60" s="1"/>
  <c r="S33" i="60"/>
  <c r="T33" i="60" s="1"/>
  <c r="R28" i="60"/>
  <c r="U28" i="60" s="1"/>
  <c r="S25" i="60"/>
  <c r="T25" i="60" s="1"/>
  <c r="S14" i="60"/>
  <c r="T14" i="60" s="1"/>
  <c r="R13" i="60"/>
  <c r="U13" i="60" s="1"/>
  <c r="R10" i="60"/>
  <c r="U10" i="60" s="1"/>
  <c r="R30" i="60"/>
  <c r="U30" i="60" s="1"/>
  <c r="R27" i="60"/>
  <c r="U27" i="60" s="1"/>
  <c r="S21" i="60"/>
  <c r="T21" i="60" s="1"/>
  <c r="S32" i="60"/>
  <c r="T32" i="60" s="1"/>
  <c r="S29" i="60"/>
  <c r="T29" i="60" s="1"/>
  <c r="S23" i="60"/>
  <c r="T23" i="60" s="1"/>
  <c r="R17" i="60"/>
  <c r="U17" i="60" s="1"/>
  <c r="S8" i="60"/>
  <c r="N34" i="60"/>
  <c r="S12" i="60"/>
  <c r="T12" i="60" s="1"/>
  <c r="S9" i="60"/>
  <c r="T9" i="60" s="1"/>
  <c r="M34" i="60"/>
  <c r="R15" i="60"/>
  <c r="U15" i="60" s="1"/>
  <c r="R32" i="60"/>
  <c r="U32" i="60" s="1"/>
  <c r="R29" i="60"/>
  <c r="U29" i="60" s="1"/>
  <c r="R23" i="60"/>
  <c r="U23" i="60" s="1"/>
  <c r="R20" i="60"/>
  <c r="U20" i="60" s="1"/>
  <c r="R12" i="60"/>
  <c r="U12" i="60" s="1"/>
  <c r="R9" i="60"/>
  <c r="U9" i="60" s="1"/>
  <c r="T8" i="60" l="1"/>
  <c r="T34" i="60" s="1"/>
  <c r="S41" i="60" s="1"/>
  <c r="S43" i="60" s="1"/>
  <c r="S34" i="60"/>
  <c r="U86" i="51" s="1"/>
  <c r="U8" i="60"/>
  <c r="U34" i="60" s="1"/>
  <c r="U78" i="51" s="1"/>
  <c r="U83" i="51" s="1"/>
  <c r="R34" i="60"/>
  <c r="O20" i="51"/>
  <c r="O21" i="51" s="1"/>
  <c r="I21" i="51"/>
  <c r="I24" i="51"/>
  <c r="K24" i="51"/>
  <c r="K39" i="51"/>
  <c r="K44" i="51" s="1"/>
  <c r="K45" i="51" s="1"/>
  <c r="K35" i="51"/>
  <c r="K36" i="51" s="1"/>
  <c r="K37" i="51" s="1"/>
  <c r="K29" i="51"/>
  <c r="O34" i="51"/>
  <c r="P47" i="51"/>
  <c r="P14" i="51"/>
  <c r="P2" i="51"/>
  <c r="N47" i="51"/>
  <c r="N2" i="51"/>
  <c r="O47" i="51"/>
  <c r="O39" i="51"/>
  <c r="O35" i="51"/>
  <c r="O36" i="51" s="1"/>
  <c r="O37" i="51" s="1"/>
  <c r="O29" i="51"/>
  <c r="O43" i="51"/>
  <c r="O24" i="51"/>
  <c r="K47" i="51"/>
  <c r="J47" i="51"/>
  <c r="J2" i="51"/>
  <c r="K43" i="51"/>
  <c r="K21" i="51"/>
  <c r="K34" i="51"/>
  <c r="I47" i="51"/>
  <c r="I35" i="51"/>
  <c r="I36" i="51" s="1"/>
  <c r="I37" i="51" s="1"/>
  <c r="I29" i="51"/>
  <c r="I30" i="51" s="1"/>
  <c r="I43" i="51"/>
  <c r="I34" i="51"/>
  <c r="H47" i="51"/>
  <c r="H2" i="51"/>
  <c r="G47" i="51"/>
  <c r="G2" i="51"/>
  <c r="F47" i="51"/>
  <c r="F2" i="51"/>
  <c r="M47" i="51"/>
  <c r="L47" i="51"/>
  <c r="M35" i="51"/>
  <c r="M43" i="51"/>
  <c r="M24" i="51"/>
  <c r="M34" i="51"/>
  <c r="L2" i="51"/>
  <c r="L15" i="51" s="1"/>
  <c r="F9" i="51"/>
  <c r="E15" i="51"/>
  <c r="D47" i="51"/>
  <c r="E47" i="51"/>
  <c r="E43" i="51"/>
  <c r="E24" i="51"/>
  <c r="E34" i="51"/>
  <c r="D2" i="51"/>
  <c r="P43" i="51"/>
  <c r="P38" i="51"/>
  <c r="P24" i="51"/>
  <c r="P21" i="51"/>
  <c r="D38" i="51"/>
  <c r="D24" i="51"/>
  <c r="D21" i="51"/>
  <c r="D35" i="51" l="1"/>
  <c r="D39" i="51"/>
  <c r="D44" i="51" s="1"/>
  <c r="D45" i="51" s="1"/>
  <c r="O40" i="51"/>
  <c r="O44" i="51"/>
  <c r="O45" i="51" s="1"/>
  <c r="O46" i="51" s="1"/>
  <c r="E29" i="51"/>
  <c r="E30" i="51" s="1"/>
  <c r="E39" i="51"/>
  <c r="E44" i="51" s="1"/>
  <c r="E45" i="51" s="1"/>
  <c r="O41" i="51"/>
  <c r="O42" i="51"/>
  <c r="P34" i="51"/>
  <c r="P35" i="51" s="1"/>
  <c r="P36" i="51" s="1"/>
  <c r="P37" i="51" s="1"/>
  <c r="P12" i="51"/>
  <c r="P13" i="51" s="1"/>
  <c r="U2" i="51"/>
  <c r="U47" i="51"/>
  <c r="AJ20" i="37"/>
  <c r="AJ33" i="37" s="1"/>
  <c r="AJ24" i="37"/>
  <c r="AJ23" i="37"/>
  <c r="AJ22" i="37"/>
  <c r="AJ21" i="37"/>
  <c r="AJ34" i="37" s="1"/>
  <c r="M5" i="37"/>
  <c r="M39" i="37"/>
  <c r="O5" i="37"/>
  <c r="O39" i="37"/>
  <c r="AJ3" i="37"/>
  <c r="M23" i="37"/>
  <c r="M25" i="37" s="1"/>
  <c r="F23" i="37"/>
  <c r="N23" i="37"/>
  <c r="N25" i="37" s="1"/>
  <c r="N5" i="37"/>
  <c r="N39" i="37"/>
  <c r="O23" i="37"/>
  <c r="O25" i="37" s="1"/>
  <c r="E20" i="51"/>
  <c r="E21" i="51" s="1"/>
  <c r="S38" i="60"/>
  <c r="S40" i="60" s="1"/>
  <c r="R48" i="60" s="1"/>
  <c r="F38" i="60"/>
  <c r="O28" i="51"/>
  <c r="O30" i="51"/>
  <c r="K28" i="51"/>
  <c r="K30" i="51"/>
  <c r="I28" i="51"/>
  <c r="E35" i="51"/>
  <c r="E36" i="51" s="1"/>
  <c r="E37" i="51" s="1"/>
  <c r="M36" i="51"/>
  <c r="M37" i="51" s="1"/>
  <c r="M29" i="51"/>
  <c r="M30" i="51" s="1"/>
  <c r="M21" i="51"/>
  <c r="M39" i="51"/>
  <c r="M44" i="51" s="1"/>
  <c r="M28" i="51"/>
  <c r="E28" i="51"/>
  <c r="P39" i="51"/>
  <c r="P15" i="51"/>
  <c r="P28" i="51"/>
  <c r="F58" i="37" l="1"/>
  <c r="F53" i="37"/>
  <c r="F55" i="37" s="1"/>
  <c r="F25" i="37"/>
  <c r="P40" i="51"/>
  <c r="P44" i="51"/>
  <c r="P45" i="51" s="1"/>
  <c r="P46" i="51" s="1"/>
  <c r="S44" i="60"/>
  <c r="P42" i="51"/>
  <c r="P41" i="51"/>
  <c r="U20" i="51"/>
  <c r="O53" i="37"/>
  <c r="O55" i="37" s="1"/>
  <c r="O56" i="37" s="1"/>
  <c r="M53" i="37"/>
  <c r="M55" i="37" s="1"/>
  <c r="M56" i="37" s="1"/>
  <c r="N53" i="37"/>
  <c r="N55" i="37" s="1"/>
  <c r="N56" i="37" s="1"/>
  <c r="F56" i="37"/>
  <c r="M58" i="37"/>
  <c r="M59" i="37"/>
  <c r="O59" i="37"/>
  <c r="O58" i="37"/>
  <c r="N59" i="37"/>
  <c r="N58" i="37"/>
  <c r="F59" i="37"/>
  <c r="AJ35" i="37"/>
  <c r="AL37" i="37" s="1"/>
  <c r="P29" i="51"/>
  <c r="P30" i="51" s="1"/>
  <c r="K46" i="51"/>
  <c r="K40" i="51"/>
  <c r="I40" i="51"/>
  <c r="M40" i="51"/>
  <c r="E46" i="51"/>
  <c r="E40" i="51"/>
  <c r="M45" i="51" l="1"/>
  <c r="I42" i="51"/>
  <c r="I41" i="51"/>
  <c r="K41" i="51"/>
  <c r="K42" i="51"/>
  <c r="E42" i="51"/>
  <c r="E41" i="51"/>
  <c r="M42" i="51"/>
  <c r="M41" i="51"/>
  <c r="M61" i="37"/>
  <c r="M62" i="37" s="1"/>
  <c r="O61" i="37"/>
  <c r="O62" i="37" s="1"/>
  <c r="N61" i="37"/>
  <c r="N62" i="37" s="1"/>
  <c r="M46" i="51" l="1"/>
  <c r="L5" i="37"/>
  <c r="P5" i="37"/>
  <c r="L23" i="37"/>
  <c r="L25" i="37" s="1"/>
  <c r="P23" i="37"/>
  <c r="P25" i="37" s="1"/>
  <c r="L39" i="37"/>
  <c r="P39" i="37"/>
  <c r="P53" i="37" l="1"/>
  <c r="L53" i="37"/>
  <c r="L55" i="37" s="1"/>
  <c r="L56" i="37" s="1"/>
  <c r="L58" i="37"/>
  <c r="L59" i="37"/>
  <c r="P59" i="37"/>
  <c r="P58" i="37"/>
  <c r="P55" i="37"/>
  <c r="P56" i="37" s="1"/>
  <c r="L21" i="37"/>
  <c r="L61" i="37" l="1"/>
  <c r="L62" i="37" s="1"/>
  <c r="P61" i="37"/>
  <c r="P62" i="37" s="1"/>
  <c r="M21" i="37" l="1"/>
  <c r="M22" i="37" s="1"/>
  <c r="M24" i="37" l="1"/>
  <c r="M49" i="37" s="1"/>
  <c r="O21" i="37"/>
  <c r="O22" i="37" s="1"/>
  <c r="N43" i="51"/>
  <c r="N38" i="51"/>
  <c r="N24" i="51"/>
  <c r="N21" i="51"/>
  <c r="N14" i="51"/>
  <c r="N9" i="51"/>
  <c r="N11" i="51" s="1"/>
  <c r="L43" i="51"/>
  <c r="L38" i="51"/>
  <c r="L24" i="51"/>
  <c r="L21" i="51"/>
  <c r="J43" i="51"/>
  <c r="J38" i="51"/>
  <c r="J24" i="51"/>
  <c r="J21" i="51"/>
  <c r="J14" i="51"/>
  <c r="AF7" i="37"/>
  <c r="N39" i="51" l="1"/>
  <c r="N44" i="51" s="1"/>
  <c r="N45" i="51" s="1"/>
  <c r="M12" i="51"/>
  <c r="M13" i="51" s="1"/>
  <c r="L12" i="51"/>
  <c r="L13" i="51" s="1"/>
  <c r="K12" i="51"/>
  <c r="K13" i="51" s="1"/>
  <c r="J12" i="51"/>
  <c r="J13" i="51" s="1"/>
  <c r="N12" i="51"/>
  <c r="N13" i="51" s="1"/>
  <c r="O12" i="51"/>
  <c r="O13" i="51" s="1"/>
  <c r="M26" i="37"/>
  <c r="M33" i="37"/>
  <c r="M66" i="37"/>
  <c r="M69" i="37"/>
  <c r="O24" i="37"/>
  <c r="O70" i="37" s="1"/>
  <c r="M73" i="37"/>
  <c r="M29" i="37"/>
  <c r="M27" i="37"/>
  <c r="M63" i="37"/>
  <c r="M70" i="37"/>
  <c r="M71" i="37"/>
  <c r="M37" i="37"/>
  <c r="M48" i="37"/>
  <c r="M67" i="37"/>
  <c r="M64" i="37"/>
  <c r="M28" i="37"/>
  <c r="M47" i="37"/>
  <c r="M34" i="37"/>
  <c r="M31" i="37"/>
  <c r="M74" i="37"/>
  <c r="M35" i="37"/>
  <c r="M36" i="37"/>
  <c r="M46" i="37"/>
  <c r="M32" i="37"/>
  <c r="M30" i="37"/>
  <c r="M72" i="37"/>
  <c r="J34" i="51"/>
  <c r="J28" i="51"/>
  <c r="J29" i="51" s="1"/>
  <c r="J30" i="51" s="1"/>
  <c r="N34" i="51"/>
  <c r="N35" i="51" s="1"/>
  <c r="N28" i="51"/>
  <c r="N29" i="51" s="1"/>
  <c r="N30" i="51" s="1"/>
  <c r="L34" i="51"/>
  <c r="L28" i="51"/>
  <c r="N21" i="37"/>
  <c r="N22" i="37" s="1"/>
  <c r="I39" i="37"/>
  <c r="AJ2" i="37"/>
  <c r="I23" i="37"/>
  <c r="I25" i="37" s="1"/>
  <c r="I5" i="37"/>
  <c r="K39" i="37"/>
  <c r="K23" i="37"/>
  <c r="K25" i="37" s="1"/>
  <c r="K5" i="37"/>
  <c r="J23" i="37"/>
  <c r="J25" i="37" s="1"/>
  <c r="J39" i="37"/>
  <c r="J5" i="37"/>
  <c r="H5" i="37"/>
  <c r="H39" i="37"/>
  <c r="H23" i="37"/>
  <c r="H25" i="37" s="1"/>
  <c r="N46" i="51"/>
  <c r="J39" i="51"/>
  <c r="N15" i="51"/>
  <c r="N40" i="51"/>
  <c r="L39" i="51"/>
  <c r="J15" i="51"/>
  <c r="L40" i="51" l="1"/>
  <c r="L44" i="51"/>
  <c r="L45" i="51" s="1"/>
  <c r="L46" i="51" s="1"/>
  <c r="J40" i="51"/>
  <c r="J44" i="51"/>
  <c r="J45" i="51" s="1"/>
  <c r="J46" i="51" s="1"/>
  <c r="N42" i="51"/>
  <c r="N41" i="51"/>
  <c r="J42" i="51"/>
  <c r="J41" i="51"/>
  <c r="L41" i="51"/>
  <c r="L42" i="51"/>
  <c r="N36" i="51"/>
  <c r="N37" i="51" s="1"/>
  <c r="J53" i="37"/>
  <c r="J55" i="37" s="1"/>
  <c r="J56" i="37" s="1"/>
  <c r="I53" i="37"/>
  <c r="I55" i="37" s="1"/>
  <c r="I56" i="37" s="1"/>
  <c r="K53" i="37"/>
  <c r="K55" i="37" s="1"/>
  <c r="K56" i="37" s="1"/>
  <c r="H53" i="37"/>
  <c r="H55" i="37" s="1"/>
  <c r="H56" i="37" s="1"/>
  <c r="O26" i="37"/>
  <c r="M68" i="37"/>
  <c r="I58" i="37"/>
  <c r="I59" i="37"/>
  <c r="K58" i="37"/>
  <c r="K59" i="37"/>
  <c r="J58" i="37"/>
  <c r="J59" i="37"/>
  <c r="H59" i="37"/>
  <c r="H58" i="37"/>
  <c r="O34" i="37"/>
  <c r="O37" i="37"/>
  <c r="O31" i="37"/>
  <c r="O36" i="37"/>
  <c r="O35" i="37"/>
  <c r="O47" i="37"/>
  <c r="O71" i="37"/>
  <c r="M65" i="37"/>
  <c r="O63" i="37"/>
  <c r="O68" i="37"/>
  <c r="N24" i="37"/>
  <c r="N48" i="37" s="1"/>
  <c r="O30" i="37"/>
  <c r="O49" i="37"/>
  <c r="O48" i="37"/>
  <c r="O72" i="37"/>
  <c r="O73" i="37"/>
  <c r="O27" i="37"/>
  <c r="O46" i="37"/>
  <c r="O64" i="37"/>
  <c r="O74" i="37"/>
  <c r="O33" i="37"/>
  <c r="O69" i="37"/>
  <c r="M41" i="37"/>
  <c r="M42" i="37" s="1"/>
  <c r="M43" i="37" s="1"/>
  <c r="M38" i="37"/>
  <c r="O32" i="37"/>
  <c r="O67" i="37"/>
  <c r="O28" i="37"/>
  <c r="O66" i="37"/>
  <c r="O29" i="37"/>
  <c r="J35" i="51"/>
  <c r="J36" i="51" s="1"/>
  <c r="J37" i="51" s="1"/>
  <c r="L29" i="51"/>
  <c r="L30" i="51" s="1"/>
  <c r="L35" i="51"/>
  <c r="L36" i="51" s="1"/>
  <c r="L37" i="51" s="1"/>
  <c r="I61" i="37" l="1"/>
  <c r="I62" i="37" s="1"/>
  <c r="N26" i="37"/>
  <c r="H61" i="37"/>
  <c r="H62" i="37" s="1"/>
  <c r="N30" i="37"/>
  <c r="N63" i="37"/>
  <c r="N37" i="37"/>
  <c r="N69" i="37"/>
  <c r="N72" i="37"/>
  <c r="N36" i="37"/>
  <c r="N34" i="37"/>
  <c r="N33" i="37"/>
  <c r="N71" i="37"/>
  <c r="N64" i="37"/>
  <c r="N73" i="37"/>
  <c r="N27" i="37"/>
  <c r="N31" i="37"/>
  <c r="N47" i="37"/>
  <c r="N32" i="37"/>
  <c r="N28" i="37"/>
  <c r="N49" i="37"/>
  <c r="O41" i="37"/>
  <c r="O42" i="37" s="1"/>
  <c r="O43" i="37" s="1"/>
  <c r="O38" i="37"/>
  <c r="O65" i="37"/>
  <c r="N74" i="37"/>
  <c r="N67" i="37"/>
  <c r="N70" i="37"/>
  <c r="N46" i="37"/>
  <c r="N29" i="37"/>
  <c r="N66" i="37"/>
  <c r="N35" i="37"/>
  <c r="K61" i="37"/>
  <c r="K62" i="37" s="1"/>
  <c r="J61" i="37"/>
  <c r="J62" i="37" s="1"/>
  <c r="N68" i="37" l="1"/>
  <c r="N41" i="37"/>
  <c r="N42" i="37" s="1"/>
  <c r="N43" i="37" s="1"/>
  <c r="N38" i="37"/>
  <c r="N65" i="37"/>
  <c r="AJ4" i="37" l="1"/>
  <c r="AJ6" i="37"/>
  <c r="AJ5" i="37"/>
  <c r="H21" i="37" l="1"/>
  <c r="H22" i="37" s="1"/>
  <c r="H24" i="37" l="1"/>
  <c r="H29" i="37" s="1"/>
  <c r="H26" i="37" l="1"/>
  <c r="H46" i="37"/>
  <c r="H47" i="37"/>
  <c r="H49" i="37"/>
  <c r="H48" i="37"/>
  <c r="H33" i="37"/>
  <c r="H34" i="37"/>
  <c r="H35" i="37"/>
  <c r="H66" i="37"/>
  <c r="H37" i="37"/>
  <c r="H27" i="37"/>
  <c r="H64" i="37"/>
  <c r="H30" i="37"/>
  <c r="H36" i="37"/>
  <c r="H28" i="37"/>
  <c r="H31" i="37"/>
  <c r="H32" i="37"/>
  <c r="H72" i="37"/>
  <c r="H70" i="37"/>
  <c r="H73" i="37"/>
  <c r="H69" i="37"/>
  <c r="H67" i="37"/>
  <c r="H65" i="37" l="1"/>
  <c r="H74" i="37"/>
  <c r="H63" i="37"/>
  <c r="H71" i="37"/>
  <c r="H41" i="37"/>
  <c r="H42" i="37" s="1"/>
  <c r="H43" i="37" s="1"/>
  <c r="H68" i="37"/>
  <c r="H38" i="37"/>
  <c r="I21" i="37" l="1"/>
  <c r="I22" i="37" s="1"/>
  <c r="I24" i="37" l="1"/>
  <c r="I74" i="37" s="1"/>
  <c r="I26" i="37" l="1"/>
  <c r="I46" i="37"/>
  <c r="I49" i="37"/>
  <c r="I48" i="37"/>
  <c r="I47" i="37"/>
  <c r="I28" i="37"/>
  <c r="I67" i="37"/>
  <c r="I31" i="37"/>
  <c r="I72" i="37"/>
  <c r="I34" i="37"/>
  <c r="I70" i="37"/>
  <c r="I69" i="37"/>
  <c r="I33" i="37"/>
  <c r="I66" i="37"/>
  <c r="I64" i="37"/>
  <c r="I30" i="37"/>
  <c r="I29" i="37"/>
  <c r="I73" i="37"/>
  <c r="I63" i="37"/>
  <c r="I36" i="37"/>
  <c r="I71" i="37"/>
  <c r="I27" i="37"/>
  <c r="I32" i="37"/>
  <c r="I35" i="37"/>
  <c r="I37" i="37"/>
  <c r="J21" i="37"/>
  <c r="J22" i="37" s="1"/>
  <c r="I65" i="37" l="1"/>
  <c r="I68" i="37"/>
  <c r="I41" i="37"/>
  <c r="I42" i="37" s="1"/>
  <c r="I43" i="37" s="1"/>
  <c r="I38" i="37"/>
  <c r="J24" i="37"/>
  <c r="J35" i="37" s="1"/>
  <c r="J26" i="37" l="1"/>
  <c r="J49" i="37"/>
  <c r="J48" i="37"/>
  <c r="J46" i="37"/>
  <c r="J47" i="37"/>
  <c r="J71" i="37"/>
  <c r="J73" i="37"/>
  <c r="J28" i="37"/>
  <c r="J27" i="37"/>
  <c r="J29" i="37"/>
  <c r="J37" i="37"/>
  <c r="J72" i="37"/>
  <c r="J30" i="37"/>
  <c r="J70" i="37"/>
  <c r="J66" i="37"/>
  <c r="J74" i="37"/>
  <c r="J34" i="37"/>
  <c r="J36" i="37"/>
  <c r="J67" i="37"/>
  <c r="J33" i="37"/>
  <c r="J69" i="37"/>
  <c r="J31" i="37"/>
  <c r="J32" i="37"/>
  <c r="J63" i="37" l="1"/>
  <c r="J38" i="37"/>
  <c r="J64" i="37"/>
  <c r="J68" i="37"/>
  <c r="J41" i="37"/>
  <c r="J42" i="37" s="1"/>
  <c r="J43" i="37" s="1"/>
  <c r="J65" i="37"/>
  <c r="AF3" i="37"/>
  <c r="L22" i="37" l="1"/>
  <c r="K21" i="37"/>
  <c r="K22" i="37" s="1"/>
  <c r="G21" i="51"/>
  <c r="K24" i="37" l="1"/>
  <c r="K49" i="37" s="1"/>
  <c r="L24" i="37"/>
  <c r="L36" i="37" s="1"/>
  <c r="L26" i="37" l="1"/>
  <c r="K26" i="37"/>
  <c r="L46" i="37"/>
  <c r="L48" i="37"/>
  <c r="K46" i="37"/>
  <c r="K47" i="37"/>
  <c r="L47" i="37"/>
  <c r="K48" i="37"/>
  <c r="L49" i="37"/>
  <c r="K72" i="37"/>
  <c r="K67" i="37"/>
  <c r="K32" i="37"/>
  <c r="K28" i="37"/>
  <c r="K66" i="37" s="1"/>
  <c r="K34" i="37"/>
  <c r="K31" i="37"/>
  <c r="K27" i="37"/>
  <c r="K30" i="37"/>
  <c r="K69" i="37"/>
  <c r="K29" i="37"/>
  <c r="K36" i="37"/>
  <c r="K64" i="37"/>
  <c r="K37" i="37"/>
  <c r="K70" i="37"/>
  <c r="K35" i="37"/>
  <c r="K74" i="37" s="1"/>
  <c r="K33" i="37"/>
  <c r="K73" i="37"/>
  <c r="L33" i="37"/>
  <c r="L63" i="37" s="1"/>
  <c r="L72" i="37"/>
  <c r="L28" i="37"/>
  <c r="L69" i="37"/>
  <c r="L35" i="37"/>
  <c r="L73" i="37"/>
  <c r="L71" i="37"/>
  <c r="L34" i="37"/>
  <c r="L30" i="37"/>
  <c r="L31" i="37"/>
  <c r="L27" i="37"/>
  <c r="L74" i="37"/>
  <c r="L67" i="37"/>
  <c r="L32" i="37"/>
  <c r="L70" i="37"/>
  <c r="L37" i="37"/>
  <c r="L29" i="37"/>
  <c r="L66" i="37" s="1"/>
  <c r="L65" i="37" l="1"/>
  <c r="L64" i="37"/>
  <c r="L68" i="37"/>
  <c r="K65" i="37"/>
  <c r="K71" i="37"/>
  <c r="K68" i="37"/>
  <c r="K41" i="37"/>
  <c r="K42" i="37" s="1"/>
  <c r="K43" i="37" s="1"/>
  <c r="K63" i="37"/>
  <c r="K38" i="37"/>
  <c r="L38" i="37"/>
  <c r="L41" i="37"/>
  <c r="L42" i="37" s="1"/>
  <c r="L43" i="37" s="1"/>
  <c r="H43" i="51" l="1"/>
  <c r="G43" i="51"/>
  <c r="G38" i="51"/>
  <c r="G24" i="51"/>
  <c r="G14" i="51"/>
  <c r="G12" i="51" s="1"/>
  <c r="G13" i="51" s="1"/>
  <c r="G9" i="51"/>
  <c r="H24" i="51"/>
  <c r="H9" i="51"/>
  <c r="H11" i="51" s="1"/>
  <c r="E12" i="51"/>
  <c r="U93" i="51"/>
  <c r="F43" i="51"/>
  <c r="F38" i="51"/>
  <c r="F24" i="51"/>
  <c r="F14" i="51"/>
  <c r="F15" i="51" s="1"/>
  <c r="F11" i="51"/>
  <c r="AF11" i="37"/>
  <c r="E13" i="51" l="1"/>
  <c r="D12" i="51"/>
  <c r="F28" i="51"/>
  <c r="F29" i="51" s="1"/>
  <c r="F30" i="51" s="1"/>
  <c r="F12" i="51"/>
  <c r="F13" i="51" s="1"/>
  <c r="U24" i="51"/>
  <c r="D28" i="51"/>
  <c r="D29" i="51" s="1"/>
  <c r="G11" i="51"/>
  <c r="G39" i="51" s="1"/>
  <c r="G44" i="51" s="1"/>
  <c r="G45" i="51" s="1"/>
  <c r="U9" i="51"/>
  <c r="G34" i="51"/>
  <c r="G28" i="51"/>
  <c r="H14" i="51"/>
  <c r="H38" i="51"/>
  <c r="H39" i="51" s="1"/>
  <c r="F39" i="51"/>
  <c r="D43" i="51"/>
  <c r="U43" i="51" s="1"/>
  <c r="F21" i="51"/>
  <c r="F34" i="51"/>
  <c r="F40" i="51" l="1"/>
  <c r="F44" i="51"/>
  <c r="F45" i="51" s="1"/>
  <c r="H40" i="51"/>
  <c r="H44" i="51"/>
  <c r="H45" i="51" s="1"/>
  <c r="H46" i="51" s="1"/>
  <c r="H42" i="51"/>
  <c r="H41" i="51"/>
  <c r="F42" i="51"/>
  <c r="F41" i="51"/>
  <c r="G15" i="51"/>
  <c r="U14" i="51"/>
  <c r="I12" i="51"/>
  <c r="I13" i="51" s="1"/>
  <c r="H12" i="51"/>
  <c r="H13" i="51" s="1"/>
  <c r="D13" i="51"/>
  <c r="U11" i="51"/>
  <c r="U38" i="51"/>
  <c r="G35" i="51"/>
  <c r="G36" i="51" s="1"/>
  <c r="G37" i="51" s="1"/>
  <c r="G29" i="51"/>
  <c r="G30" i="51" s="1"/>
  <c r="F35" i="51"/>
  <c r="F36" i="51" s="1"/>
  <c r="F37" i="51" s="1"/>
  <c r="H15" i="51"/>
  <c r="U21" i="51" s="1"/>
  <c r="H28" i="51"/>
  <c r="H29" i="51" s="1"/>
  <c r="H30" i="51" s="1"/>
  <c r="D30" i="51"/>
  <c r="G40" i="51"/>
  <c r="G46" i="51"/>
  <c r="D15" i="51"/>
  <c r="U44" i="51"/>
  <c r="H34" i="51"/>
  <c r="H35" i="51" s="1"/>
  <c r="H36" i="51" s="1"/>
  <c r="H37" i="51" s="1"/>
  <c r="F46" i="51" l="1"/>
  <c r="G42" i="51"/>
  <c r="G41" i="51"/>
  <c r="U12" i="51"/>
  <c r="U13" i="51"/>
  <c r="U29" i="51"/>
  <c r="U35" i="51"/>
  <c r="U39" i="51"/>
  <c r="U28" i="51"/>
  <c r="U30" i="51"/>
  <c r="U15" i="51"/>
  <c r="U34" i="51"/>
  <c r="D40" i="51"/>
  <c r="D46" i="51"/>
  <c r="D36" i="51"/>
  <c r="D37" i="51" s="1"/>
  <c r="U40" i="51" l="1"/>
  <c r="D41" i="51"/>
  <c r="U41" i="51" s="1"/>
  <c r="D42" i="51"/>
  <c r="U42" i="51" s="1"/>
  <c r="P21" i="37" l="1"/>
  <c r="P22" i="37" s="1"/>
  <c r="AD2" i="37"/>
  <c r="AF2" i="37" l="1"/>
  <c r="P24" i="37"/>
  <c r="P29" i="37" s="1"/>
  <c r="P26" i="37" l="1"/>
  <c r="P71" i="37"/>
  <c r="P66" i="37"/>
  <c r="P27" i="37"/>
  <c r="P69" i="37"/>
  <c r="P34" i="37"/>
  <c r="P47" i="37"/>
  <c r="P73" i="37"/>
  <c r="P70" i="37"/>
  <c r="P32" i="37"/>
  <c r="P74" i="37"/>
  <c r="P46" i="37"/>
  <c r="P28" i="37"/>
  <c r="P49" i="37"/>
  <c r="P36" i="37"/>
  <c r="P37" i="37"/>
  <c r="P48" i="37"/>
  <c r="P35" i="37"/>
  <c r="P67" i="37"/>
  <c r="P30" i="37"/>
  <c r="P33" i="37"/>
  <c r="P31" i="37"/>
  <c r="P72" i="37"/>
  <c r="P63" i="37"/>
  <c r="P64" i="37"/>
  <c r="P68" i="37"/>
  <c r="P65" i="37" l="1"/>
  <c r="P41" i="37"/>
  <c r="P42" i="37" s="1"/>
  <c r="P43" i="37" s="1"/>
  <c r="P38" i="37"/>
  <c r="AF60" i="37" l="1"/>
  <c r="AF57" i="37"/>
  <c r="AF44" i="37"/>
  <c r="AF40" i="37"/>
  <c r="AD23" i="37"/>
  <c r="AD21" i="37"/>
  <c r="AD51" i="37" l="1"/>
  <c r="G23" i="37"/>
  <c r="G25" i="37" s="1"/>
  <c r="AF25" i="37" s="1"/>
  <c r="AJ8" i="37"/>
  <c r="AD22" i="37"/>
  <c r="G5" i="37"/>
  <c r="F5" i="37"/>
  <c r="G53" i="37" l="1"/>
  <c r="AF53" i="37" s="1"/>
  <c r="G59" i="37"/>
  <c r="G58" i="37"/>
  <c r="AF58" i="37" s="1"/>
  <c r="AD24" i="37"/>
  <c r="AD73" i="37" s="1"/>
  <c r="AF23" i="37"/>
  <c r="AF5" i="37"/>
  <c r="G55" i="37" l="1"/>
  <c r="AD27" i="37"/>
  <c r="AD68" i="37"/>
  <c r="AD46" i="37"/>
  <c r="AD66" i="37"/>
  <c r="AD63" i="37"/>
  <c r="AD49" i="37"/>
  <c r="AD72" i="37"/>
  <c r="AD48" i="37"/>
  <c r="AF59" i="37"/>
  <c r="AD47" i="37"/>
  <c r="AD28" i="37"/>
  <c r="AD32" i="37"/>
  <c r="AD36" i="37"/>
  <c r="AD29" i="37"/>
  <c r="AD33" i="37"/>
  <c r="AD37" i="37"/>
  <c r="AD26" i="37"/>
  <c r="AD30" i="37"/>
  <c r="AD34" i="37"/>
  <c r="AD31" i="37"/>
  <c r="AD35" i="37"/>
  <c r="AD71" i="37"/>
  <c r="AD74" i="37"/>
  <c r="AD70" i="37"/>
  <c r="AD65" i="37"/>
  <c r="AD69" i="37"/>
  <c r="G61" i="37"/>
  <c r="G62" i="37" s="1"/>
  <c r="F61" i="37"/>
  <c r="AF39" i="37"/>
  <c r="AF50" i="37"/>
  <c r="AF51" i="37"/>
  <c r="AF61" i="37" l="1"/>
  <c r="F62" i="37"/>
  <c r="AF62" i="37" s="1"/>
  <c r="AF55" i="37"/>
  <c r="G56" i="37"/>
  <c r="AF56" i="37" s="1"/>
  <c r="AD38" i="37"/>
  <c r="AD67" i="37"/>
  <c r="AD64" i="37"/>
  <c r="AD41" i="37"/>
  <c r="F21" i="37" l="1"/>
  <c r="F22" i="37" s="1"/>
  <c r="F24" i="37" l="1"/>
  <c r="F31" i="37"/>
  <c r="G21" i="37"/>
  <c r="F26" i="37" l="1"/>
  <c r="F65" i="37" s="1"/>
  <c r="F34" i="37"/>
  <c r="F28" i="37"/>
  <c r="F32" i="37"/>
  <c r="F64" i="37"/>
  <c r="F70" i="37"/>
  <c r="F74" i="37"/>
  <c r="F47" i="37"/>
  <c r="F73" i="37"/>
  <c r="F33" i="37"/>
  <c r="F30" i="37"/>
  <c r="F29" i="37"/>
  <c r="F49" i="37"/>
  <c r="F69" i="37"/>
  <c r="F37" i="37"/>
  <c r="F72" i="37"/>
  <c r="F35" i="37"/>
  <c r="F63" i="37"/>
  <c r="F48" i="37"/>
  <c r="G22" i="37"/>
  <c r="AF21" i="37"/>
  <c r="F27" i="37"/>
  <c r="F66" i="37"/>
  <c r="F46" i="37"/>
  <c r="F71" i="37"/>
  <c r="F36" i="37"/>
  <c r="F67" i="37"/>
  <c r="F68" i="37"/>
  <c r="AE22" i="37" l="1"/>
  <c r="AF22" i="37"/>
  <c r="F38" i="37"/>
  <c r="G24" i="37"/>
  <c r="G70" i="37" s="1"/>
  <c r="F41" i="37"/>
  <c r="F42" i="37" s="1"/>
  <c r="F43" i="37" s="1"/>
  <c r="AF45" i="37"/>
  <c r="G49" i="37"/>
  <c r="G48" i="37"/>
  <c r="G33" i="37"/>
  <c r="G29" i="37"/>
  <c r="G36" i="37"/>
  <c r="G31" i="37"/>
  <c r="G32" i="37"/>
  <c r="G35" i="37"/>
  <c r="G34" i="37"/>
  <c r="G28" i="37"/>
  <c r="G69" i="37" l="1"/>
  <c r="G72" i="37"/>
  <c r="G73" i="37"/>
  <c r="G46" i="37"/>
  <c r="G27" i="37"/>
  <c r="AF27" i="37" s="1"/>
  <c r="G74" i="37"/>
  <c r="G26" i="37"/>
  <c r="G30" i="37"/>
  <c r="G37" i="37"/>
  <c r="G47" i="37"/>
  <c r="G66" i="37"/>
  <c r="G64" i="37"/>
  <c r="G63" i="37"/>
  <c r="G71" i="37"/>
  <c r="G67" i="37"/>
  <c r="G68" i="37"/>
  <c r="G41" i="37" l="1"/>
  <c r="G42" i="37" s="1"/>
  <c r="G43" i="37" s="1"/>
  <c r="AF43" i="37" s="1"/>
  <c r="G65" i="37"/>
  <c r="G38" i="37"/>
  <c r="AF38" i="37" s="1"/>
  <c r="AF42" i="37" l="1"/>
  <c r="AF36" i="37"/>
  <c r="AF29" i="37"/>
  <c r="AF33" i="37"/>
  <c r="AF34" i="37"/>
  <c r="AF24" i="37"/>
  <c r="AF64" i="37"/>
  <c r="AF31" i="37"/>
  <c r="AF32" i="37"/>
  <c r="AF70" i="37"/>
  <c r="AF73" i="37"/>
  <c r="AF46" i="37" l="1"/>
  <c r="AF28" i="37"/>
  <c r="AF47" i="37"/>
  <c r="AF67" i="37"/>
  <c r="AF30" i="37"/>
  <c r="AF35" i="37"/>
  <c r="AF37" i="37"/>
  <c r="AF49" i="37"/>
  <c r="AF69" i="37"/>
  <c r="AF63" i="37"/>
  <c r="AF66" i="37"/>
  <c r="AF48" i="37"/>
  <c r="AF72" i="37"/>
  <c r="AF71" i="37"/>
  <c r="AF65" i="37"/>
  <c r="AF26" i="37"/>
  <c r="AF74" i="37"/>
  <c r="AF68" i="37" l="1"/>
  <c r="AF41" i="37"/>
</calcChain>
</file>

<file path=xl/comments1.xml><?xml version="1.0" encoding="utf-8"?>
<comments xmlns="http://schemas.openxmlformats.org/spreadsheetml/2006/main">
  <authors>
    <author>Autor</author>
  </authors>
  <commentList>
    <comment ref="M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Alterado AGESUL</t>
        </r>
      </text>
    </comment>
    <comment ref="H2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Alterado AGESUL</t>
        </r>
      </text>
    </comment>
    <comment ref="P2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Alterado AGESUL</t>
        </r>
      </text>
    </comment>
    <comment ref="T5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porque multiplicar pelo consumo de brita
</t>
        </r>
      </text>
    </comment>
  </commentList>
</comments>
</file>

<file path=xl/sharedStrings.xml><?xml version="1.0" encoding="utf-8"?>
<sst xmlns="http://schemas.openxmlformats.org/spreadsheetml/2006/main" count="1036" uniqueCount="381">
  <si>
    <t>%</t>
  </si>
  <si>
    <t>TOTAL</t>
  </si>
  <si>
    <t>GABRIEL PAULINO B. MACHADO                                                                                                                                                                                                                                                                                                ENGENHEIRO CIVIL      CREA: 64263/MS</t>
  </si>
  <si>
    <t>QUANT.</t>
  </si>
  <si>
    <t>m³</t>
  </si>
  <si>
    <t>m</t>
  </si>
  <si>
    <t>PLANILHA DE QUANTIDADES DE SERVIÇOS DA TERRAPLENAGEM DE DRENAGEM</t>
  </si>
  <si>
    <t>TRECHOS</t>
  </si>
  <si>
    <t>und</t>
  </si>
  <si>
    <t>TE-21</t>
  </si>
  <si>
    <t>TE-21 A</t>
  </si>
  <si>
    <t xml:space="preserve">TE-17 </t>
  </si>
  <si>
    <t>TE-12 A</t>
  </si>
  <si>
    <t>TE-12 B</t>
  </si>
  <si>
    <t>TE-22</t>
  </si>
  <si>
    <t>TE-22 A</t>
  </si>
  <si>
    <t>TE-22 B</t>
  </si>
  <si>
    <t>TE-23</t>
  </si>
  <si>
    <t>BIGODE</t>
  </si>
  <si>
    <t>CHAMINÉ</t>
  </si>
  <si>
    <t>TUDO DE CONCRETO</t>
  </si>
  <si>
    <t>TOTAL DN</t>
  </si>
  <si>
    <t>EXTENSÃO(M)</t>
  </si>
  <si>
    <t>Diâmetro</t>
  </si>
  <si>
    <t>Peso linear (tf/m)</t>
  </si>
  <si>
    <t>EXTENSÃO</t>
  </si>
  <si>
    <t>TUBULAÇÕES / ESTRUTURAS</t>
  </si>
  <si>
    <t>Nº LINHAS</t>
  </si>
  <si>
    <t>DIÂMETRO NOMINAL</t>
  </si>
  <si>
    <t>mm</t>
  </si>
  <si>
    <t>POÇO DE VISITA -PS-1 / PA-1 / PA-2 / PVC</t>
  </si>
  <si>
    <t>-</t>
  </si>
  <si>
    <t>TUBO DE LIGAÇÃO- 400mm</t>
  </si>
  <si>
    <t>CAIXA DE PASSAGEM</t>
  </si>
  <si>
    <t>PV1</t>
  </si>
  <si>
    <t>BLS</t>
  </si>
  <si>
    <t xml:space="preserve"> BLD</t>
  </si>
  <si>
    <t>BLT</t>
  </si>
  <si>
    <t>m3</t>
  </si>
  <si>
    <t>DISSIPADOR TIPO</t>
  </si>
  <si>
    <t>PROFUNDIDADE DA LINHA D'ÁGUA</t>
  </si>
  <si>
    <t>MONTANTE</t>
  </si>
  <si>
    <t>TUDO PEAD</t>
  </si>
  <si>
    <t>Peso linear (t/m)</t>
  </si>
  <si>
    <t>JUSANTE</t>
  </si>
  <si>
    <t>INCLINAÇÃO TALUDE - 1:(V)</t>
  </si>
  <si>
    <t>PROFUNDIDADE DA VALA</t>
  </si>
  <si>
    <t>MÉDIA ENTRE MONTANTE E JUSANTE</t>
  </si>
  <si>
    <t>TOTAL (MÉDIA + BOLSA + LASTRO)</t>
  </si>
  <si>
    <t>LARGURA DA VALA</t>
  </si>
  <si>
    <t>INFERIOR (BASE DA VALA)</t>
  </si>
  <si>
    <t>SUPERIOR (TOPO DA VALA)</t>
  </si>
  <si>
    <t>ESCAVAÇÃO 
MECÂNICA</t>
  </si>
  <si>
    <t>90105</t>
  </si>
  <si>
    <t>0,00 &lt; PROF ≤ 1,50 (0,00 &lt; LARG  ≤ 0,80)</t>
  </si>
  <si>
    <t>90106</t>
  </si>
  <si>
    <t>0,00 &lt; PROF ≤ 1,50 (0,80 &lt; LARG ≤ 1,50)</t>
  </si>
  <si>
    <t>90091</t>
  </si>
  <si>
    <t>0,00 &lt; PROF ≤ 1,50 (1,50 &lt; LARG ≤ 2,50)</t>
  </si>
  <si>
    <t>90107</t>
  </si>
  <si>
    <t>1,50 &lt; PROF ≤ 3,00 (0,00 &lt; LARG  ≤ 0,80)</t>
  </si>
  <si>
    <t>90108</t>
  </si>
  <si>
    <t>1,50 &lt; PROF ≤ 3,00 (0,80 &lt; LARG ≤ 1,50)</t>
  </si>
  <si>
    <t>102281</t>
  </si>
  <si>
    <t>1,50 &lt; PROF ≤ 3,00 (1,50 &lt; LARG ≤ 2,50)</t>
  </si>
  <si>
    <t>PEAD TRASNPORTE</t>
  </si>
  <si>
    <t>90094</t>
  </si>
  <si>
    <t>3,00 &lt; PROF ≤ 4,50 (0,00 &lt; LARG  ≤ 0,80)</t>
  </si>
  <si>
    <t>DN 400 =</t>
  </si>
  <si>
    <t>TON</t>
  </si>
  <si>
    <t>3,00 &lt; PROF ≤ 4,50 (0,80 &lt; LARG ≤ 1,50)</t>
  </si>
  <si>
    <t>DN 600 =</t>
  </si>
  <si>
    <t>DMT TUBO PEAD</t>
  </si>
  <si>
    <t>90095</t>
  </si>
  <si>
    <t>3,00 &lt; PROF ≤ 4,50 (1,50 &lt; LARG ≤ 2,50)</t>
  </si>
  <si>
    <t>DN 800 =</t>
  </si>
  <si>
    <t>1.015 Km</t>
  </si>
  <si>
    <t>90098</t>
  </si>
  <si>
    <t>4,50 &lt; PROF ≤ 6,00 (0,00 &lt; LARG  ≤ 0,80)</t>
  </si>
  <si>
    <t>TOTAL =</t>
  </si>
  <si>
    <t>4,50 &lt; PROF ≤ 6,00 (0,80 &lt; LARG ≤ 1,50)</t>
  </si>
  <si>
    <t>4,50 &lt; PROF ≤ 6,00 (1,50 &lt; LARG ≤ 2,50)</t>
  </si>
  <si>
    <t>TRANSPORTE    =</t>
  </si>
  <si>
    <t>Ton*Km</t>
  </si>
  <si>
    <t>ESCAVAÇÃO MANUAL (10% DA ESCAVAÇÃO MECÂNICA)</t>
  </si>
  <si>
    <t>BOTA-FORA</t>
  </si>
  <si>
    <t>TUBO / GALERIA (SEÇÃO EXTERNA)</t>
  </si>
  <si>
    <t>TAXA DE MATERIAL INSERVÍVEL</t>
  </si>
  <si>
    <t>VOLUME INSERVÍVEL</t>
  </si>
  <si>
    <r>
      <t>ESCORAMENTO</t>
    </r>
    <r>
      <rPr>
        <b/>
        <i/>
        <sz val="8"/>
        <rFont val="Arial"/>
        <family val="2"/>
      </rPr>
      <t xml:space="preserve"> </t>
    </r>
  </si>
  <si>
    <t>0,00 &lt; PROF ≤ 1,50 (0,00 &lt; LARG  ≤ 1,50)</t>
  </si>
  <si>
    <t>m²</t>
  </si>
  <si>
    <t>1,50 &lt; PROF ≤ 3,00 (0,00 &lt; LARG  ≤ 1,50)</t>
  </si>
  <si>
    <t>3,00 &lt; PROF ≤ 4,50 (0,00 &lt; LARG  ≤ 1,50)</t>
  </si>
  <si>
    <t>PREPARO DE FUNDO DA VALA</t>
  </si>
  <si>
    <t>LARG. DA BASE &lt; 1,50m</t>
  </si>
  <si>
    <t>LARG. DA BASE ≥ 1,50m</t>
  </si>
  <si>
    <t>MATERIAL</t>
  </si>
  <si>
    <t>VOLUME GEOMÉTRICO (BASE &lt; 1,50m)</t>
  </si>
  <si>
    <t>VOLUME GEOMÉTRICO (BASE ≥ 1,50m)</t>
  </si>
  <si>
    <t>TAXA DE EMPOLAMENTO MATER. DA BASE</t>
  </si>
  <si>
    <t>VOLUME EMPOLADO</t>
  </si>
  <si>
    <t>REATERRO</t>
  </si>
  <si>
    <t>93378</t>
  </si>
  <si>
    <t>93379</t>
  </si>
  <si>
    <t>93367</t>
  </si>
  <si>
    <t>93380</t>
  </si>
  <si>
    <t>93381</t>
  </si>
  <si>
    <t>93369</t>
  </si>
  <si>
    <t>93370</t>
  </si>
  <si>
    <t>93371</t>
  </si>
  <si>
    <t>93372</t>
  </si>
  <si>
    <t>93373</t>
  </si>
  <si>
    <t>T</t>
  </si>
  <si>
    <t>OBSERVAÇÃO</t>
  </si>
  <si>
    <t>NOME DAS VIAS</t>
  </si>
  <si>
    <t>RUA ARLINDO PINTO</t>
  </si>
  <si>
    <r>
      <t>RUA ARLINDO PINTO (</t>
    </r>
    <r>
      <rPr>
        <b/>
        <i/>
        <sz val="9"/>
        <color theme="9"/>
        <rFont val="Arial"/>
        <family val="2"/>
      </rPr>
      <t>ÁREA</t>
    </r>
    <r>
      <rPr>
        <b/>
        <i/>
        <sz val="9"/>
        <rFont val="Arial"/>
        <family val="2"/>
      </rPr>
      <t>)</t>
    </r>
  </si>
  <si>
    <t>RUA PROJETADA A</t>
  </si>
  <si>
    <t>RUA ADOLFO A. DA ROSA</t>
  </si>
  <si>
    <t>RUA BENJAMIN MARTINS</t>
  </si>
  <si>
    <r>
      <t>RUA BENJAMIN MARTINS (</t>
    </r>
    <r>
      <rPr>
        <b/>
        <i/>
        <sz val="9"/>
        <color theme="9"/>
        <rFont val="Arial"/>
        <family val="2"/>
      </rPr>
      <t>ÁREA</t>
    </r>
    <r>
      <rPr>
        <b/>
        <i/>
        <sz val="9"/>
        <rFont val="Arial"/>
        <family val="2"/>
      </rPr>
      <t>)</t>
    </r>
  </si>
  <si>
    <t>RUA DOM PEDRO II</t>
  </si>
  <si>
    <r>
      <t>RUA DOM PEDRO II (</t>
    </r>
    <r>
      <rPr>
        <b/>
        <i/>
        <sz val="9"/>
        <color theme="9"/>
        <rFont val="Arial"/>
        <family val="2"/>
      </rPr>
      <t>ÁREA</t>
    </r>
    <r>
      <rPr>
        <b/>
        <i/>
        <sz val="9"/>
        <rFont val="Arial"/>
        <family val="2"/>
      </rPr>
      <t>)</t>
    </r>
  </si>
  <si>
    <t>RUA DA REPÚBLICA</t>
  </si>
  <si>
    <r>
      <t>RUA DA REPÚBLICA (</t>
    </r>
    <r>
      <rPr>
        <b/>
        <i/>
        <sz val="9"/>
        <color theme="9"/>
        <rFont val="Arial"/>
        <family val="2"/>
      </rPr>
      <t>ÁREA</t>
    </r>
    <r>
      <rPr>
        <b/>
        <i/>
        <sz val="9"/>
        <rFont val="Arial"/>
        <family val="2"/>
      </rPr>
      <t>)</t>
    </r>
  </si>
  <si>
    <t>RUA BOA VENTURA V. NETO</t>
  </si>
  <si>
    <r>
      <t>RUA BOA VENTURA V. NETO (</t>
    </r>
    <r>
      <rPr>
        <b/>
        <i/>
        <sz val="9"/>
        <color theme="9"/>
        <rFont val="Arial"/>
        <family val="2"/>
      </rPr>
      <t>ÁREA</t>
    </r>
    <r>
      <rPr>
        <b/>
        <i/>
        <sz val="9"/>
        <rFont val="Arial"/>
        <family val="2"/>
      </rPr>
      <t>)</t>
    </r>
  </si>
  <si>
    <t>RUA SETE DE SETEMBRO</t>
  </si>
  <si>
    <t xml:space="preserve">RUA SEBASTIÃO ESPINDOLA </t>
  </si>
  <si>
    <r>
      <t>RUA SEBASTIÃO ESPINDOLA  (</t>
    </r>
    <r>
      <rPr>
        <b/>
        <i/>
        <sz val="9"/>
        <color theme="9"/>
        <rFont val="Arial"/>
        <family val="2"/>
      </rPr>
      <t>ÁREA</t>
    </r>
    <r>
      <rPr>
        <b/>
        <i/>
        <sz val="9"/>
        <rFont val="Arial"/>
        <family val="2"/>
      </rPr>
      <t>)</t>
    </r>
  </si>
  <si>
    <t>RUA SEBASTIÃO ESPINDOLA II</t>
  </si>
  <si>
    <t>DESCRIÇÃO</t>
  </si>
  <si>
    <t>EXTENSÃO (m)</t>
  </si>
  <si>
    <t>DECLIVIDADE TRANSVERSAL DA PISTA  (SIMPLES ou DUPLA)</t>
  </si>
  <si>
    <t>DUPLA</t>
  </si>
  <si>
    <t xml:space="preserve">LARGURA DO PAVIMENTO  (m) </t>
  </si>
  <si>
    <t>VÁRIAVEL</t>
  </si>
  <si>
    <t>Nº DE RAIOS NO CRUZAMENTO (und)</t>
  </si>
  <si>
    <t>Nº DE RAIOS NO CANTEIRO(und)</t>
  </si>
  <si>
    <t>EXTENSÃO DO RAIO NO CRUZAMENTO (M)</t>
  </si>
  <si>
    <t>10,00 / 5,00</t>
  </si>
  <si>
    <t>13,50 / 50,00</t>
  </si>
  <si>
    <t>10,00 / 29,50 / 27,00</t>
  </si>
  <si>
    <t>EXTENSÃO DO RAIO DO CANTEIRO (M)</t>
  </si>
  <si>
    <t>ÁREA MÉDIA CADA RAIO DO CRUZAMENTO (m²)</t>
  </si>
  <si>
    <t>ÁREA MÉDIA CADA RAIO DO CANTEIRO (m²)</t>
  </si>
  <si>
    <t>ÁREA TOTAL DE RAIOS (m²)</t>
  </si>
  <si>
    <t>TERRAPLENAGEM</t>
  </si>
  <si>
    <t>REGULARIZAÇÃO</t>
  </si>
  <si>
    <t>LARGURA (m)</t>
  </si>
  <si>
    <t>ÁREA TOTAL (m²)</t>
  </si>
  <si>
    <t>TROCA DE SOLO DE MATERIAL INSERVÍVEL H=0,40m</t>
  </si>
  <si>
    <t>SOLO LOCAL</t>
  </si>
  <si>
    <t>VOLUME GEOMÉTRICO (m³)</t>
  </si>
  <si>
    <t>TERRAPLENAGEM CORTE</t>
  </si>
  <si>
    <t>SUB LEITO CORTE  (M)</t>
  </si>
  <si>
    <t>SUB LEITO CORTE  VOL.(M3)</t>
  </si>
  <si>
    <t>TERRAPLENAGEM ATERRO</t>
  </si>
  <si>
    <t>VOLUME GEOMÉTICO DE ATERRO (m³)</t>
  </si>
  <si>
    <t>FATOR DE EMPOL - MAT. ATERRO (%)</t>
  </si>
  <si>
    <t>PAVIMENTAÇÃO</t>
  </si>
  <si>
    <t>SUBBASE ESTABILIZADA</t>
  </si>
  <si>
    <t>PEDRA DE MÃO</t>
  </si>
  <si>
    <t>ESPESSURA (cm)</t>
  </si>
  <si>
    <t>FATOR DE EMPOLAMENTO (%)</t>
  </si>
  <si>
    <t>VOLUME EMPOLADO (m³)</t>
  </si>
  <si>
    <t>BASE ESTABILIZADA</t>
  </si>
  <si>
    <t>IMPRIMAÇÃO (PROJETO)</t>
  </si>
  <si>
    <t>ÁREA (m²)</t>
  </si>
  <si>
    <t>EMULSSÃO ASFÁLTICA A BASE D'ÁGUA (T)</t>
  </si>
  <si>
    <t>CBUQ (PROJETO)</t>
  </si>
  <si>
    <t>OBRAS COMPLEMENTARES (PROJETO)</t>
  </si>
  <si>
    <t>MEIO FIO COM SARJETA (M)</t>
  </si>
  <si>
    <t>MEIO FIO (GUIA) (M)</t>
  </si>
  <si>
    <t>TENTO (M)</t>
  </si>
  <si>
    <t>RECONSTRUÇÃO DE PAVIMENTO</t>
  </si>
  <si>
    <t>RECORTE (m)</t>
  </si>
  <si>
    <t>VOLUME (m³)</t>
  </si>
  <si>
    <t>BASE ESTABILIZADA BGS                      (15cm)</t>
  </si>
  <si>
    <t>VOLUME EMPOLADO (m³) - 0,30%</t>
  </si>
  <si>
    <t>TSD</t>
  </si>
  <si>
    <t>RR-2C(T)</t>
  </si>
  <si>
    <t>BRITA(transporte) / m³</t>
  </si>
  <si>
    <t>CAPA SELANTE</t>
  </si>
  <si>
    <t>SINALIZAÇÃO / ACESSIBILIDADE</t>
  </si>
  <si>
    <t>ACESSIBILIDADE (PROJETO)</t>
  </si>
  <si>
    <t>RAMPAS (M2) (PROJETO)</t>
  </si>
  <si>
    <t>LIMPEZA (M2)</t>
  </si>
  <si>
    <t>CORTE DE TERRENO (M3)</t>
  </si>
  <si>
    <t>ATERRO COM SOLO LOCAL (M3)</t>
  </si>
  <si>
    <t>ATERRO COM SOLO IMPORTADO (M3)</t>
  </si>
  <si>
    <t>TRANSPORTE DE BRITA PARA PASSEIO (m3)</t>
  </si>
  <si>
    <t>PREPARO MANUAL DO TERRENO M2</t>
  </si>
  <si>
    <t>CARGA E TRANSPORTE DE MATERIAL INSERVIVEL EMPOLADO (30%) M3</t>
  </si>
  <si>
    <t>PISO TATIL (PROJETO) M</t>
  </si>
  <si>
    <t>SINALIZAÇÃO (PROJETO)</t>
  </si>
  <si>
    <t>SINALIZAÇÃO HORIZONTAL MECANIZADA (M)</t>
  </si>
  <si>
    <t>SINALIZAÇÃO HORIZONTAL MANUAL (M2)</t>
  </si>
  <si>
    <t>PLACA VIÁRIA (M2)</t>
  </si>
  <si>
    <t>SUPORTE METÁLICO P/ FIXAÇÃO DE PLACA SINALIZAÇÃO (UD)</t>
  </si>
  <si>
    <t>PLACA COM NOME DE VIAS (UD)</t>
  </si>
  <si>
    <t>SUPORTE METÁLICO P/ FIXAÇÃO DE PLACA NOME DE VIAS (UD)</t>
  </si>
  <si>
    <t>DRENO (M)</t>
  </si>
  <si>
    <t>EXTENSÃO M</t>
  </si>
  <si>
    <t>CONSUMO DE VOLUME BRITA/ M3</t>
  </si>
  <si>
    <t>DMT - KM</t>
  </si>
  <si>
    <t>TRANSPORTE M3 X KM EMPOLADO</t>
  </si>
  <si>
    <t>CONSUMO DE VOLUME AREIA/M</t>
  </si>
  <si>
    <t>DMT KM</t>
  </si>
  <si>
    <t>TRANPORTE M3 X KM EMPOLADO</t>
  </si>
  <si>
    <t>OBSERVAÇÕES</t>
  </si>
  <si>
    <t>CALÇADAS E ACESSIBILIDADE</t>
  </si>
  <si>
    <t>Rua</t>
  </si>
  <si>
    <t>Rampas</t>
  </si>
  <si>
    <t>Calçada</t>
  </si>
  <si>
    <t xml:space="preserve">Preparo de Solo </t>
  </si>
  <si>
    <t xml:space="preserve">Comprimento Total de Piso Tátil </t>
  </si>
  <si>
    <t xml:space="preserve">Área Total de Piso Tátil </t>
  </si>
  <si>
    <t xml:space="preserve">Área Total de Concreto </t>
  </si>
  <si>
    <t>Descrição</t>
  </si>
  <si>
    <t>Quantidade</t>
  </si>
  <si>
    <t>Área Unitária</t>
  </si>
  <si>
    <t xml:space="preserve">Comp. de Piso Tátil </t>
  </si>
  <si>
    <t>Tipo 2</t>
  </si>
  <si>
    <t>Tipo 3</t>
  </si>
  <si>
    <t>Área Total de Concreto</t>
  </si>
  <si>
    <t>Comprimento Total de Piso Tátil</t>
  </si>
  <si>
    <t>Comprimento (m)</t>
  </si>
  <si>
    <t>Piso Tátil (m)</t>
  </si>
  <si>
    <t>Área total de Concreto (m²)</t>
  </si>
  <si>
    <t xml:space="preserve">Quantidade Unitária </t>
  </si>
  <si>
    <t>(und)</t>
  </si>
  <si>
    <t>(m²)</t>
  </si>
  <si>
    <t>(m)</t>
  </si>
  <si>
    <t>RUA BOAVENTURA V. NETO</t>
  </si>
  <si>
    <t>Lado Direito</t>
  </si>
  <si>
    <t>Lado Esquerdo</t>
  </si>
  <si>
    <t>RUA SEBASTIÃO ESPINDOLA</t>
  </si>
  <si>
    <t>RUA JOSÉ BONIFÁCIO</t>
  </si>
  <si>
    <t>MS-386</t>
  </si>
  <si>
    <t>RUA PROJETADA B</t>
  </si>
  <si>
    <t>Total</t>
  </si>
  <si>
    <t>PISO TÁTIL</t>
  </si>
  <si>
    <t>CONCRETO</t>
  </si>
  <si>
    <t>TOTAL:</t>
  </si>
  <si>
    <t>ÁREA TOTAL A SER CONCRETADA:</t>
  </si>
  <si>
    <t>PESO:</t>
  </si>
  <si>
    <t>T/m</t>
  </si>
  <si>
    <t>ESPESSURA DAS CALÇADAS:</t>
  </si>
  <si>
    <t>DMT:</t>
  </si>
  <si>
    <t>Km</t>
  </si>
  <si>
    <t>VOLUME DE CONCRETO:</t>
  </si>
  <si>
    <t>TRANSPORTE (DMT ATÉ 30 Km):</t>
  </si>
  <si>
    <t>T*Km</t>
  </si>
  <si>
    <t>ÁREA A SER CONCRETADA SOB PISO TÁTIL:</t>
  </si>
  <si>
    <t>TRANSPORTE (DMT EXC. 30 Km):</t>
  </si>
  <si>
    <t>ESP. DAS CALÇADAS SOB O PISO TÁTIL:</t>
  </si>
  <si>
    <t>VOLUME DE CONCRETO SOB O PISO TÁTIL:</t>
  </si>
  <si>
    <t>VOLUME TOTAL DE CONCRETO:</t>
  </si>
  <si>
    <t>TRECHO</t>
  </si>
  <si>
    <t>COMPR.</t>
  </si>
  <si>
    <t>ÁREA</t>
  </si>
  <si>
    <t>VAZÃO</t>
  </si>
  <si>
    <t>COTAS</t>
  </si>
  <si>
    <t>DECL</t>
  </si>
  <si>
    <t>VELOC.</t>
  </si>
  <si>
    <t>T. MONT.</t>
  </si>
  <si>
    <t>T. JUS.</t>
  </si>
  <si>
    <t>G. MONT.</t>
  </si>
  <si>
    <t>G. JUS.</t>
  </si>
  <si>
    <t>ha</t>
  </si>
  <si>
    <t>min</t>
  </si>
  <si>
    <t>ano</t>
  </si>
  <si>
    <t>mm/h</t>
  </si>
  <si>
    <t>l/s</t>
  </si>
  <si>
    <t>m2</t>
  </si>
  <si>
    <t>m/s</t>
  </si>
  <si>
    <t>OBRA:</t>
  </si>
  <si>
    <t>CIDADE:</t>
  </si>
  <si>
    <t>Tempo de Retorno (anos):</t>
  </si>
  <si>
    <t>Vazão (Deflúvio a escoar)</t>
  </si>
  <si>
    <t>Q = 2.78 x n x I x A x f</t>
  </si>
  <si>
    <t>Tempo de Concentração (Tc):</t>
  </si>
  <si>
    <t>Tc = 10,5721 x L⁰’⁵⁵⁵² x S¯⁰’²⁰⁷⁰</t>
  </si>
  <si>
    <t>Coeficiente de Deflúvio ( f )</t>
  </si>
  <si>
    <t>f = a x (I x tc)^1/3</t>
  </si>
  <si>
    <t>Fator  impermeabilidade (a)</t>
  </si>
  <si>
    <t>a = (2.913 + 64.073 x C) x 10³</t>
  </si>
  <si>
    <t>Formulação de Mc Cuen:                                                             L - comprimento talvegue (km)                                                    S - Declividade (m/m)</t>
  </si>
  <si>
    <t>I = a . Trd /(tc+c)b</t>
  </si>
  <si>
    <t>B=</t>
  </si>
  <si>
    <t>VAR</t>
  </si>
  <si>
    <t>b=</t>
  </si>
  <si>
    <t>c=</t>
  </si>
  <si>
    <t>d=</t>
  </si>
  <si>
    <t>Tc</t>
  </si>
  <si>
    <t>Tr</t>
  </si>
  <si>
    <t>I</t>
  </si>
  <si>
    <t>DIAM. Ø</t>
  </si>
  <si>
    <t>FH</t>
  </si>
  <si>
    <t>H/D</t>
  </si>
  <si>
    <t>RH/D</t>
  </si>
  <si>
    <t>TIR. LIQ.</t>
  </si>
  <si>
    <t>TC GAL.</t>
  </si>
  <si>
    <t>PROF GAL. (mont.) PV c/ T. Natural</t>
  </si>
  <si>
    <t>PROF GAL. (jus.) PV c/ T. Natural</t>
  </si>
  <si>
    <t>PROF. MIN.</t>
  </si>
  <si>
    <t>iminim</t>
  </si>
  <si>
    <t>comp tub</t>
  </si>
  <si>
    <t>T. (MONT.) COTA GREIDE</t>
  </si>
  <si>
    <t>T (JUS.) COTA GREIDE</t>
  </si>
  <si>
    <t>PROF. (MONT.) REAL DO PV c/ GREIDE</t>
  </si>
  <si>
    <t>PROF. (JUS.) REAL DO PV c/ GREIDE</t>
  </si>
  <si>
    <t>DIFERENÇA DE COTA (TN x GREIDE)</t>
  </si>
  <si>
    <t>UNIT.</t>
  </si>
  <si>
    <t>ACUMUL.</t>
  </si>
  <si>
    <t>un.</t>
  </si>
  <si>
    <t>LÂMINA (m)</t>
  </si>
  <si>
    <t>m/m</t>
  </si>
  <si>
    <t>min.</t>
  </si>
  <si>
    <t>T-01</t>
  </si>
  <si>
    <t>T-02</t>
  </si>
  <si>
    <t>T-03</t>
  </si>
  <si>
    <t>T-04</t>
  </si>
  <si>
    <t>T-05</t>
  </si>
  <si>
    <t>T-06</t>
  </si>
  <si>
    <t>T-07</t>
  </si>
  <si>
    <t>T-08</t>
  </si>
  <si>
    <t>T-09</t>
  </si>
  <si>
    <t>T-10</t>
  </si>
  <si>
    <t>T-11</t>
  </si>
  <si>
    <t>m³.km</t>
  </si>
  <si>
    <t>RACHÃO</t>
  </si>
  <si>
    <t xml:space="preserve">ESPESSURA LASTRO (BRITA) - BASE DA GALERIA </t>
  </si>
  <si>
    <t xml:space="preserve">ESPESSURA LASTRO (RACHÃO) - BASE DA GALERIA </t>
  </si>
  <si>
    <t>BRITA</t>
  </si>
  <si>
    <t xml:space="preserve">VOLUME GEOMÉTRICO </t>
  </si>
  <si>
    <t xml:space="preserve">LASTRO COM PEDRA DE MÃO (BASE DA GALERIA)
 </t>
  </si>
  <si>
    <t xml:space="preserve">LASTRO DE BRITA (BASE DA GALERIA)
 </t>
  </si>
  <si>
    <t>tc=</t>
  </si>
  <si>
    <t>Tr=</t>
  </si>
  <si>
    <t>T-12</t>
  </si>
  <si>
    <t>T-13</t>
  </si>
  <si>
    <t>T-14</t>
  </si>
  <si>
    <t>T-15</t>
  </si>
  <si>
    <t>Vila Cristina e Vila Flor</t>
  </si>
  <si>
    <t>Amambai - M S</t>
  </si>
  <si>
    <t>DIMENSIONAMENTO - PEAD</t>
  </si>
  <si>
    <t>T-EXIST.</t>
  </si>
  <si>
    <r>
      <t>T-13</t>
    </r>
    <r>
      <rPr>
        <b/>
        <sz val="9"/>
        <color rgb="FFC00000"/>
        <rFont val="Arial"/>
        <family val="2"/>
      </rPr>
      <t xml:space="preserve"> </t>
    </r>
    <r>
      <rPr>
        <sz val="8"/>
        <rFont val="Arial"/>
        <family val="2"/>
      </rPr>
      <t>(BUEIRO METÁLICO)</t>
    </r>
  </si>
  <si>
    <t xml:space="preserve"> ,</t>
  </si>
  <si>
    <t>MANTA GEOTÊXTIL</t>
  </si>
  <si>
    <t>AV. PEDRO MANVAILER (RECONST. DE PAV)</t>
  </si>
  <si>
    <t>BGS</t>
  </si>
  <si>
    <t>ISOLAMENTO COM TELA PLÁSTICA (m)</t>
  </si>
  <si>
    <t>SINALIZAÇÃO DE TRÂNSITO NOTURNA (m)</t>
  </si>
  <si>
    <t>TRANSPORTE VOL. EMPOLADO (30%) - DMT=5 KM</t>
  </si>
  <si>
    <t xml:space="preserve">TRANSPORTE MATERIAL PARA ATERRO EMPOLADO (m³) - DMT=5 KM </t>
  </si>
  <si>
    <t>TRANSPORTE DE BASE                         DMT=30 KM (M³ X Km)</t>
  </si>
  <si>
    <t>TRANSPORTE DE IMPRIMAÇÃO                         DMT=331 KM (T X Km)</t>
  </si>
  <si>
    <t>TRANSPORTE DE IMPRIMAÇÃO                         DMT=30 KM (T X Km)</t>
  </si>
  <si>
    <t>TRANSPORTE DE BRITA PARA MEIO FIO E TENTO DMT=30 KM (M3 X Km)</t>
  </si>
  <si>
    <t>TRANSPORTE BOTA-FORA - DMT=5 KM (M3 X Km)</t>
  </si>
  <si>
    <t>TRANSPORTE DO TUBO (DMT=30 KM)</t>
  </si>
  <si>
    <t>TRANSPORTE                                  DMT=30 KM (M³ X Km)</t>
  </si>
  <si>
    <t>TRANSPORTE DE BRITA PARA CALÇADA</t>
  </si>
  <si>
    <t>TOTAL m³:</t>
  </si>
  <si>
    <t>ISOLAMENTO COM TELA PLÁSTICA</t>
  </si>
  <si>
    <t xml:space="preserve">DEMOLIÇÃO </t>
  </si>
  <si>
    <t>PAVIMENTO EXISTENTE      (18cm)</t>
  </si>
  <si>
    <t>MEIO-FIO COM SARJETA  EXISTENTE</t>
  </si>
  <si>
    <t xml:space="preserve">TRANSPORTE DE MATERIAL EMPOLADO - DMT=5 KM </t>
  </si>
  <si>
    <t>SARJETÃO</t>
  </si>
  <si>
    <t>TRANSP DE BRITA (DMT=30 KM)</t>
  </si>
  <si>
    <t>m3.km</t>
  </si>
  <si>
    <t>CBUQ - 3cm (ton³)</t>
  </si>
  <si>
    <t>TRANSPORTE DE CBUQ                         DMT=30 KM (ton X Km)</t>
  </si>
  <si>
    <t>TRANSPORTE DO TUBO (DMT=331KM)</t>
  </si>
  <si>
    <t>CBUQ - 3cm (Ton)</t>
  </si>
  <si>
    <t>TRANSPORTE DE CBUQ                         DMT=30 KM (Ton X Km)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</si>
</sst>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#,##0.000_);\(#,##0.000\)"/>
    <numFmt numFmtId="165" formatCode="_(* #,##0.00_);_(* \(#,##0.00\);_(* &quot;-&quot;??_);_(@_)"/>
    <numFmt numFmtId="166" formatCode="0.000"/>
    <numFmt numFmtId="167" formatCode="0.0000"/>
    <numFmt numFmtId="168" formatCode="#,##0.000;\-#,##0.000"/>
    <numFmt numFmtId="169" formatCode="#,##0.00_);\(#,##0.00\)"/>
    <numFmt numFmtId="170" formatCode="#,##0_);\(#,##0\)"/>
    <numFmt numFmtId="171" formatCode="0.00000"/>
    <numFmt numFmtId="172" formatCode="#,##0.0000;\-#,##0.0000"/>
    <numFmt numFmtId="173" formatCode="#,##0.0000000;\-#,##0.0000000"/>
    <numFmt numFmtId="174" formatCode="#,##0.00000;\-#,##0.00000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5"/>
      <name val="Arial"/>
      <family val="2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sz val="9"/>
      <name val="Arial"/>
      <family val="2"/>
    </font>
    <font>
      <sz val="9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Calibri"/>
      <family val="2"/>
      <scheme val="minor"/>
    </font>
    <font>
      <b/>
      <u/>
      <sz val="10"/>
      <name val="Arial"/>
      <family val="2"/>
    </font>
    <font>
      <i/>
      <sz val="12"/>
      <name val="Calibri"/>
      <family val="2"/>
      <scheme val="minor"/>
    </font>
    <font>
      <i/>
      <sz val="10"/>
      <name val="Calibri"/>
      <family val="2"/>
      <scheme val="minor"/>
    </font>
    <font>
      <b/>
      <i/>
      <sz val="20"/>
      <name val="Calibri"/>
      <family val="2"/>
      <scheme val="minor"/>
    </font>
    <font>
      <sz val="12"/>
      <color rgb="FF0000FF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name val="Amasis MT Pro"/>
      <family val="1"/>
    </font>
    <font>
      <b/>
      <sz val="12"/>
      <color rgb="FFC00000"/>
      <name val="Calibri"/>
      <family val="2"/>
      <scheme val="minor"/>
    </font>
    <font>
      <b/>
      <sz val="9"/>
      <color theme="5"/>
      <name val="Arial"/>
      <family val="2"/>
    </font>
    <font>
      <b/>
      <sz val="9"/>
      <color theme="6"/>
      <name val="Arial"/>
      <family val="2"/>
    </font>
    <font>
      <b/>
      <i/>
      <sz val="9"/>
      <name val="Arial"/>
      <family val="2"/>
    </font>
    <font>
      <b/>
      <i/>
      <sz val="8"/>
      <name val="Arial"/>
      <family val="2"/>
    </font>
    <font>
      <b/>
      <sz val="8"/>
      <color theme="6" tint="-0.499984740745262"/>
      <name val="Arial"/>
      <family val="2"/>
    </font>
    <font>
      <b/>
      <sz val="8"/>
      <color theme="5" tint="-0.499984740745262"/>
      <name val="Arial"/>
      <family val="2"/>
    </font>
    <font>
      <b/>
      <i/>
      <sz val="9"/>
      <color theme="9"/>
      <name val="Arial"/>
      <family val="2"/>
    </font>
    <font>
      <sz val="11"/>
      <color indexed="8"/>
      <name val="Calibri"/>
      <family val="2"/>
    </font>
    <font>
      <b/>
      <u/>
      <sz val="12"/>
      <name val="Calibri"/>
      <family val="2"/>
      <scheme val="minor"/>
    </font>
    <font>
      <u/>
      <sz val="1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i/>
      <sz val="9"/>
      <color rgb="FFC00000"/>
      <name val="Arial"/>
      <family val="2"/>
    </font>
    <font>
      <b/>
      <sz val="9"/>
      <color rgb="FFC0000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rgb="FFEDF7F9"/>
        <bgColor indexed="64"/>
      </patternFill>
    </fill>
    <fill>
      <patternFill patternType="solid">
        <fgColor rgb="FFF5EADF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ashDot">
        <color indexed="64"/>
      </left>
      <right/>
      <top style="dashDot">
        <color indexed="64"/>
      </top>
      <bottom/>
      <diagonal/>
    </border>
    <border>
      <left/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/>
      <top/>
      <bottom style="dashDot">
        <color indexed="64"/>
      </bottom>
      <diagonal/>
    </border>
    <border>
      <left/>
      <right style="dashDot">
        <color indexed="64"/>
      </right>
      <top/>
      <bottom style="dashDot">
        <color indexed="64"/>
      </bottom>
      <diagonal/>
    </border>
    <border>
      <left/>
      <right/>
      <top style="dashDot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Dot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dashDotDot">
        <color indexed="64"/>
      </right>
      <top/>
      <bottom style="dashDotDot">
        <color indexed="64"/>
      </bottom>
      <diagonal/>
    </border>
    <border>
      <left style="dashDot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/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dashDot">
        <color indexed="64"/>
      </left>
      <right/>
      <top/>
      <bottom/>
      <diagonal/>
    </border>
    <border>
      <left/>
      <right style="dashDot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ashDot">
        <color indexed="64"/>
      </top>
      <bottom/>
      <diagonal/>
    </border>
    <border>
      <left/>
      <right style="hair">
        <color indexed="64"/>
      </right>
      <top style="dashDot">
        <color indexed="64"/>
      </top>
      <bottom/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</borders>
  <cellStyleXfs count="13">
    <xf numFmtId="0" fontId="0" fillId="0" borderId="0"/>
    <xf numFmtId="165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0" fontId="23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2" fillId="0" borderId="0"/>
    <xf numFmtId="0" fontId="2" fillId="0" borderId="0"/>
  </cellStyleXfs>
  <cellXfs count="552">
    <xf numFmtId="0" fontId="0" fillId="0" borderId="0" xfId="0"/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4" fontId="14" fillId="0" borderId="0" xfId="0" applyNumberFormat="1" applyFont="1" applyAlignment="1">
      <alignment vertical="center" wrapText="1"/>
    </xf>
    <xf numFmtId="164" fontId="14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49" fontId="16" fillId="0" borderId="0" xfId="0" applyNumberFormat="1" applyFont="1" applyAlignment="1">
      <alignment horizontal="center" vertical="center"/>
    </xf>
    <xf numFmtId="49" fontId="16" fillId="0" borderId="0" xfId="0" applyNumberFormat="1" applyFont="1" applyAlignment="1">
      <alignment vertical="center"/>
    </xf>
    <xf numFmtId="164" fontId="17" fillId="3" borderId="0" xfId="0" applyNumberFormat="1" applyFont="1" applyFill="1" applyAlignment="1">
      <alignment vertical="center"/>
    </xf>
    <xf numFmtId="164" fontId="16" fillId="3" borderId="0" xfId="0" applyNumberFormat="1" applyFont="1" applyFill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vertical="center"/>
    </xf>
    <xf numFmtId="164" fontId="16" fillId="3" borderId="0" xfId="0" applyNumberFormat="1" applyFont="1" applyFill="1" applyAlignment="1">
      <alignment vertical="center"/>
    </xf>
    <xf numFmtId="37" fontId="8" fillId="0" borderId="0" xfId="0" applyNumberFormat="1" applyFont="1" applyAlignment="1">
      <alignment horizontal="center" vertical="center" wrapText="1"/>
    </xf>
    <xf numFmtId="37" fontId="2" fillId="0" borderId="0" xfId="0" applyNumberFormat="1" applyFont="1" applyAlignment="1">
      <alignment horizontal="center" vertical="center" wrapText="1"/>
    </xf>
    <xf numFmtId="39" fontId="2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39" fontId="9" fillId="0" borderId="0" xfId="0" applyNumberFormat="1" applyFont="1" applyAlignment="1">
      <alignment horizontal="center" vertical="center" wrapText="1"/>
    </xf>
    <xf numFmtId="39" fontId="12" fillId="0" borderId="0" xfId="0" applyNumberFormat="1" applyFont="1" applyAlignment="1">
      <alignment horizontal="center" vertical="center" wrapText="1"/>
    </xf>
    <xf numFmtId="39" fontId="8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8" fillId="2" borderId="3" xfId="0" applyNumberFormat="1" applyFont="1" applyFill="1" applyBorder="1" applyAlignment="1">
      <alignment horizontal="center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37" fontId="2" fillId="4" borderId="3" xfId="0" applyNumberFormat="1" applyFont="1" applyFill="1" applyBorder="1" applyAlignment="1">
      <alignment horizontal="center" vertical="center" wrapText="1"/>
    </xf>
    <xf numFmtId="168" fontId="2" fillId="4" borderId="3" xfId="0" applyNumberFormat="1" applyFont="1" applyFill="1" applyBorder="1" applyAlignment="1">
      <alignment horizontal="center" vertical="center" wrapText="1"/>
    </xf>
    <xf numFmtId="39" fontId="2" fillId="4" borderId="3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64" fontId="16" fillId="0" borderId="0" xfId="0" applyNumberFormat="1" applyFont="1" applyAlignment="1">
      <alignment horizontal="left" vertical="center" wrapText="1"/>
    </xf>
    <xf numFmtId="0" fontId="11" fillId="0" borderId="0" xfId="0" applyFont="1" applyAlignment="1" applyProtection="1">
      <alignment horizontal="left" vertical="center"/>
      <protection locked="0"/>
    </xf>
    <xf numFmtId="164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39" fontId="2" fillId="0" borderId="0" xfId="0" applyNumberFormat="1" applyFont="1" applyAlignment="1">
      <alignment horizontal="center" vertical="center"/>
    </xf>
    <xf numFmtId="0" fontId="21" fillId="0" borderId="0" xfId="4" applyFont="1" applyAlignment="1">
      <alignment vertical="center"/>
    </xf>
    <xf numFmtId="0" fontId="22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4" fontId="11" fillId="0" borderId="25" xfId="0" applyNumberFormat="1" applyFont="1" applyBorder="1" applyAlignment="1">
      <alignment horizontal="center" vertical="center" wrapText="1"/>
    </xf>
    <xf numFmtId="0" fontId="22" fillId="3" borderId="0" xfId="4" applyFont="1" applyFill="1" applyAlignment="1">
      <alignment vertical="center"/>
    </xf>
    <xf numFmtId="0" fontId="21" fillId="3" borderId="0" xfId="4" applyFont="1" applyFill="1" applyAlignment="1">
      <alignment vertical="center"/>
    </xf>
    <xf numFmtId="0" fontId="21" fillId="3" borderId="0" xfId="4" applyFont="1" applyFill="1" applyAlignment="1">
      <alignment horizontal="center" vertical="center"/>
    </xf>
    <xf numFmtId="0" fontId="24" fillId="3" borderId="0" xfId="4" applyFont="1" applyFill="1" applyAlignment="1">
      <alignment vertical="center"/>
    </xf>
    <xf numFmtId="0" fontId="7" fillId="3" borderId="0" xfId="4" applyFont="1" applyFill="1" applyAlignment="1">
      <alignment vertical="center"/>
    </xf>
    <xf numFmtId="0" fontId="25" fillId="3" borderId="0" xfId="4" applyFont="1" applyFill="1" applyAlignment="1">
      <alignment vertical="center"/>
    </xf>
    <xf numFmtId="0" fontId="7" fillId="3" borderId="0" xfId="4" applyFont="1" applyFill="1" applyAlignment="1">
      <alignment horizontal="right" vertical="center"/>
    </xf>
    <xf numFmtId="4" fontId="7" fillId="3" borderId="0" xfId="6" applyNumberFormat="1" applyFont="1" applyFill="1" applyBorder="1" applyAlignment="1">
      <alignment horizontal="center" vertical="center"/>
    </xf>
    <xf numFmtId="166" fontId="7" fillId="3" borderId="0" xfId="4" applyNumberFormat="1" applyFont="1" applyFill="1" applyAlignment="1">
      <alignment horizontal="center" vertical="center"/>
    </xf>
    <xf numFmtId="0" fontId="7" fillId="3" borderId="0" xfId="4" applyFont="1" applyFill="1" applyAlignment="1">
      <alignment horizontal="center" vertical="center"/>
    </xf>
    <xf numFmtId="2" fontId="5" fillId="3" borderId="0" xfId="4" applyNumberFormat="1" applyFont="1" applyFill="1" applyAlignment="1">
      <alignment horizontal="center" vertical="center"/>
    </xf>
    <xf numFmtId="2" fontId="7" fillId="3" borderId="0" xfId="4" applyNumberFormat="1" applyFont="1" applyFill="1" applyAlignment="1">
      <alignment horizontal="center" vertical="center"/>
    </xf>
    <xf numFmtId="0" fontId="24" fillId="3" borderId="0" xfId="4" applyFont="1" applyFill="1" applyAlignment="1">
      <alignment horizontal="right" vertical="center"/>
    </xf>
    <xf numFmtId="37" fontId="27" fillId="0" borderId="0" xfId="0" applyNumberFormat="1" applyFont="1" applyAlignment="1">
      <alignment horizontal="center" vertical="center" wrapText="1"/>
    </xf>
    <xf numFmtId="164" fontId="4" fillId="0" borderId="42" xfId="0" applyNumberFormat="1" applyFont="1" applyBorder="1" applyAlignment="1">
      <alignment horizontal="center" vertical="center"/>
    </xf>
    <xf numFmtId="166" fontId="5" fillId="0" borderId="43" xfId="0" applyNumberFormat="1" applyFont="1" applyBorder="1" applyAlignment="1">
      <alignment horizontal="center" vertical="center"/>
    </xf>
    <xf numFmtId="164" fontId="5" fillId="0" borderId="44" xfId="0" applyNumberFormat="1" applyFont="1" applyBorder="1" applyAlignment="1">
      <alignment horizontal="center" vertical="center"/>
    </xf>
    <xf numFmtId="164" fontId="4" fillId="0" borderId="46" xfId="0" applyNumberFormat="1" applyFont="1" applyBorder="1" applyAlignment="1">
      <alignment horizontal="center" vertical="center"/>
    </xf>
    <xf numFmtId="2" fontId="5" fillId="0" borderId="47" xfId="0" applyNumberFormat="1" applyFont="1" applyBorder="1" applyAlignment="1">
      <alignment horizontal="center" vertical="center"/>
    </xf>
    <xf numFmtId="1" fontId="5" fillId="0" borderId="48" xfId="0" applyNumberFormat="1" applyFont="1" applyBorder="1" applyAlignment="1">
      <alignment horizontal="center" vertical="center"/>
    </xf>
    <xf numFmtId="164" fontId="5" fillId="0" borderId="49" xfId="0" applyNumberFormat="1" applyFont="1" applyBorder="1" applyAlignment="1">
      <alignment horizontal="center" vertical="center"/>
    </xf>
    <xf numFmtId="49" fontId="26" fillId="8" borderId="29" xfId="0" applyNumberFormat="1" applyFont="1" applyFill="1" applyBorder="1" applyAlignment="1">
      <alignment horizontal="center" vertical="center"/>
    </xf>
    <xf numFmtId="164" fontId="28" fillId="8" borderId="30" xfId="0" applyNumberFormat="1" applyFont="1" applyFill="1" applyBorder="1" applyAlignment="1">
      <alignment vertical="center"/>
    </xf>
    <xf numFmtId="164" fontId="29" fillId="8" borderId="31" xfId="0" applyNumberFormat="1" applyFont="1" applyFill="1" applyBorder="1" applyAlignment="1">
      <alignment vertical="center"/>
    </xf>
    <xf numFmtId="49" fontId="26" fillId="8" borderId="17" xfId="0" applyNumberFormat="1" applyFont="1" applyFill="1" applyBorder="1" applyAlignment="1">
      <alignment horizontal="center" vertical="center"/>
    </xf>
    <xf numFmtId="164" fontId="29" fillId="8" borderId="22" xfId="0" applyNumberFormat="1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2" fontId="15" fillId="0" borderId="3" xfId="0" applyNumberFormat="1" applyFont="1" applyBorder="1" applyAlignment="1">
      <alignment horizontal="center" vertical="center"/>
    </xf>
    <xf numFmtId="166" fontId="15" fillId="0" borderId="3" xfId="0" applyNumberFormat="1" applyFont="1" applyBorder="1" applyAlignment="1">
      <alignment horizontal="center" vertical="center"/>
    </xf>
    <xf numFmtId="4" fontId="15" fillId="0" borderId="3" xfId="0" applyNumberFormat="1" applyFont="1" applyBorder="1" applyAlignment="1">
      <alignment horizontal="center" vertical="center"/>
    </xf>
    <xf numFmtId="166" fontId="31" fillId="0" borderId="3" xfId="0" applyNumberFormat="1" applyFont="1" applyBorder="1" applyAlignment="1">
      <alignment horizontal="center" vertical="center"/>
    </xf>
    <xf numFmtId="4" fontId="15" fillId="3" borderId="3" xfId="0" applyNumberFormat="1" applyFont="1" applyFill="1" applyBorder="1" applyAlignment="1">
      <alignment horizontal="center" vertical="center"/>
    </xf>
    <xf numFmtId="167" fontId="15" fillId="0" borderId="3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" fontId="7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4" fontId="5" fillId="2" borderId="3" xfId="0" applyNumberFormat="1" applyFont="1" applyFill="1" applyBorder="1" applyAlignment="1">
      <alignment horizontal="center" vertical="center"/>
    </xf>
    <xf numFmtId="166" fontId="5" fillId="9" borderId="3" xfId="0" applyNumberFormat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166" fontId="32" fillId="0" borderId="51" xfId="0" applyNumberFormat="1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2" fontId="34" fillId="0" borderId="3" xfId="0" applyNumberFormat="1" applyFont="1" applyBorder="1" applyAlignment="1">
      <alignment horizontal="center" vertical="center"/>
    </xf>
    <xf numFmtId="166" fontId="5" fillId="10" borderId="3" xfId="0" applyNumberFormat="1" applyFont="1" applyFill="1" applyBorder="1" applyAlignment="1">
      <alignment horizontal="center" vertical="center"/>
    </xf>
    <xf numFmtId="166" fontId="5" fillId="0" borderId="19" xfId="0" applyNumberFormat="1" applyFont="1" applyBorder="1" applyAlignment="1">
      <alignment horizontal="center" vertical="center"/>
    </xf>
    <xf numFmtId="2" fontId="5" fillId="6" borderId="18" xfId="0" applyNumberFormat="1" applyFont="1" applyFill="1" applyBorder="1" applyAlignment="1">
      <alignment horizontal="center" vertical="center"/>
    </xf>
    <xf numFmtId="171" fontId="15" fillId="3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2" fontId="11" fillId="0" borderId="25" xfId="0" applyNumberFormat="1" applyFont="1" applyBorder="1" applyAlignment="1">
      <alignment horizontal="center" vertical="center" wrapText="1"/>
    </xf>
    <xf numFmtId="9" fontId="11" fillId="0" borderId="25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37" fontId="8" fillId="5" borderId="3" xfId="0" applyNumberFormat="1" applyFont="1" applyFill="1" applyBorder="1" applyAlignment="1">
      <alignment horizontal="center" vertical="center" wrapText="1"/>
    </xf>
    <xf numFmtId="1" fontId="11" fillId="0" borderId="25" xfId="0" applyNumberFormat="1" applyFont="1" applyBorder="1" applyAlignment="1">
      <alignment horizontal="center" vertical="center" wrapText="1"/>
    </xf>
    <xf numFmtId="4" fontId="11" fillId="2" borderId="61" xfId="0" applyNumberFormat="1" applyFont="1" applyFill="1" applyBorder="1" applyAlignment="1">
      <alignment horizontal="center" vertical="center" wrapText="1"/>
    </xf>
    <xf numFmtId="4" fontId="11" fillId="5" borderId="61" xfId="0" applyNumberFormat="1" applyFont="1" applyFill="1" applyBorder="1" applyAlignment="1">
      <alignment horizontal="center" vertical="center" wrapText="1"/>
    </xf>
    <xf numFmtId="39" fontId="6" fillId="5" borderId="2" xfId="0" applyNumberFormat="1" applyFont="1" applyFill="1" applyBorder="1" applyAlignment="1">
      <alignment horizontal="center" vertical="center" wrapText="1"/>
    </xf>
    <xf numFmtId="37" fontId="6" fillId="5" borderId="57" xfId="0" applyNumberFormat="1" applyFont="1" applyFill="1" applyBorder="1" applyAlignment="1">
      <alignment horizontal="center" vertical="center" wrapText="1"/>
    </xf>
    <xf numFmtId="39" fontId="6" fillId="5" borderId="61" xfId="0" applyNumberFormat="1" applyFont="1" applyFill="1" applyBorder="1" applyAlignment="1">
      <alignment horizontal="center" vertical="center" wrapText="1"/>
    </xf>
    <xf numFmtId="39" fontId="6" fillId="2" borderId="2" xfId="0" applyNumberFormat="1" applyFont="1" applyFill="1" applyBorder="1" applyAlignment="1">
      <alignment horizontal="center" vertical="center" wrapText="1"/>
    </xf>
    <xf numFmtId="39" fontId="6" fillId="2" borderId="57" xfId="0" applyNumberFormat="1" applyFont="1" applyFill="1" applyBorder="1" applyAlignment="1">
      <alignment horizontal="center" vertical="center" wrapText="1"/>
    </xf>
    <xf numFmtId="39" fontId="6" fillId="2" borderId="61" xfId="0" applyNumberFormat="1" applyFont="1" applyFill="1" applyBorder="1" applyAlignment="1">
      <alignment horizontal="center" vertical="center" wrapText="1"/>
    </xf>
    <xf numFmtId="39" fontId="6" fillId="5" borderId="57" xfId="0" applyNumberFormat="1" applyFont="1" applyFill="1" applyBorder="1" applyAlignment="1">
      <alignment horizontal="center" vertical="center" wrapText="1"/>
    </xf>
    <xf numFmtId="39" fontId="6" fillId="5" borderId="62" xfId="0" applyNumberFormat="1" applyFont="1" applyFill="1" applyBorder="1" applyAlignment="1">
      <alignment horizontal="center" vertical="center" wrapText="1"/>
    </xf>
    <xf numFmtId="39" fontId="6" fillId="2" borderId="62" xfId="0" applyNumberFormat="1" applyFont="1" applyFill="1" applyBorder="1" applyAlignment="1">
      <alignment horizontal="center" vertical="center" wrapText="1"/>
    </xf>
    <xf numFmtId="0" fontId="11" fillId="2" borderId="57" xfId="0" quotePrefix="1" applyFont="1" applyFill="1" applyBorder="1" applyAlignment="1">
      <alignment horizontal="center" vertical="center" wrapText="1"/>
    </xf>
    <xf numFmtId="0" fontId="11" fillId="2" borderId="62" xfId="0" quotePrefix="1" applyFont="1" applyFill="1" applyBorder="1" applyAlignment="1">
      <alignment horizontal="center" vertical="center" wrapText="1"/>
    </xf>
    <xf numFmtId="0" fontId="11" fillId="2" borderId="2" xfId="0" quotePrefix="1" applyFont="1" applyFill="1" applyBorder="1" applyAlignment="1">
      <alignment horizontal="center" vertical="center" wrapText="1"/>
    </xf>
    <xf numFmtId="0" fontId="11" fillId="2" borderId="61" xfId="0" quotePrefix="1" applyFont="1" applyFill="1" applyBorder="1" applyAlignment="1">
      <alignment horizontal="center" vertical="center" wrapText="1"/>
    </xf>
    <xf numFmtId="3" fontId="11" fillId="0" borderId="25" xfId="0" applyNumberFormat="1" applyFont="1" applyBorder="1" applyAlignment="1">
      <alignment horizontal="center" vertical="center" wrapText="1"/>
    </xf>
    <xf numFmtId="1" fontId="6" fillId="0" borderId="25" xfId="0" applyNumberFormat="1" applyFont="1" applyBorder="1" applyAlignment="1">
      <alignment horizontal="center" vertical="center"/>
    </xf>
    <xf numFmtId="39" fontId="11" fillId="0" borderId="25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2" fontId="11" fillId="0" borderId="61" xfId="0" applyNumberFormat="1" applyFont="1" applyBorder="1" applyAlignment="1">
      <alignment horizontal="center" vertical="center" wrapText="1"/>
    </xf>
    <xf numFmtId="4" fontId="11" fillId="3" borderId="61" xfId="0" applyNumberFormat="1" applyFont="1" applyFill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2" fontId="19" fillId="0" borderId="59" xfId="0" applyNumberFormat="1" applyFont="1" applyBorder="1" applyAlignment="1">
      <alignment horizontal="center" vertical="center"/>
    </xf>
    <xf numFmtId="4" fontId="11" fillId="0" borderId="59" xfId="0" applyNumberFormat="1" applyFont="1" applyBorder="1" applyAlignment="1">
      <alignment horizontal="center" vertical="center" wrapText="1"/>
    </xf>
    <xf numFmtId="4" fontId="11" fillId="2" borderId="62" xfId="0" applyNumberFormat="1" applyFont="1" applyFill="1" applyBorder="1" applyAlignment="1">
      <alignment horizontal="center" vertical="center" wrapText="1"/>
    </xf>
    <xf numFmtId="37" fontId="6" fillId="3" borderId="10" xfId="0" applyNumberFormat="1" applyFont="1" applyFill="1" applyBorder="1" applyAlignment="1">
      <alignment horizontal="center" vertical="center" wrapText="1"/>
    </xf>
    <xf numFmtId="37" fontId="6" fillId="3" borderId="3" xfId="0" applyNumberFormat="1" applyFont="1" applyFill="1" applyBorder="1" applyAlignment="1">
      <alignment horizontal="center" vertical="center" wrapText="1"/>
    </xf>
    <xf numFmtId="37" fontId="19" fillId="5" borderId="3" xfId="0" applyNumberFormat="1" applyFont="1" applyFill="1" applyBorder="1" applyAlignment="1">
      <alignment horizontal="center" vertical="center" wrapText="1"/>
    </xf>
    <xf numFmtId="39" fontId="19" fillId="2" borderId="2" xfId="0" applyNumberFormat="1" applyFont="1" applyFill="1" applyBorder="1" applyAlignment="1">
      <alignment horizontal="center" vertical="center" wrapText="1"/>
    </xf>
    <xf numFmtId="37" fontId="19" fillId="5" borderId="57" xfId="0" applyNumberFormat="1" applyFont="1" applyFill="1" applyBorder="1" applyAlignment="1">
      <alignment horizontal="center" vertical="center" wrapText="1"/>
    </xf>
    <xf numFmtId="39" fontId="19" fillId="5" borderId="61" xfId="0" applyNumberFormat="1" applyFont="1" applyFill="1" applyBorder="1" applyAlignment="1">
      <alignment horizontal="center" vertical="center" wrapText="1"/>
    </xf>
    <xf numFmtId="39" fontId="19" fillId="5" borderId="2" xfId="0" applyNumberFormat="1" applyFont="1" applyFill="1" applyBorder="1" applyAlignment="1">
      <alignment horizontal="center" vertical="center" wrapText="1"/>
    </xf>
    <xf numFmtId="39" fontId="19" fillId="2" borderId="57" xfId="0" applyNumberFormat="1" applyFont="1" applyFill="1" applyBorder="1" applyAlignment="1">
      <alignment horizontal="center" vertical="center" wrapText="1"/>
    </xf>
    <xf numFmtId="39" fontId="19" fillId="5" borderId="3" xfId="0" applyNumberFormat="1" applyFont="1" applyFill="1" applyBorder="1" applyAlignment="1">
      <alignment horizontal="center" vertical="center" wrapText="1"/>
    </xf>
    <xf numFmtId="37" fontId="19" fillId="2" borderId="3" xfId="0" applyNumberFormat="1" applyFont="1" applyFill="1" applyBorder="1" applyAlignment="1">
      <alignment horizontal="center" vertical="center" wrapText="1"/>
    </xf>
    <xf numFmtId="39" fontId="19" fillId="2" borderId="3" xfId="0" applyNumberFormat="1" applyFont="1" applyFill="1" applyBorder="1" applyAlignment="1">
      <alignment horizontal="center" vertical="center" wrapText="1"/>
    </xf>
    <xf numFmtId="39" fontId="19" fillId="2" borderId="62" xfId="0" applyNumberFormat="1" applyFont="1" applyFill="1" applyBorder="1" applyAlignment="1">
      <alignment horizontal="center" vertical="center" wrapText="1"/>
    </xf>
    <xf numFmtId="39" fontId="19" fillId="5" borderId="57" xfId="0" applyNumberFormat="1" applyFont="1" applyFill="1" applyBorder="1" applyAlignment="1">
      <alignment horizontal="center" vertical="center" wrapText="1"/>
    </xf>
    <xf numFmtId="39" fontId="19" fillId="5" borderId="62" xfId="0" applyNumberFormat="1" applyFont="1" applyFill="1" applyBorder="1" applyAlignment="1">
      <alignment horizontal="center" vertical="center" wrapText="1"/>
    </xf>
    <xf numFmtId="39" fontId="19" fillId="2" borderId="61" xfId="0" applyNumberFormat="1" applyFont="1" applyFill="1" applyBorder="1" applyAlignment="1">
      <alignment horizontal="center" vertical="center" wrapText="1"/>
    </xf>
    <xf numFmtId="39" fontId="11" fillId="0" borderId="0" xfId="0" applyNumberFormat="1" applyFont="1" applyAlignment="1">
      <alignment horizontal="center" vertical="center" wrapText="1"/>
    </xf>
    <xf numFmtId="4" fontId="11" fillId="5" borderId="62" xfId="0" applyNumberFormat="1" applyFont="1" applyFill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5" borderId="56" xfId="0" applyNumberFormat="1" applyFont="1" applyFill="1" applyBorder="1" applyAlignment="1">
      <alignment horizontal="center" vertical="center" wrapText="1"/>
    </xf>
    <xf numFmtId="4" fontId="11" fillId="2" borderId="56" xfId="0" applyNumberFormat="1" applyFont="1" applyFill="1" applyBorder="1" applyAlignment="1">
      <alignment horizontal="center" vertical="center" wrapText="1"/>
    </xf>
    <xf numFmtId="4" fontId="11" fillId="2" borderId="12" xfId="0" applyNumberFormat="1" applyFont="1" applyFill="1" applyBorder="1" applyAlignment="1">
      <alignment horizontal="center" vertical="center" wrapText="1"/>
    </xf>
    <xf numFmtId="4" fontId="11" fillId="2" borderId="57" xfId="0" applyNumberFormat="1" applyFont="1" applyFill="1" applyBorder="1" applyAlignment="1">
      <alignment horizontal="center" vertical="center" wrapText="1"/>
    </xf>
    <xf numFmtId="4" fontId="11" fillId="5" borderId="63" xfId="0" applyNumberFormat="1" applyFont="1" applyFill="1" applyBorder="1" applyAlignment="1">
      <alignment horizontal="center" vertical="center" wrapText="1"/>
    </xf>
    <xf numFmtId="4" fontId="11" fillId="2" borderId="63" xfId="0" applyNumberFormat="1" applyFont="1" applyFill="1" applyBorder="1" applyAlignment="1">
      <alignment horizontal="center" vertical="center" wrapText="1"/>
    </xf>
    <xf numFmtId="4" fontId="11" fillId="5" borderId="57" xfId="0" applyNumberFormat="1" applyFont="1" applyFill="1" applyBorder="1" applyAlignment="1">
      <alignment horizontal="center" vertical="center" wrapText="1"/>
    </xf>
    <xf numFmtId="4" fontId="11" fillId="5" borderId="15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37" fillId="5" borderId="10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166" fontId="31" fillId="0" borderId="0" xfId="0" applyNumberFormat="1" applyFont="1" applyAlignment="1">
      <alignment horizontal="center" vertical="center"/>
    </xf>
    <xf numFmtId="4" fontId="15" fillId="3" borderId="0" xfId="0" applyNumberFormat="1" applyFont="1" applyFill="1" applyAlignment="1">
      <alignment horizontal="center" vertical="center"/>
    </xf>
    <xf numFmtId="167" fontId="15" fillId="0" borderId="0" xfId="0" applyNumberFormat="1" applyFont="1" applyAlignment="1">
      <alignment horizontal="center" vertical="center"/>
    </xf>
    <xf numFmtId="2" fontId="34" fillId="0" borderId="0" xfId="0" applyNumberFormat="1" applyFont="1" applyAlignment="1">
      <alignment horizontal="center" vertical="center"/>
    </xf>
    <xf numFmtId="171" fontId="15" fillId="3" borderId="0" xfId="0" applyNumberFormat="1" applyFont="1" applyFill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3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2" borderId="3" xfId="4" applyFont="1" applyFill="1" applyBorder="1" applyAlignment="1">
      <alignment horizontal="center" vertical="center"/>
    </xf>
    <xf numFmtId="0" fontId="5" fillId="3" borderId="66" xfId="4" applyFont="1" applyFill="1" applyBorder="1" applyAlignment="1">
      <alignment vertical="center" wrapText="1"/>
    </xf>
    <xf numFmtId="0" fontId="5" fillId="3" borderId="65" xfId="4" applyFont="1" applyFill="1" applyBorder="1" applyAlignment="1">
      <alignment vertical="center" wrapText="1"/>
    </xf>
    <xf numFmtId="4" fontId="5" fillId="2" borderId="3" xfId="6" applyNumberFormat="1" applyFont="1" applyFill="1" applyBorder="1" applyAlignment="1">
      <alignment horizontal="center" vertical="center"/>
    </xf>
    <xf numFmtId="0" fontId="5" fillId="2" borderId="3" xfId="4" applyFont="1" applyFill="1" applyBorder="1" applyAlignment="1">
      <alignment horizontal="left" vertical="center"/>
    </xf>
    <xf numFmtId="4" fontId="15" fillId="11" borderId="3" xfId="6" applyNumberFormat="1" applyFont="1" applyFill="1" applyBorder="1" applyAlignment="1">
      <alignment horizontal="center" vertical="center"/>
    </xf>
    <xf numFmtId="3" fontId="15" fillId="11" borderId="3" xfId="7" applyNumberFormat="1" applyFont="1" applyFill="1" applyBorder="1" applyAlignment="1">
      <alignment horizontal="center" vertical="center"/>
    </xf>
    <xf numFmtId="4" fontId="15" fillId="11" borderId="3" xfId="5" applyNumberFormat="1" applyFont="1" applyFill="1" applyBorder="1" applyAlignment="1">
      <alignment horizontal="center" vertical="center"/>
    </xf>
    <xf numFmtId="0" fontId="15" fillId="11" borderId="3" xfId="4" applyFont="1" applyFill="1" applyBorder="1" applyAlignment="1">
      <alignment horizontal="left" vertical="center"/>
    </xf>
    <xf numFmtId="0" fontId="5" fillId="7" borderId="3" xfId="4" applyFont="1" applyFill="1" applyBorder="1" applyAlignment="1">
      <alignment horizontal="center" vertical="center" wrapText="1"/>
    </xf>
    <xf numFmtId="0" fontId="5" fillId="3" borderId="0" xfId="4" applyFont="1" applyFill="1" applyAlignment="1">
      <alignment vertical="center" wrapText="1"/>
    </xf>
    <xf numFmtId="0" fontId="25" fillId="3" borderId="70" xfId="4" applyFont="1" applyFill="1" applyBorder="1" applyAlignment="1">
      <alignment vertical="center"/>
    </xf>
    <xf numFmtId="0" fontId="7" fillId="3" borderId="71" xfId="4" applyFont="1" applyFill="1" applyBorder="1" applyAlignment="1">
      <alignment vertical="center"/>
    </xf>
    <xf numFmtId="0" fontId="25" fillId="3" borderId="17" xfId="4" applyFont="1" applyFill="1" applyBorder="1" applyAlignment="1">
      <alignment vertical="center"/>
    </xf>
    <xf numFmtId="0" fontId="25" fillId="3" borderId="32" xfId="4" applyFont="1" applyFill="1" applyBorder="1" applyAlignment="1">
      <alignment vertical="center"/>
    </xf>
    <xf numFmtId="0" fontId="24" fillId="3" borderId="32" xfId="4" applyFont="1" applyFill="1" applyBorder="1" applyAlignment="1">
      <alignment vertical="center"/>
    </xf>
    <xf numFmtId="4" fontId="7" fillId="3" borderId="32" xfId="6" applyNumberFormat="1" applyFont="1" applyFill="1" applyBorder="1" applyAlignment="1">
      <alignment horizontal="center" vertical="center"/>
    </xf>
    <xf numFmtId="0" fontId="21" fillId="3" borderId="32" xfId="4" applyFont="1" applyFill="1" applyBorder="1" applyAlignment="1">
      <alignment vertical="center"/>
    </xf>
    <xf numFmtId="0" fontId="21" fillId="3" borderId="22" xfId="4" applyFont="1" applyFill="1" applyBorder="1" applyAlignment="1">
      <alignment vertical="center"/>
    </xf>
    <xf numFmtId="0" fontId="24" fillId="3" borderId="70" xfId="4" applyFont="1" applyFill="1" applyBorder="1" applyAlignment="1">
      <alignment vertical="center"/>
    </xf>
    <xf numFmtId="0" fontId="7" fillId="3" borderId="71" xfId="4" applyFont="1" applyFill="1" applyBorder="1" applyAlignment="1">
      <alignment horizontal="left" vertical="center"/>
    </xf>
    <xf numFmtId="3" fontId="7" fillId="3" borderId="71" xfId="4" applyNumberFormat="1" applyFont="1" applyFill="1" applyBorder="1" applyAlignment="1">
      <alignment horizontal="left" vertical="center"/>
    </xf>
    <xf numFmtId="0" fontId="24" fillId="3" borderId="70" xfId="4" applyFont="1" applyFill="1" applyBorder="1" applyAlignment="1">
      <alignment horizontal="right" vertical="center"/>
    </xf>
    <xf numFmtId="0" fontId="24" fillId="3" borderId="17" xfId="4" applyFont="1" applyFill="1" applyBorder="1" applyAlignment="1">
      <alignment vertical="center"/>
    </xf>
    <xf numFmtId="0" fontId="7" fillId="3" borderId="32" xfId="4" applyFont="1" applyFill="1" applyBorder="1" applyAlignment="1">
      <alignment horizontal="right" vertical="center"/>
    </xf>
    <xf numFmtId="2" fontId="7" fillId="3" borderId="32" xfId="4" applyNumberFormat="1" applyFont="1" applyFill="1" applyBorder="1" applyAlignment="1">
      <alignment horizontal="center" vertical="center"/>
    </xf>
    <xf numFmtId="0" fontId="7" fillId="3" borderId="22" xfId="4" applyFont="1" applyFill="1" applyBorder="1" applyAlignment="1">
      <alignment vertical="center"/>
    </xf>
    <xf numFmtId="0" fontId="21" fillId="0" borderId="70" xfId="4" applyFont="1" applyBorder="1" applyAlignment="1">
      <alignment vertical="center"/>
    </xf>
    <xf numFmtId="0" fontId="43" fillId="3" borderId="0" xfId="4" applyFont="1" applyFill="1" applyAlignment="1">
      <alignment vertical="center" wrapText="1"/>
    </xf>
    <xf numFmtId="0" fontId="43" fillId="3" borderId="71" xfId="4" applyFont="1" applyFill="1" applyBorder="1" applyAlignment="1">
      <alignment vertical="center" wrapText="1"/>
    </xf>
    <xf numFmtId="0" fontId="5" fillId="3" borderId="70" xfId="4" applyFont="1" applyFill="1" applyBorder="1" applyAlignment="1">
      <alignment vertical="center" wrapText="1"/>
    </xf>
    <xf numFmtId="0" fontId="21" fillId="3" borderId="71" xfId="4" applyFont="1" applyFill="1" applyBorder="1" applyAlignment="1">
      <alignment vertical="center"/>
    </xf>
    <xf numFmtId="169" fontId="19" fillId="0" borderId="32" xfId="0" applyNumberFormat="1" applyFont="1" applyBorder="1" applyAlignment="1">
      <alignment horizontal="center" vertical="center" wrapText="1"/>
    </xf>
    <xf numFmtId="169" fontId="19" fillId="0" borderId="59" xfId="0" applyNumberFormat="1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169" fontId="19" fillId="0" borderId="25" xfId="0" applyNumberFormat="1" applyFont="1" applyBorder="1" applyAlignment="1">
      <alignment horizontal="center" vertical="center" wrapText="1"/>
    </xf>
    <xf numFmtId="169" fontId="19" fillId="0" borderId="61" xfId="0" applyNumberFormat="1" applyFont="1" applyBorder="1" applyAlignment="1">
      <alignment horizontal="center" vertical="center" wrapText="1"/>
    </xf>
    <xf numFmtId="170" fontId="11" fillId="0" borderId="32" xfId="0" applyNumberFormat="1" applyFont="1" applyBorder="1" applyAlignment="1">
      <alignment horizontal="center" vertical="center" wrapText="1"/>
    </xf>
    <xf numFmtId="170" fontId="11" fillId="0" borderId="59" xfId="0" applyNumberFormat="1" applyFont="1" applyBorder="1" applyAlignment="1">
      <alignment horizontal="center" vertical="center" wrapText="1"/>
    </xf>
    <xf numFmtId="170" fontId="11" fillId="0" borderId="58" xfId="0" applyNumberFormat="1" applyFont="1" applyBorder="1" applyAlignment="1">
      <alignment horizontal="center" vertical="center" wrapText="1"/>
    </xf>
    <xf numFmtId="170" fontId="11" fillId="0" borderId="25" xfId="0" applyNumberFormat="1" applyFont="1" applyBorder="1" applyAlignment="1">
      <alignment horizontal="center" vertical="center" wrapText="1"/>
    </xf>
    <xf numFmtId="2" fontId="11" fillId="0" borderId="58" xfId="0" applyNumberFormat="1" applyFont="1" applyBorder="1" applyAlignment="1">
      <alignment horizontal="center" vertical="center" wrapText="1"/>
    </xf>
    <xf numFmtId="169" fontId="11" fillId="0" borderId="58" xfId="0" applyNumberFormat="1" applyFont="1" applyBorder="1" applyAlignment="1">
      <alignment horizontal="center" vertical="center" wrapText="1"/>
    </xf>
    <xf numFmtId="169" fontId="11" fillId="0" borderId="25" xfId="0" applyNumberFormat="1" applyFont="1" applyBorder="1" applyAlignment="1">
      <alignment horizontal="center" vertical="center" wrapText="1"/>
    </xf>
    <xf numFmtId="164" fontId="11" fillId="0" borderId="58" xfId="0" applyNumberFormat="1" applyFont="1" applyBorder="1" applyAlignment="1">
      <alignment horizontal="center" vertical="center" wrapText="1"/>
    </xf>
    <xf numFmtId="164" fontId="11" fillId="0" borderId="25" xfId="0" applyNumberFormat="1" applyFont="1" applyBorder="1" applyAlignment="1">
      <alignment horizontal="center" vertical="center" wrapText="1"/>
    </xf>
    <xf numFmtId="169" fontId="11" fillId="0" borderId="26" xfId="0" applyNumberFormat="1" applyFont="1" applyBorder="1" applyAlignment="1">
      <alignment horizontal="center" vertical="center" wrapText="1"/>
    </xf>
    <xf numFmtId="169" fontId="11" fillId="0" borderId="56" xfId="0" applyNumberFormat="1" applyFont="1" applyBorder="1" applyAlignment="1">
      <alignment horizontal="center" vertical="center" wrapText="1"/>
    </xf>
    <xf numFmtId="0" fontId="6" fillId="12" borderId="57" xfId="0" applyFont="1" applyFill="1" applyBorder="1" applyAlignment="1">
      <alignment horizontal="center" vertical="center" wrapText="1"/>
    </xf>
    <xf numFmtId="0" fontId="6" fillId="12" borderId="61" xfId="0" applyFont="1" applyFill="1" applyBorder="1" applyAlignment="1">
      <alignment horizontal="center" vertical="center" wrapText="1"/>
    </xf>
    <xf numFmtId="0" fontId="6" fillId="12" borderId="62" xfId="0" applyFont="1" applyFill="1" applyBorder="1" applyAlignment="1">
      <alignment horizontal="center" vertical="center" wrapText="1"/>
    </xf>
    <xf numFmtId="0" fontId="6" fillId="12" borderId="56" xfId="0" applyFont="1" applyFill="1" applyBorder="1" applyAlignment="1">
      <alignment horizontal="center" vertical="center" wrapText="1"/>
    </xf>
    <xf numFmtId="0" fontId="37" fillId="12" borderId="3" xfId="0" applyFont="1" applyFill="1" applyBorder="1" applyAlignment="1">
      <alignment horizontal="center" vertical="center" wrapText="1"/>
    </xf>
    <xf numFmtId="0" fontId="37" fillId="12" borderId="10" xfId="0" applyFont="1" applyFill="1" applyBorder="1" applyAlignment="1">
      <alignment horizontal="center" vertical="center" wrapText="1"/>
    </xf>
    <xf numFmtId="169" fontId="19" fillId="12" borderId="3" xfId="0" applyNumberFormat="1" applyFont="1" applyFill="1" applyBorder="1" applyAlignment="1">
      <alignment horizontal="center" vertical="center" wrapText="1"/>
    </xf>
    <xf numFmtId="169" fontId="19" fillId="12" borderId="57" xfId="0" applyNumberFormat="1" applyFont="1" applyFill="1" applyBorder="1" applyAlignment="1">
      <alignment horizontal="center" vertical="center" wrapText="1"/>
    </xf>
    <xf numFmtId="169" fontId="19" fillId="12" borderId="62" xfId="0" applyNumberFormat="1" applyFont="1" applyFill="1" applyBorder="1" applyAlignment="1">
      <alignment horizontal="center" vertical="center" wrapText="1"/>
    </xf>
    <xf numFmtId="169" fontId="19" fillId="12" borderId="61" xfId="0" applyNumberFormat="1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 wrapText="1"/>
    </xf>
    <xf numFmtId="0" fontId="6" fillId="13" borderId="57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13" borderId="61" xfId="0" applyFont="1" applyFill="1" applyBorder="1" applyAlignment="1">
      <alignment horizontal="center" vertical="center" wrapText="1"/>
    </xf>
    <xf numFmtId="169" fontId="19" fillId="13" borderId="62" xfId="0" applyNumberFormat="1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6" fillId="13" borderId="55" xfId="0" applyFont="1" applyFill="1" applyBorder="1" applyAlignment="1">
      <alignment horizontal="center" vertical="center" wrapText="1"/>
    </xf>
    <xf numFmtId="2" fontId="19" fillId="12" borderId="57" xfId="0" applyNumberFormat="1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  <xf numFmtId="169" fontId="19" fillId="12" borderId="2" xfId="0" applyNumberFormat="1" applyFont="1" applyFill="1" applyBorder="1" applyAlignment="1">
      <alignment horizontal="center" vertical="center" wrapText="1"/>
    </xf>
    <xf numFmtId="0" fontId="6" fillId="12" borderId="12" xfId="0" applyFont="1" applyFill="1" applyBorder="1" applyAlignment="1">
      <alignment horizontal="center" vertical="center" wrapText="1"/>
    </xf>
    <xf numFmtId="0" fontId="6" fillId="12" borderId="55" xfId="0" applyFont="1" applyFill="1" applyBorder="1" applyAlignment="1">
      <alignment horizontal="center" vertical="center" wrapText="1"/>
    </xf>
    <xf numFmtId="169" fontId="11" fillId="11" borderId="32" xfId="0" applyNumberFormat="1" applyFont="1" applyFill="1" applyBorder="1" applyAlignment="1">
      <alignment horizontal="center" vertical="center" wrapText="1"/>
    </xf>
    <xf numFmtId="169" fontId="19" fillId="11" borderId="25" xfId="0" applyNumberFormat="1" applyFont="1" applyFill="1" applyBorder="1" applyAlignment="1">
      <alignment horizontal="center" vertical="center" wrapText="1"/>
    </xf>
    <xf numFmtId="169" fontId="11" fillId="11" borderId="59" xfId="0" applyNumberFormat="1" applyFont="1" applyFill="1" applyBorder="1" applyAlignment="1">
      <alignment horizontal="center" vertical="center" wrapText="1"/>
    </xf>
    <xf numFmtId="169" fontId="11" fillId="11" borderId="26" xfId="0" applyNumberFormat="1" applyFont="1" applyFill="1" applyBorder="1" applyAlignment="1">
      <alignment horizontal="center" vertical="center" wrapText="1"/>
    </xf>
    <xf numFmtId="169" fontId="11" fillId="11" borderId="56" xfId="0" applyNumberFormat="1" applyFont="1" applyFill="1" applyBorder="1" applyAlignment="1">
      <alignment horizontal="center" vertical="center" wrapText="1"/>
    </xf>
    <xf numFmtId="169" fontId="11" fillId="11" borderId="58" xfId="0" applyNumberFormat="1" applyFont="1" applyFill="1" applyBorder="1" applyAlignment="1">
      <alignment horizontal="center" vertical="center" wrapText="1"/>
    </xf>
    <xf numFmtId="169" fontId="11" fillId="11" borderId="25" xfId="0" applyNumberFormat="1" applyFont="1" applyFill="1" applyBorder="1" applyAlignment="1">
      <alignment horizontal="center" vertical="center" wrapText="1"/>
    </xf>
    <xf numFmtId="169" fontId="19" fillId="11" borderId="58" xfId="0" applyNumberFormat="1" applyFont="1" applyFill="1" applyBorder="1" applyAlignment="1">
      <alignment horizontal="center" vertical="center" wrapText="1"/>
    </xf>
    <xf numFmtId="169" fontId="19" fillId="11" borderId="61" xfId="0" applyNumberFormat="1" applyFont="1" applyFill="1" applyBorder="1" applyAlignment="1">
      <alignment horizontal="center" vertical="center" wrapText="1"/>
    </xf>
    <xf numFmtId="169" fontId="35" fillId="11" borderId="58" xfId="0" applyNumberFormat="1" applyFont="1" applyFill="1" applyBorder="1" applyAlignment="1">
      <alignment horizontal="center" vertical="center" wrapText="1"/>
    </xf>
    <xf numFmtId="169" fontId="35" fillId="11" borderId="25" xfId="0" applyNumberFormat="1" applyFont="1" applyFill="1" applyBorder="1" applyAlignment="1">
      <alignment horizontal="center" vertical="center" wrapText="1"/>
    </xf>
    <xf numFmtId="169" fontId="36" fillId="11" borderId="32" xfId="0" applyNumberFormat="1" applyFont="1" applyFill="1" applyBorder="1" applyAlignment="1">
      <alignment horizontal="center" vertical="center" wrapText="1"/>
    </xf>
    <xf numFmtId="169" fontId="36" fillId="11" borderId="59" xfId="0" applyNumberFormat="1" applyFont="1" applyFill="1" applyBorder="1" applyAlignment="1">
      <alignment horizontal="center" vertical="center" wrapText="1"/>
    </xf>
    <xf numFmtId="9" fontId="11" fillId="11" borderId="58" xfId="0" applyNumberFormat="1" applyFont="1" applyFill="1" applyBorder="1" applyAlignment="1">
      <alignment horizontal="center" vertical="center" wrapText="1"/>
    </xf>
    <xf numFmtId="9" fontId="11" fillId="11" borderId="25" xfId="0" applyNumberFormat="1" applyFont="1" applyFill="1" applyBorder="1" applyAlignment="1">
      <alignment horizontal="center" vertical="center" wrapText="1"/>
    </xf>
    <xf numFmtId="2" fontId="19" fillId="0" borderId="32" xfId="0" applyNumberFormat="1" applyFont="1" applyBorder="1" applyAlignment="1">
      <alignment horizontal="center" vertical="center" wrapText="1"/>
    </xf>
    <xf numFmtId="2" fontId="19" fillId="0" borderId="57" xfId="0" applyNumberFormat="1" applyFont="1" applyBorder="1" applyAlignment="1">
      <alignment horizontal="center" vertical="center" wrapText="1"/>
    </xf>
    <xf numFmtId="2" fontId="19" fillId="0" borderId="60" xfId="0" applyNumberFormat="1" applyFont="1" applyBorder="1" applyAlignment="1">
      <alignment horizontal="center" vertical="center" wrapText="1"/>
    </xf>
    <xf numFmtId="169" fontId="11" fillId="0" borderId="61" xfId="0" applyNumberFormat="1" applyFont="1" applyBorder="1" applyAlignment="1">
      <alignment horizontal="center" vertical="center" wrapText="1"/>
    </xf>
    <xf numFmtId="169" fontId="11" fillId="0" borderId="32" xfId="0" applyNumberFormat="1" applyFont="1" applyBorder="1" applyAlignment="1">
      <alignment horizontal="center" vertical="center" wrapText="1"/>
    </xf>
    <xf numFmtId="169" fontId="11" fillId="0" borderId="59" xfId="0" applyNumberFormat="1" applyFont="1" applyBorder="1" applyAlignment="1">
      <alignment horizontal="center" vertical="center" wrapText="1"/>
    </xf>
    <xf numFmtId="169" fontId="19" fillId="0" borderId="58" xfId="0" applyNumberFormat="1" applyFont="1" applyBorder="1" applyAlignment="1">
      <alignment horizontal="center" vertical="center" wrapText="1"/>
    </xf>
    <xf numFmtId="164" fontId="11" fillId="0" borderId="26" xfId="0" applyNumberFormat="1" applyFont="1" applyBorder="1" applyAlignment="1">
      <alignment horizontal="center" vertical="center" wrapText="1"/>
    </xf>
    <xf numFmtId="164" fontId="11" fillId="0" borderId="56" xfId="0" applyNumberFormat="1" applyFont="1" applyBorder="1" applyAlignment="1">
      <alignment horizontal="center" vertical="center" wrapText="1"/>
    </xf>
    <xf numFmtId="164" fontId="11" fillId="0" borderId="32" xfId="0" applyNumberFormat="1" applyFont="1" applyBorder="1" applyAlignment="1">
      <alignment horizontal="center" vertical="center" wrapText="1"/>
    </xf>
    <xf numFmtId="164" fontId="11" fillId="0" borderId="59" xfId="0" applyNumberFormat="1" applyFont="1" applyBorder="1" applyAlignment="1">
      <alignment horizontal="center" vertical="center" wrapText="1"/>
    </xf>
    <xf numFmtId="2" fontId="19" fillId="11" borderId="57" xfId="0" applyNumberFormat="1" applyFont="1" applyFill="1" applyBorder="1" applyAlignment="1">
      <alignment horizontal="center" vertical="center" wrapText="1"/>
    </xf>
    <xf numFmtId="2" fontId="11" fillId="11" borderId="61" xfId="0" applyNumberFormat="1" applyFont="1" applyFill="1" applyBorder="1" applyAlignment="1">
      <alignment horizontal="center" vertical="center" wrapText="1"/>
    </xf>
    <xf numFmtId="2" fontId="19" fillId="12" borderId="62" xfId="0" applyNumberFormat="1" applyFont="1" applyFill="1" applyBorder="1" applyAlignment="1">
      <alignment horizontal="center" vertical="center" wrapText="1"/>
    </xf>
    <xf numFmtId="2" fontId="19" fillId="12" borderId="56" xfId="0" applyNumberFormat="1" applyFont="1" applyFill="1" applyBorder="1" applyAlignment="1">
      <alignment horizontal="center" vertical="center" wrapText="1"/>
    </xf>
    <xf numFmtId="39" fontId="6" fillId="12" borderId="12" xfId="0" applyNumberFormat="1" applyFont="1" applyFill="1" applyBorder="1" applyAlignment="1">
      <alignment vertical="center" textRotation="90" wrapText="1"/>
    </xf>
    <xf numFmtId="169" fontId="19" fillId="12" borderId="11" xfId="0" applyNumberFormat="1" applyFont="1" applyFill="1" applyBorder="1" applyAlignment="1">
      <alignment horizontal="center" vertical="center" wrapText="1"/>
    </xf>
    <xf numFmtId="169" fontId="11" fillId="0" borderId="16" xfId="0" applyNumberFormat="1" applyFont="1" applyBorder="1" applyAlignment="1">
      <alignment horizontal="center" vertical="center" wrapText="1"/>
    </xf>
    <xf numFmtId="169" fontId="19" fillId="0" borderId="26" xfId="0" applyNumberFormat="1" applyFont="1" applyBorder="1" applyAlignment="1">
      <alignment horizontal="center" vertical="center" wrapText="1"/>
    </xf>
    <xf numFmtId="169" fontId="19" fillId="0" borderId="56" xfId="0" applyNumberFormat="1" applyFont="1" applyBorder="1" applyAlignment="1">
      <alignment horizontal="center" vertical="center" wrapText="1"/>
    </xf>
    <xf numFmtId="169" fontId="11" fillId="0" borderId="4" xfId="0" applyNumberFormat="1" applyFont="1" applyBorder="1" applyAlignment="1">
      <alignment horizontal="center" vertical="center" wrapText="1"/>
    </xf>
    <xf numFmtId="169" fontId="11" fillId="0" borderId="15" xfId="0" applyNumberFormat="1" applyFont="1" applyBorder="1" applyAlignment="1">
      <alignment horizontal="center" vertical="center" wrapText="1"/>
    </xf>
    <xf numFmtId="169" fontId="19" fillId="0" borderId="10" xfId="0" applyNumberFormat="1" applyFont="1" applyBorder="1" applyAlignment="1">
      <alignment horizontal="center" vertical="center" wrapText="1"/>
    </xf>
    <xf numFmtId="169" fontId="19" fillId="0" borderId="3" xfId="0" applyNumberFormat="1" applyFont="1" applyBorder="1" applyAlignment="1">
      <alignment horizontal="center" vertical="center" wrapText="1"/>
    </xf>
    <xf numFmtId="164" fontId="11" fillId="11" borderId="26" xfId="0" applyNumberFormat="1" applyFont="1" applyFill="1" applyBorder="1" applyAlignment="1">
      <alignment horizontal="center" vertical="center" wrapText="1"/>
    </xf>
    <xf numFmtId="169" fontId="11" fillId="0" borderId="32" xfId="0" quotePrefix="1" applyNumberFormat="1" applyFont="1" applyBorder="1" applyAlignment="1">
      <alignment horizontal="center" vertical="center" wrapText="1"/>
    </xf>
    <xf numFmtId="169" fontId="19" fillId="0" borderId="27" xfId="0" applyNumberFormat="1" applyFont="1" applyBorder="1" applyAlignment="1">
      <alignment horizontal="center" vertical="center" wrapText="1"/>
    </xf>
    <xf numFmtId="169" fontId="19" fillId="0" borderId="8" xfId="0" applyNumberFormat="1" applyFont="1" applyBorder="1" applyAlignment="1">
      <alignment horizontal="center" vertical="center" wrapText="1"/>
    </xf>
    <xf numFmtId="4" fontId="11" fillId="5" borderId="0" xfId="0" applyNumberFormat="1" applyFont="1" applyFill="1" applyAlignment="1">
      <alignment horizontal="center" vertical="center" wrapText="1"/>
    </xf>
    <xf numFmtId="4" fontId="11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37" fontId="8" fillId="5" borderId="0" xfId="0" applyNumberFormat="1" applyFont="1" applyFill="1" applyAlignment="1">
      <alignment horizontal="center" vertical="center" wrapText="1"/>
    </xf>
    <xf numFmtId="172" fontId="2" fillId="4" borderId="3" xfId="0" applyNumberFormat="1" applyFont="1" applyFill="1" applyBorder="1" applyAlignment="1">
      <alignment horizontal="center" vertical="center" wrapText="1"/>
    </xf>
    <xf numFmtId="37" fontId="8" fillId="5" borderId="3" xfId="0" applyNumberFormat="1" applyFont="1" applyFill="1" applyBorder="1" applyAlignment="1">
      <alignment vertical="center" textRotation="90" wrapText="1"/>
    </xf>
    <xf numFmtId="39" fontId="2" fillId="0" borderId="3" xfId="0" applyNumberFormat="1" applyFont="1" applyBorder="1" applyAlignment="1">
      <alignment horizontal="center" vertical="center" wrapText="1"/>
    </xf>
    <xf numFmtId="168" fontId="2" fillId="0" borderId="3" xfId="0" applyNumberFormat="1" applyFont="1" applyBorder="1" applyAlignment="1">
      <alignment horizontal="center" vertical="center" wrapText="1"/>
    </xf>
    <xf numFmtId="39" fontId="8" fillId="2" borderId="3" xfId="0" applyNumberFormat="1" applyFont="1" applyFill="1" applyBorder="1" applyAlignment="1">
      <alignment horizontal="center" vertical="center" wrapText="1"/>
    </xf>
    <xf numFmtId="37" fontId="8" fillId="0" borderId="3" xfId="0" applyNumberFormat="1" applyFont="1" applyBorder="1" applyAlignment="1">
      <alignment horizontal="center" vertical="center" wrapText="1"/>
    </xf>
    <xf numFmtId="39" fontId="10" fillId="0" borderId="14" xfId="0" applyNumberFormat="1" applyFont="1" applyBorder="1" applyAlignment="1">
      <alignment horizontal="center" vertical="center" wrapText="1"/>
    </xf>
    <xf numFmtId="37" fontId="8" fillId="0" borderId="74" xfId="0" applyNumberFormat="1" applyFont="1" applyBorder="1" applyAlignment="1">
      <alignment horizontal="left" vertical="center" wrapText="1"/>
    </xf>
    <xf numFmtId="164" fontId="28" fillId="8" borderId="32" xfId="0" applyNumberFormat="1" applyFont="1" applyFill="1" applyBorder="1" applyAlignment="1">
      <alignment vertical="center"/>
    </xf>
    <xf numFmtId="0" fontId="44" fillId="0" borderId="0" xfId="0" applyFont="1" applyAlignment="1">
      <alignment vertical="center"/>
    </xf>
    <xf numFmtId="0" fontId="34" fillId="0" borderId="3" xfId="0" applyFont="1" applyBorder="1" applyAlignment="1">
      <alignment horizontal="center" vertical="center"/>
    </xf>
    <xf numFmtId="166" fontId="32" fillId="0" borderId="19" xfId="0" applyNumberFormat="1" applyFont="1" applyBorder="1" applyAlignment="1">
      <alignment horizontal="center" vertical="center"/>
    </xf>
    <xf numFmtId="49" fontId="30" fillId="2" borderId="8" xfId="0" applyNumberFormat="1" applyFont="1" applyFill="1" applyBorder="1" applyAlignment="1">
      <alignment vertical="center"/>
    </xf>
    <xf numFmtId="49" fontId="30" fillId="2" borderId="11" xfId="0" applyNumberFormat="1" applyFont="1" applyFill="1" applyBorder="1" applyAlignment="1">
      <alignment vertical="center"/>
    </xf>
    <xf numFmtId="2" fontId="5" fillId="6" borderId="51" xfId="0" applyNumberFormat="1" applyFont="1" applyFill="1" applyBorder="1" applyAlignment="1">
      <alignment horizontal="center" vertical="center"/>
    </xf>
    <xf numFmtId="166" fontId="5" fillId="0" borderId="75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2" fontId="5" fillId="6" borderId="76" xfId="0" applyNumberFormat="1" applyFont="1" applyFill="1" applyBorder="1" applyAlignment="1">
      <alignment horizontal="center" vertical="center"/>
    </xf>
    <xf numFmtId="2" fontId="5" fillId="6" borderId="77" xfId="0" applyNumberFormat="1" applyFont="1" applyFill="1" applyBorder="1" applyAlignment="1">
      <alignment horizontal="center" vertical="center"/>
    </xf>
    <xf numFmtId="0" fontId="46" fillId="5" borderId="10" xfId="0" applyFont="1" applyFill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/>
    </xf>
    <xf numFmtId="2" fontId="15" fillId="0" borderId="24" xfId="0" applyNumberFormat="1" applyFont="1" applyBorder="1" applyAlignment="1">
      <alignment horizontal="center" vertical="center"/>
    </xf>
    <xf numFmtId="166" fontId="15" fillId="0" borderId="24" xfId="0" applyNumberFormat="1" applyFont="1" applyBorder="1" applyAlignment="1">
      <alignment horizontal="center" vertical="center"/>
    </xf>
    <xf numFmtId="4" fontId="15" fillId="0" borderId="24" xfId="0" applyNumberFormat="1" applyFont="1" applyBorder="1" applyAlignment="1">
      <alignment horizontal="center" vertical="center"/>
    </xf>
    <xf numFmtId="166" fontId="31" fillId="0" borderId="78" xfId="0" applyNumberFormat="1" applyFont="1" applyBorder="1" applyAlignment="1">
      <alignment horizontal="center" vertical="center"/>
    </xf>
    <xf numFmtId="166" fontId="15" fillId="0" borderId="79" xfId="0" applyNumberFormat="1" applyFont="1" applyBorder="1" applyAlignment="1">
      <alignment horizontal="center" vertical="center"/>
    </xf>
    <xf numFmtId="166" fontId="5" fillId="0" borderId="23" xfId="0" applyNumberFormat="1" applyFont="1" applyBorder="1" applyAlignment="1">
      <alignment horizontal="center" vertical="center"/>
    </xf>
    <xf numFmtId="166" fontId="5" fillId="0" borderId="24" xfId="0" applyNumberFormat="1" applyFont="1" applyBorder="1" applyAlignment="1">
      <alignment horizontal="center" vertical="center"/>
    </xf>
    <xf numFmtId="167" fontId="15" fillId="0" borderId="24" xfId="0" applyNumberFormat="1" applyFont="1" applyBorder="1" applyAlignment="1">
      <alignment horizontal="center" vertical="center"/>
    </xf>
    <xf numFmtId="2" fontId="34" fillId="0" borderId="24" xfId="0" applyNumberFormat="1" applyFont="1" applyBorder="1" applyAlignment="1">
      <alignment horizontal="center" vertical="center"/>
    </xf>
    <xf numFmtId="171" fontId="15" fillId="0" borderId="24" xfId="0" applyNumberFormat="1" applyFont="1" applyBorder="1" applyAlignment="1">
      <alignment horizontal="center" vertical="center"/>
    </xf>
    <xf numFmtId="2" fontId="5" fillId="0" borderId="22" xfId="0" applyNumberFormat="1" applyFont="1" applyBorder="1" applyAlignment="1">
      <alignment horizontal="center" vertical="center"/>
    </xf>
    <xf numFmtId="2" fontId="5" fillId="0" borderId="24" xfId="0" applyNumberFormat="1" applyFont="1" applyBorder="1" applyAlignment="1">
      <alignment horizontal="center" vertical="center"/>
    </xf>
    <xf numFmtId="2" fontId="11" fillId="0" borderId="59" xfId="0" applyNumberFormat="1" applyFont="1" applyBorder="1" applyAlignment="1">
      <alignment horizontal="center" vertical="center" wrapText="1"/>
    </xf>
    <xf numFmtId="169" fontId="11" fillId="11" borderId="5" xfId="0" applyNumberFormat="1" applyFont="1" applyFill="1" applyBorder="1" applyAlignment="1">
      <alignment horizontal="center" vertical="center" wrapText="1"/>
    </xf>
    <xf numFmtId="169" fontId="11" fillId="11" borderId="7" xfId="0" applyNumberFormat="1" applyFont="1" applyFill="1" applyBorder="1" applyAlignment="1">
      <alignment horizontal="center" vertical="center" wrapText="1"/>
    </xf>
    <xf numFmtId="169" fontId="19" fillId="11" borderId="59" xfId="0" applyNumberFormat="1" applyFont="1" applyFill="1" applyBorder="1" applyAlignment="1">
      <alignment horizontal="center" vertical="center" wrapText="1"/>
    </xf>
    <xf numFmtId="169" fontId="35" fillId="11" borderId="59" xfId="0" applyNumberFormat="1" applyFont="1" applyFill="1" applyBorder="1" applyAlignment="1">
      <alignment horizontal="center" vertical="center" wrapText="1"/>
    </xf>
    <xf numFmtId="9" fontId="11" fillId="11" borderId="59" xfId="0" applyNumberFormat="1" applyFont="1" applyFill="1" applyBorder="1" applyAlignment="1">
      <alignment horizontal="center" vertical="center" wrapText="1"/>
    </xf>
    <xf numFmtId="169" fontId="11" fillId="0" borderId="5" xfId="0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9" fontId="11" fillId="0" borderId="7" xfId="0" applyNumberFormat="1" applyFont="1" applyBorder="1" applyAlignment="1">
      <alignment horizontal="center" vertical="center" wrapText="1"/>
    </xf>
    <xf numFmtId="169" fontId="19" fillId="0" borderId="5" xfId="0" applyNumberFormat="1" applyFont="1" applyBorder="1" applyAlignment="1">
      <alignment horizontal="center" vertical="center" wrapText="1"/>
    </xf>
    <xf numFmtId="2" fontId="11" fillId="11" borderId="57" xfId="0" applyNumberFormat="1" applyFont="1" applyFill="1" applyBorder="1" applyAlignment="1">
      <alignment horizontal="center" vertical="center" wrapText="1"/>
    </xf>
    <xf numFmtId="169" fontId="11" fillId="0" borderId="3" xfId="0" applyNumberFormat="1" applyFont="1" applyBorder="1" applyAlignment="1">
      <alignment horizontal="center" vertical="center" wrapText="1"/>
    </xf>
    <xf numFmtId="169" fontId="19" fillId="12" borderId="56" xfId="0" applyNumberFormat="1" applyFont="1" applyFill="1" applyBorder="1" applyAlignment="1">
      <alignment horizontal="center" vertical="center" wrapText="1"/>
    </xf>
    <xf numFmtId="164" fontId="11" fillId="0" borderId="61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164" fontId="11" fillId="0" borderId="28" xfId="0" applyNumberFormat="1" applyFont="1" applyBorder="1" applyAlignment="1">
      <alignment horizontal="center" vertical="center" wrapText="1"/>
    </xf>
    <xf numFmtId="169" fontId="11" fillId="11" borderId="30" xfId="0" applyNumberFormat="1" applyFont="1" applyFill="1" applyBorder="1" applyAlignment="1">
      <alignment horizontal="center" vertical="center" wrapText="1"/>
    </xf>
    <xf numFmtId="169" fontId="11" fillId="11" borderId="80" xfId="0" applyNumberFormat="1" applyFont="1" applyFill="1" applyBorder="1" applyAlignment="1">
      <alignment horizontal="center" vertical="center" wrapText="1"/>
    </xf>
    <xf numFmtId="0" fontId="6" fillId="13" borderId="56" xfId="0" applyFont="1" applyFill="1" applyBorder="1" applyAlignment="1">
      <alignment horizontal="center" vertical="center" wrapText="1"/>
    </xf>
    <xf numFmtId="169" fontId="11" fillId="11" borderId="63" xfId="0" applyNumberFormat="1" applyFont="1" applyFill="1" applyBorder="1" applyAlignment="1">
      <alignment horizontal="center" vertical="center" wrapText="1"/>
    </xf>
    <xf numFmtId="169" fontId="19" fillId="13" borderId="12" xfId="0" applyNumberFormat="1" applyFont="1" applyFill="1" applyBorder="1" applyAlignment="1">
      <alignment horizontal="center" vertical="center" wrapText="1"/>
    </xf>
    <xf numFmtId="169" fontId="19" fillId="13" borderId="61" xfId="0" applyNumberFormat="1" applyFont="1" applyFill="1" applyBorder="1" applyAlignment="1">
      <alignment horizontal="center" vertical="center" wrapText="1"/>
    </xf>
    <xf numFmtId="0" fontId="6" fillId="13" borderId="62" xfId="0" applyFont="1" applyFill="1" applyBorder="1" applyAlignment="1">
      <alignment horizontal="center" vertical="center" wrapText="1"/>
    </xf>
    <xf numFmtId="2" fontId="11" fillId="11" borderId="32" xfId="0" applyNumberFormat="1" applyFont="1" applyFill="1" applyBorder="1" applyAlignment="1">
      <alignment horizontal="center" vertical="center" wrapText="1"/>
    </xf>
    <xf numFmtId="2" fontId="11" fillId="11" borderId="59" xfId="0" applyNumberFormat="1" applyFont="1" applyFill="1" applyBorder="1" applyAlignment="1">
      <alignment horizontal="center" vertical="center" wrapText="1"/>
    </xf>
    <xf numFmtId="169" fontId="11" fillId="11" borderId="27" xfId="0" applyNumberFormat="1" applyFont="1" applyFill="1" applyBorder="1" applyAlignment="1">
      <alignment horizontal="center" vertical="center" wrapText="1"/>
    </xf>
    <xf numFmtId="169" fontId="19" fillId="13" borderId="56" xfId="0" applyNumberFormat="1" applyFont="1" applyFill="1" applyBorder="1" applyAlignment="1">
      <alignment horizontal="center" vertical="center" wrapText="1"/>
    </xf>
    <xf numFmtId="169" fontId="19" fillId="13" borderId="2" xfId="0" applyNumberFormat="1" applyFont="1" applyFill="1" applyBorder="1" applyAlignment="1">
      <alignment horizontal="center" vertical="center" wrapText="1"/>
    </xf>
    <xf numFmtId="164" fontId="11" fillId="11" borderId="30" xfId="0" applyNumberFormat="1" applyFont="1" applyFill="1" applyBorder="1" applyAlignment="1">
      <alignment horizontal="center" vertical="center" wrapText="1"/>
    </xf>
    <xf numFmtId="164" fontId="11" fillId="11" borderId="80" xfId="0" applyNumberFormat="1" applyFont="1" applyFill="1" applyBorder="1" applyAlignment="1">
      <alignment horizontal="center" vertical="center" wrapText="1"/>
    </xf>
    <xf numFmtId="164" fontId="11" fillId="11" borderId="63" xfId="0" applyNumberFormat="1" applyFont="1" applyFill="1" applyBorder="1" applyAlignment="1">
      <alignment horizontal="center" vertical="center" wrapText="1"/>
    </xf>
    <xf numFmtId="169" fontId="19" fillId="11" borderId="32" xfId="0" applyNumberFormat="1" applyFont="1" applyFill="1" applyBorder="1" applyAlignment="1">
      <alignment horizontal="center" vertical="center" wrapText="1"/>
    </xf>
    <xf numFmtId="164" fontId="11" fillId="11" borderId="27" xfId="0" applyNumberFormat="1" applyFont="1" applyFill="1" applyBorder="1" applyAlignment="1">
      <alignment horizontal="center" vertical="center" wrapText="1"/>
    </xf>
    <xf numFmtId="169" fontId="11" fillId="11" borderId="63" xfId="0" quotePrefix="1" applyNumberFormat="1" applyFont="1" applyFill="1" applyBorder="1" applyAlignment="1">
      <alignment horizontal="center" vertical="center" wrapText="1"/>
    </xf>
    <xf numFmtId="169" fontId="11" fillId="11" borderId="26" xfId="0" quotePrefix="1" applyNumberFormat="1" applyFont="1" applyFill="1" applyBorder="1" applyAlignment="1">
      <alignment horizontal="center" vertical="center" wrapText="1"/>
    </xf>
    <xf numFmtId="0" fontId="6" fillId="13" borderId="63" xfId="0" applyFont="1" applyFill="1" applyBorder="1" applyAlignment="1">
      <alignment horizontal="center" vertical="center" wrapText="1"/>
    </xf>
    <xf numFmtId="4" fontId="11" fillId="0" borderId="80" xfId="0" applyNumberFormat="1" applyFont="1" applyBorder="1" applyAlignment="1">
      <alignment horizontal="center" vertical="center" wrapText="1"/>
    </xf>
    <xf numFmtId="39" fontId="6" fillId="5" borderId="12" xfId="0" applyNumberFormat="1" applyFont="1" applyFill="1" applyBorder="1" applyAlignment="1">
      <alignment horizontal="center" vertical="center" wrapText="1"/>
    </xf>
    <xf numFmtId="39" fontId="19" fillId="5" borderId="12" xfId="0" applyNumberFormat="1" applyFont="1" applyFill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39" fontId="6" fillId="5" borderId="56" xfId="0" applyNumberFormat="1" applyFont="1" applyFill="1" applyBorder="1" applyAlignment="1">
      <alignment horizontal="center" vertical="center" wrapText="1"/>
    </xf>
    <xf numFmtId="39" fontId="19" fillId="5" borderId="56" xfId="0" applyNumberFormat="1" applyFont="1" applyFill="1" applyBorder="1" applyAlignment="1">
      <alignment horizontal="center" vertical="center" wrapText="1"/>
    </xf>
    <xf numFmtId="4" fontId="11" fillId="0" borderId="26" xfId="0" applyNumberFormat="1" applyFont="1" applyBorder="1" applyAlignment="1">
      <alignment horizontal="center" vertical="center" wrapText="1"/>
    </xf>
    <xf numFmtId="39" fontId="19" fillId="2" borderId="12" xfId="0" applyNumberFormat="1" applyFont="1" applyFill="1" applyBorder="1" applyAlignment="1">
      <alignment horizontal="center" vertical="center" wrapText="1"/>
    </xf>
    <xf numFmtId="39" fontId="19" fillId="2" borderId="56" xfId="0" applyNumberFormat="1" applyFont="1" applyFill="1" applyBorder="1" applyAlignment="1">
      <alignment horizontal="center" vertical="center" wrapText="1"/>
    </xf>
    <xf numFmtId="0" fontId="21" fillId="0" borderId="82" xfId="4" applyFont="1" applyBorder="1" applyAlignment="1">
      <alignment vertical="center"/>
    </xf>
    <xf numFmtId="0" fontId="43" fillId="3" borderId="37" xfId="4" applyFont="1" applyFill="1" applyBorder="1" applyAlignment="1">
      <alignment vertical="center" wrapText="1"/>
    </xf>
    <xf numFmtId="0" fontId="43" fillId="3" borderId="83" xfId="4" applyFont="1" applyFill="1" applyBorder="1" applyAlignment="1">
      <alignment vertical="center" wrapText="1"/>
    </xf>
    <xf numFmtId="0" fontId="7" fillId="3" borderId="32" xfId="4" applyFont="1" applyFill="1" applyBorder="1" applyAlignment="1">
      <alignment vertical="center"/>
    </xf>
    <xf numFmtId="0" fontId="7" fillId="3" borderId="22" xfId="4" applyFont="1" applyFill="1" applyBorder="1" applyAlignment="1">
      <alignment horizontal="left" vertical="center"/>
    </xf>
    <xf numFmtId="4" fontId="11" fillId="5" borderId="3" xfId="0" applyNumberFormat="1" applyFont="1" applyFill="1" applyBorder="1" applyAlignment="1">
      <alignment horizontal="center" vertical="center" wrapText="1"/>
    </xf>
    <xf numFmtId="37" fontId="8" fillId="5" borderId="0" xfId="0" applyNumberFormat="1" applyFont="1" applyFill="1" applyAlignment="1">
      <alignment horizontal="center" vertical="center" textRotation="90" wrapText="1"/>
    </xf>
    <xf numFmtId="39" fontId="2" fillId="4" borderId="0" xfId="0" applyNumberFormat="1" applyFont="1" applyFill="1" applyAlignment="1">
      <alignment horizontal="center" vertical="center" wrapText="1"/>
    </xf>
    <xf numFmtId="37" fontId="2" fillId="4" borderId="0" xfId="0" applyNumberFormat="1" applyFont="1" applyFill="1" applyAlignment="1">
      <alignment horizontal="center" vertical="center" wrapText="1"/>
    </xf>
    <xf numFmtId="168" fontId="2" fillId="4" borderId="0" xfId="0" applyNumberFormat="1" applyFont="1" applyFill="1" applyAlignment="1">
      <alignment horizontal="center" vertical="center" wrapText="1"/>
    </xf>
    <xf numFmtId="4" fontId="11" fillId="14" borderId="25" xfId="0" applyNumberFormat="1" applyFont="1" applyFill="1" applyBorder="1" applyAlignment="1">
      <alignment horizontal="center" vertical="center" wrapText="1"/>
    </xf>
    <xf numFmtId="4" fontId="11" fillId="14" borderId="12" xfId="0" applyNumberFormat="1" applyFont="1" applyFill="1" applyBorder="1" applyAlignment="1">
      <alignment horizontal="center" vertical="center" wrapText="1"/>
    </xf>
    <xf numFmtId="173" fontId="2" fillId="4" borderId="3" xfId="0" applyNumberFormat="1" applyFont="1" applyFill="1" applyBorder="1" applyAlignment="1">
      <alignment horizontal="center" vertical="center" wrapText="1"/>
    </xf>
    <xf numFmtId="4" fontId="11" fillId="3" borderId="62" xfId="0" applyNumberFormat="1" applyFont="1" applyFill="1" applyBorder="1" applyAlignment="1">
      <alignment horizontal="center" vertical="center" wrapText="1"/>
    </xf>
    <xf numFmtId="3" fontId="11" fillId="3" borderId="61" xfId="0" applyNumberFormat="1" applyFont="1" applyFill="1" applyBorder="1" applyAlignment="1">
      <alignment horizontal="center" vertical="center" wrapText="1"/>
    </xf>
    <xf numFmtId="0" fontId="11" fillId="3" borderId="61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2" fontId="11" fillId="3" borderId="61" xfId="0" applyNumberFormat="1" applyFont="1" applyFill="1" applyBorder="1" applyAlignment="1">
      <alignment horizontal="center" vertical="center" wrapText="1"/>
    </xf>
    <xf numFmtId="1" fontId="11" fillId="3" borderId="61" xfId="0" applyNumberFormat="1" applyFont="1" applyFill="1" applyBorder="1" applyAlignment="1">
      <alignment horizontal="center" vertical="center" wrapText="1"/>
    </xf>
    <xf numFmtId="9" fontId="11" fillId="3" borderId="61" xfId="0" applyNumberFormat="1" applyFont="1" applyFill="1" applyBorder="1" applyAlignment="1">
      <alignment horizontal="center" vertical="center" wrapText="1"/>
    </xf>
    <xf numFmtId="4" fontId="11" fillId="3" borderId="63" xfId="0" applyNumberFormat="1" applyFont="1" applyFill="1" applyBorder="1" applyAlignment="1">
      <alignment horizontal="center" vertical="center" wrapText="1"/>
    </xf>
    <xf numFmtId="4" fontId="11" fillId="3" borderId="56" xfId="0" applyNumberFormat="1" applyFont="1" applyFill="1" applyBorder="1" applyAlignment="1">
      <alignment horizontal="center" vertical="center" wrapText="1"/>
    </xf>
    <xf numFmtId="0" fontId="11" fillId="3" borderId="62" xfId="0" applyFont="1" applyFill="1" applyBorder="1" applyAlignment="1">
      <alignment horizontal="center" vertical="center" wrapText="1"/>
    </xf>
    <xf numFmtId="169" fontId="11" fillId="3" borderId="80" xfId="0" applyNumberFormat="1" applyFont="1" applyFill="1" applyBorder="1" applyAlignment="1">
      <alignment horizontal="center" vertical="center" wrapText="1"/>
    </xf>
    <xf numFmtId="169" fontId="35" fillId="3" borderId="25" xfId="0" applyNumberFormat="1" applyFont="1" applyFill="1" applyBorder="1" applyAlignment="1">
      <alignment horizontal="center" vertical="center" wrapText="1"/>
    </xf>
    <xf numFmtId="169" fontId="11" fillId="3" borderId="56" xfId="0" applyNumberFormat="1" applyFont="1" applyFill="1" applyBorder="1" applyAlignment="1">
      <alignment horizontal="center" vertical="center" wrapText="1"/>
    </xf>
    <xf numFmtId="174" fontId="2" fillId="4" borderId="3" xfId="0" applyNumberFormat="1" applyFont="1" applyFill="1" applyBorder="1" applyAlignment="1">
      <alignment horizontal="center" vertical="center" wrapText="1"/>
    </xf>
    <xf numFmtId="164" fontId="19" fillId="12" borderId="61" xfId="0" applyNumberFormat="1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39" fontId="6" fillId="5" borderId="61" xfId="0" applyNumberFormat="1" applyFont="1" applyFill="1" applyBorder="1" applyAlignment="1">
      <alignment horizontal="center" vertical="center" wrapText="1"/>
    </xf>
    <xf numFmtId="39" fontId="6" fillId="2" borderId="61" xfId="0" applyNumberFormat="1" applyFont="1" applyFill="1" applyBorder="1" applyAlignment="1">
      <alignment horizontal="center" vertical="center" wrapText="1"/>
    </xf>
    <xf numFmtId="37" fontId="6" fillId="2" borderId="3" xfId="0" applyNumberFormat="1" applyFont="1" applyFill="1" applyBorder="1" applyAlignment="1">
      <alignment horizontal="center" vertical="center" wrapText="1"/>
    </xf>
    <xf numFmtId="39" fontId="6" fillId="5" borderId="3" xfId="0" applyNumberFormat="1" applyFont="1" applyFill="1" applyBorder="1" applyAlignment="1">
      <alignment horizontal="center" vertical="center" wrapText="1"/>
    </xf>
    <xf numFmtId="39" fontId="6" fillId="5" borderId="57" xfId="0" applyNumberFormat="1" applyFont="1" applyFill="1" applyBorder="1" applyAlignment="1">
      <alignment horizontal="center" vertical="center" wrapText="1"/>
    </xf>
    <xf numFmtId="39" fontId="6" fillId="5" borderId="2" xfId="0" applyNumberFormat="1" applyFont="1" applyFill="1" applyBorder="1" applyAlignment="1">
      <alignment horizontal="center" vertical="center" wrapText="1"/>
    </xf>
    <xf numFmtId="39" fontId="6" fillId="2" borderId="57" xfId="0" applyNumberFormat="1" applyFont="1" applyFill="1" applyBorder="1" applyAlignment="1">
      <alignment horizontal="center" vertical="center" wrapText="1"/>
    </xf>
    <xf numFmtId="39" fontId="6" fillId="2" borderId="3" xfId="0" applyNumberFormat="1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textRotation="90" wrapText="1"/>
    </xf>
    <xf numFmtId="0" fontId="13" fillId="5" borderId="12" xfId="0" applyFont="1" applyFill="1" applyBorder="1" applyAlignment="1">
      <alignment horizontal="center" vertical="center" textRotation="90" wrapText="1"/>
    </xf>
    <xf numFmtId="0" fontId="13" fillId="5" borderId="2" xfId="0" applyFont="1" applyFill="1" applyBorder="1" applyAlignment="1">
      <alignment horizontal="center" vertical="center" textRotation="90" wrapText="1"/>
    </xf>
    <xf numFmtId="39" fontId="6" fillId="5" borderId="15" xfId="0" applyNumberFormat="1" applyFont="1" applyFill="1" applyBorder="1" applyAlignment="1">
      <alignment horizontal="center" vertical="center" textRotation="255" wrapText="1"/>
    </xf>
    <xf numFmtId="39" fontId="6" fillId="5" borderId="12" xfId="0" applyNumberFormat="1" applyFont="1" applyFill="1" applyBorder="1" applyAlignment="1">
      <alignment horizontal="center" vertical="center" textRotation="255" wrapText="1"/>
    </xf>
    <xf numFmtId="39" fontId="6" fillId="5" borderId="2" xfId="0" applyNumberFormat="1" applyFont="1" applyFill="1" applyBorder="1" applyAlignment="1">
      <alignment horizontal="center" vertical="center" textRotation="255" wrapText="1"/>
    </xf>
    <xf numFmtId="39" fontId="40" fillId="2" borderId="15" xfId="0" applyNumberFormat="1" applyFont="1" applyFill="1" applyBorder="1" applyAlignment="1">
      <alignment horizontal="center" vertical="center" textRotation="255" wrapText="1"/>
    </xf>
    <xf numFmtId="39" fontId="40" fillId="2" borderId="12" xfId="0" applyNumberFormat="1" applyFont="1" applyFill="1" applyBorder="1" applyAlignment="1">
      <alignment horizontal="center" vertical="center" textRotation="255" wrapText="1"/>
    </xf>
    <xf numFmtId="39" fontId="40" fillId="2" borderId="2" xfId="0" applyNumberFormat="1" applyFont="1" applyFill="1" applyBorder="1" applyAlignment="1">
      <alignment horizontal="center" vertical="center" textRotation="255" wrapText="1"/>
    </xf>
    <xf numFmtId="0" fontId="19" fillId="5" borderId="3" xfId="0" applyFont="1" applyFill="1" applyBorder="1" applyAlignment="1">
      <alignment horizontal="center" vertical="center"/>
    </xf>
    <xf numFmtId="39" fontId="6" fillId="2" borderId="2" xfId="0" applyNumberFormat="1" applyFont="1" applyFill="1" applyBorder="1" applyAlignment="1">
      <alignment horizontal="center" vertical="center" wrapText="1"/>
    </xf>
    <xf numFmtId="39" fontId="39" fillId="2" borderId="3" xfId="0" applyNumberFormat="1" applyFont="1" applyFill="1" applyBorder="1" applyAlignment="1">
      <alignment horizontal="center" vertical="center" textRotation="255" wrapText="1"/>
    </xf>
    <xf numFmtId="37" fontId="6" fillId="5" borderId="57" xfId="0" applyNumberFormat="1" applyFont="1" applyFill="1" applyBorder="1" applyAlignment="1">
      <alignment horizontal="center" vertical="center" wrapText="1"/>
    </xf>
    <xf numFmtId="39" fontId="6" fillId="2" borderId="12" xfId="0" applyNumberFormat="1" applyFont="1" applyFill="1" applyBorder="1" applyAlignment="1">
      <alignment horizontal="center" vertical="center" wrapText="1"/>
    </xf>
    <xf numFmtId="37" fontId="8" fillId="2" borderId="3" xfId="0" applyNumberFormat="1" applyFont="1" applyFill="1" applyBorder="1" applyAlignment="1">
      <alignment horizontal="center" vertical="center" wrapText="1"/>
    </xf>
    <xf numFmtId="37" fontId="8" fillId="5" borderId="15" xfId="0" applyNumberFormat="1" applyFont="1" applyFill="1" applyBorder="1" applyAlignment="1">
      <alignment horizontal="center" vertical="center" textRotation="90" wrapText="1"/>
    </xf>
    <xf numFmtId="37" fontId="8" fillId="5" borderId="12" xfId="0" applyNumberFormat="1" applyFont="1" applyFill="1" applyBorder="1" applyAlignment="1">
      <alignment horizontal="center" vertical="center" textRotation="90" wrapText="1"/>
    </xf>
    <xf numFmtId="37" fontId="8" fillId="5" borderId="2" xfId="0" applyNumberFormat="1" applyFont="1" applyFill="1" applyBorder="1" applyAlignment="1">
      <alignment horizontal="center" vertical="center" textRotation="90" wrapText="1"/>
    </xf>
    <xf numFmtId="39" fontId="8" fillId="0" borderId="3" xfId="0" applyNumberFormat="1" applyFont="1" applyBorder="1" applyAlignment="1">
      <alignment horizontal="center" vertical="center" wrapText="1"/>
    </xf>
    <xf numFmtId="4" fontId="19" fillId="2" borderId="13" xfId="0" applyNumberFormat="1" applyFont="1" applyFill="1" applyBorder="1" applyAlignment="1">
      <alignment horizontal="center" vertical="center" wrapText="1"/>
    </xf>
    <xf numFmtId="4" fontId="19" fillId="2" borderId="14" xfId="0" applyNumberFormat="1" applyFont="1" applyFill="1" applyBorder="1" applyAlignment="1">
      <alignment horizontal="center" vertical="center" wrapText="1"/>
    </xf>
    <xf numFmtId="39" fontId="6" fillId="2" borderId="10" xfId="0" applyNumberFormat="1" applyFont="1" applyFill="1" applyBorder="1" applyAlignment="1">
      <alignment horizontal="center" vertical="center" wrapText="1"/>
    </xf>
    <xf numFmtId="39" fontId="6" fillId="2" borderId="8" xfId="0" applyNumberFormat="1" applyFont="1" applyFill="1" applyBorder="1" applyAlignment="1">
      <alignment horizontal="center" vertical="center" wrapText="1"/>
    </xf>
    <xf numFmtId="39" fontId="6" fillId="2" borderId="11" xfId="0" applyNumberFormat="1" applyFont="1" applyFill="1" applyBorder="1" applyAlignment="1">
      <alignment horizontal="center" vertical="center" wrapText="1"/>
    </xf>
    <xf numFmtId="39" fontId="6" fillId="5" borderId="10" xfId="0" applyNumberFormat="1" applyFont="1" applyFill="1" applyBorder="1" applyAlignment="1">
      <alignment horizontal="center" vertical="center" wrapText="1"/>
    </xf>
    <xf numFmtId="39" fontId="6" fillId="5" borderId="8" xfId="0" applyNumberFormat="1" applyFont="1" applyFill="1" applyBorder="1" applyAlignment="1">
      <alignment horizontal="center" vertical="center" wrapText="1"/>
    </xf>
    <xf numFmtId="39" fontId="6" fillId="5" borderId="11" xfId="0" applyNumberFormat="1" applyFont="1" applyFill="1" applyBorder="1" applyAlignment="1">
      <alignment horizontal="center" vertical="center" wrapText="1"/>
    </xf>
    <xf numFmtId="39" fontId="6" fillId="5" borderId="25" xfId="0" applyNumberFormat="1" applyFont="1" applyFill="1" applyBorder="1" applyAlignment="1">
      <alignment horizontal="center" vertical="center" wrapText="1"/>
    </xf>
    <xf numFmtId="39" fontId="6" fillId="5" borderId="81" xfId="0" applyNumberFormat="1" applyFont="1" applyFill="1" applyBorder="1" applyAlignment="1">
      <alignment horizontal="center" vertical="center" wrapText="1"/>
    </xf>
    <xf numFmtId="39" fontId="6" fillId="5" borderId="4" xfId="0" applyNumberFormat="1" applyFont="1" applyFill="1" applyBorder="1" applyAlignment="1">
      <alignment horizontal="center" vertical="center" wrapText="1"/>
    </xf>
    <xf numFmtId="39" fontId="6" fillId="5" borderId="21" xfId="0" applyNumberFormat="1" applyFont="1" applyFill="1" applyBorder="1" applyAlignment="1">
      <alignment horizontal="center" vertical="center" wrapText="1"/>
    </xf>
    <xf numFmtId="39" fontId="6" fillId="5" borderId="7" xfId="0" applyNumberFormat="1" applyFont="1" applyFill="1" applyBorder="1" applyAlignment="1">
      <alignment horizontal="center" vertical="center" wrapText="1"/>
    </xf>
    <xf numFmtId="39" fontId="6" fillId="5" borderId="9" xfId="0" applyNumberFormat="1" applyFont="1" applyFill="1" applyBorder="1" applyAlignment="1">
      <alignment horizontal="center" vertical="center" wrapText="1"/>
    </xf>
    <xf numFmtId="39" fontId="6" fillId="5" borderId="5" xfId="0" applyNumberFormat="1" applyFont="1" applyFill="1" applyBorder="1" applyAlignment="1">
      <alignment horizontal="center" vertical="center" wrapText="1"/>
    </xf>
    <xf numFmtId="39" fontId="6" fillId="5" borderId="6" xfId="0" applyNumberFormat="1" applyFont="1" applyFill="1" applyBorder="1" applyAlignment="1">
      <alignment horizontal="center" vertical="center" wrapText="1"/>
    </xf>
    <xf numFmtId="39" fontId="6" fillId="2" borderId="15" xfId="0" applyNumberFormat="1" applyFont="1" applyFill="1" applyBorder="1" applyAlignment="1">
      <alignment horizontal="center" vertical="center" wrapText="1"/>
    </xf>
    <xf numFmtId="39" fontId="6" fillId="2" borderId="26" xfId="0" applyNumberFormat="1" applyFont="1" applyFill="1" applyBorder="1" applyAlignment="1">
      <alignment horizontal="center" vertical="center" wrapText="1"/>
    </xf>
    <xf numFmtId="39" fontId="6" fillId="2" borderId="28" xfId="0" applyNumberFormat="1" applyFont="1" applyFill="1" applyBorder="1" applyAlignment="1">
      <alignment horizontal="center" vertical="center" wrapText="1"/>
    </xf>
    <xf numFmtId="39" fontId="6" fillId="2" borderId="4" xfId="0" applyNumberFormat="1" applyFont="1" applyFill="1" applyBorder="1" applyAlignment="1">
      <alignment horizontal="center" vertical="center" wrapText="1"/>
    </xf>
    <xf numFmtId="39" fontId="6" fillId="2" borderId="21" xfId="0" applyNumberFormat="1" applyFont="1" applyFill="1" applyBorder="1" applyAlignment="1">
      <alignment horizontal="center" vertical="center" wrapText="1"/>
    </xf>
    <xf numFmtId="39" fontId="6" fillId="2" borderId="7" xfId="0" applyNumberFormat="1" applyFont="1" applyFill="1" applyBorder="1" applyAlignment="1">
      <alignment horizontal="center" vertical="center" wrapText="1"/>
    </xf>
    <xf numFmtId="39" fontId="6" fillId="2" borderId="9" xfId="0" applyNumberFormat="1" applyFont="1" applyFill="1" applyBorder="1" applyAlignment="1">
      <alignment horizontal="center" vertical="center" wrapText="1"/>
    </xf>
    <xf numFmtId="39" fontId="6" fillId="2" borderId="5" xfId="0" applyNumberFormat="1" applyFont="1" applyFill="1" applyBorder="1" applyAlignment="1">
      <alignment horizontal="center" vertical="center" wrapText="1"/>
    </xf>
    <xf numFmtId="39" fontId="6" fillId="2" borderId="6" xfId="0" applyNumberFormat="1" applyFont="1" applyFill="1" applyBorder="1" applyAlignment="1">
      <alignment horizontal="center" vertical="center" wrapText="1"/>
    </xf>
    <xf numFmtId="0" fontId="19" fillId="12" borderId="4" xfId="0" applyFont="1" applyFill="1" applyBorder="1" applyAlignment="1">
      <alignment horizontal="center" vertical="center" wrapText="1"/>
    </xf>
    <xf numFmtId="0" fontId="19" fillId="12" borderId="20" xfId="0" applyFont="1" applyFill="1" applyBorder="1" applyAlignment="1">
      <alignment horizontal="center" vertical="center" wrapText="1"/>
    </xf>
    <xf numFmtId="0" fontId="19" fillId="12" borderId="21" xfId="0" applyFont="1" applyFill="1" applyBorder="1" applyAlignment="1">
      <alignment horizontal="center" vertical="center" wrapText="1"/>
    </xf>
    <xf numFmtId="0" fontId="6" fillId="13" borderId="15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6" xfId="0" applyFont="1" applyFill="1" applyBorder="1" applyAlignment="1">
      <alignment horizontal="center" vertical="center" wrapText="1"/>
    </xf>
    <xf numFmtId="39" fontId="6" fillId="13" borderId="15" xfId="0" applyNumberFormat="1" applyFont="1" applyFill="1" applyBorder="1" applyAlignment="1">
      <alignment horizontal="center" vertical="center" textRotation="90" wrapText="1"/>
    </xf>
    <xf numFmtId="39" fontId="6" fillId="13" borderId="12" xfId="0" applyNumberFormat="1" applyFont="1" applyFill="1" applyBorder="1" applyAlignment="1">
      <alignment horizontal="center" vertical="center" textRotation="90" wrapText="1"/>
    </xf>
    <xf numFmtId="39" fontId="6" fillId="13" borderId="2" xfId="0" applyNumberFormat="1" applyFont="1" applyFill="1" applyBorder="1" applyAlignment="1">
      <alignment horizontal="center" vertical="center" textRotation="90" wrapText="1"/>
    </xf>
    <xf numFmtId="39" fontId="6" fillId="12" borderId="15" xfId="0" applyNumberFormat="1" applyFont="1" applyFill="1" applyBorder="1" applyAlignment="1">
      <alignment horizontal="center" vertical="center" textRotation="90" wrapText="1"/>
    </xf>
    <xf numFmtId="39" fontId="6" fillId="12" borderId="12" xfId="0" applyNumberFormat="1" applyFont="1" applyFill="1" applyBorder="1" applyAlignment="1">
      <alignment horizontal="center" vertical="center" textRotation="90" wrapText="1"/>
    </xf>
    <xf numFmtId="39" fontId="6" fillId="12" borderId="2" xfId="0" applyNumberFormat="1" applyFont="1" applyFill="1" applyBorder="1" applyAlignment="1">
      <alignment horizontal="center" vertical="center" textRotation="90" wrapText="1"/>
    </xf>
    <xf numFmtId="0" fontId="6" fillId="13" borderId="3" xfId="0" applyFont="1" applyFill="1" applyBorder="1" applyAlignment="1">
      <alignment horizontal="center" vertical="center" wrapText="1"/>
    </xf>
    <xf numFmtId="0" fontId="6" fillId="12" borderId="3" xfId="0" applyFont="1" applyFill="1" applyBorder="1" applyAlignment="1">
      <alignment horizontal="center" vertical="center" wrapText="1"/>
    </xf>
    <xf numFmtId="0" fontId="6" fillId="12" borderId="61" xfId="0" applyFont="1" applyFill="1" applyBorder="1" applyAlignment="1">
      <alignment horizontal="center" vertical="center" wrapText="1"/>
    </xf>
    <xf numFmtId="0" fontId="6" fillId="12" borderId="10" xfId="0" applyFont="1" applyFill="1" applyBorder="1" applyAlignment="1">
      <alignment horizontal="center" vertical="center" wrapText="1"/>
    </xf>
    <xf numFmtId="0" fontId="6" fillId="12" borderId="8" xfId="0" applyFont="1" applyFill="1" applyBorder="1" applyAlignment="1">
      <alignment horizontal="center" vertical="center" wrapText="1"/>
    </xf>
    <xf numFmtId="0" fontId="6" fillId="12" borderId="11" xfId="0" applyFont="1" applyFill="1" applyBorder="1" applyAlignment="1">
      <alignment horizontal="center" vertical="center" wrapText="1"/>
    </xf>
    <xf numFmtId="0" fontId="6" fillId="12" borderId="15" xfId="0" applyFont="1" applyFill="1" applyBorder="1" applyAlignment="1">
      <alignment horizontal="center" vertical="center" wrapText="1"/>
    </xf>
    <xf numFmtId="0" fontId="6" fillId="12" borderId="12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12" borderId="57" xfId="0" applyFont="1" applyFill="1" applyBorder="1" applyAlignment="1">
      <alignment horizontal="center" vertical="center" wrapText="1"/>
    </xf>
    <xf numFmtId="0" fontId="6" fillId="12" borderId="56" xfId="0" applyFont="1" applyFill="1" applyBorder="1" applyAlignment="1">
      <alignment horizontal="center" vertical="center" wrapText="1"/>
    </xf>
    <xf numFmtId="0" fontId="6" fillId="12" borderId="62" xfId="0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13" borderId="6" xfId="0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center" vertical="center" wrapText="1"/>
    </xf>
    <xf numFmtId="0" fontId="7" fillId="3" borderId="17" xfId="4" applyFont="1" applyFill="1" applyBorder="1" applyAlignment="1">
      <alignment horizontal="center" vertical="center"/>
    </xf>
    <xf numFmtId="0" fontId="7" fillId="3" borderId="32" xfId="4" applyFont="1" applyFill="1" applyBorder="1" applyAlignment="1">
      <alignment horizontal="center" vertical="center"/>
    </xf>
    <xf numFmtId="0" fontId="7" fillId="2" borderId="4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5" xfId="4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5" fillId="7" borderId="15" xfId="4" applyFont="1" applyFill="1" applyBorder="1" applyAlignment="1">
      <alignment horizontal="center" vertical="center" wrapText="1"/>
    </xf>
    <xf numFmtId="0" fontId="5" fillId="7" borderId="2" xfId="4" applyFont="1" applyFill="1" applyBorder="1" applyAlignment="1">
      <alignment horizontal="center" vertical="center" wrapText="1"/>
    </xf>
    <xf numFmtId="0" fontId="5" fillId="7" borderId="10" xfId="4" applyFont="1" applyFill="1" applyBorder="1" applyAlignment="1">
      <alignment horizontal="center" vertical="center"/>
    </xf>
    <xf numFmtId="0" fontId="5" fillId="7" borderId="8" xfId="4" applyFont="1" applyFill="1" applyBorder="1" applyAlignment="1">
      <alignment horizontal="center" vertical="center"/>
    </xf>
    <xf numFmtId="0" fontId="5" fillId="7" borderId="11" xfId="4" applyFont="1" applyFill="1" applyBorder="1" applyAlignment="1">
      <alignment horizontal="center" vertical="center"/>
    </xf>
    <xf numFmtId="0" fontId="5" fillId="7" borderId="3" xfId="4" applyFont="1" applyFill="1" applyBorder="1" applyAlignment="1">
      <alignment horizontal="center" vertical="center"/>
    </xf>
    <xf numFmtId="0" fontId="5" fillId="7" borderId="3" xfId="4" applyFont="1" applyFill="1" applyBorder="1" applyAlignment="1">
      <alignment horizontal="center" vertical="center" wrapText="1"/>
    </xf>
    <xf numFmtId="0" fontId="5" fillId="7" borderId="12" xfId="4" applyFont="1" applyFill="1" applyBorder="1" applyAlignment="1">
      <alignment horizontal="center" vertical="center" wrapText="1"/>
    </xf>
    <xf numFmtId="0" fontId="5" fillId="11" borderId="3" xfId="4" applyFont="1" applyFill="1" applyBorder="1" applyAlignment="1">
      <alignment horizontal="left" vertical="center"/>
    </xf>
    <xf numFmtId="0" fontId="21" fillId="0" borderId="0" xfId="4" applyFont="1" applyAlignment="1">
      <alignment horizontal="center" vertical="center"/>
    </xf>
    <xf numFmtId="0" fontId="21" fillId="0" borderId="72" xfId="4" applyFont="1" applyBorder="1" applyAlignment="1">
      <alignment horizontal="center" vertical="center"/>
    </xf>
    <xf numFmtId="0" fontId="21" fillId="0" borderId="73" xfId="4" applyFont="1" applyBorder="1" applyAlignment="1">
      <alignment horizontal="center" vertical="center"/>
    </xf>
    <xf numFmtId="0" fontId="26" fillId="3" borderId="67" xfId="4" applyFont="1" applyFill="1" applyBorder="1" applyAlignment="1">
      <alignment horizontal="center" vertical="center" wrapText="1"/>
    </xf>
    <xf numFmtId="0" fontId="26" fillId="3" borderId="68" xfId="4" applyFont="1" applyFill="1" applyBorder="1" applyAlignment="1">
      <alignment horizontal="center" vertical="center" wrapText="1"/>
    </xf>
    <xf numFmtId="0" fontId="26" fillId="3" borderId="69" xfId="4" applyFont="1" applyFill="1" applyBorder="1" applyAlignment="1">
      <alignment horizontal="center" vertical="center" wrapText="1"/>
    </xf>
    <xf numFmtId="0" fontId="26" fillId="3" borderId="84" xfId="4" applyFont="1" applyFill="1" applyBorder="1" applyAlignment="1">
      <alignment horizontal="center" vertical="center" wrapText="1"/>
    </xf>
    <xf numFmtId="0" fontId="5" fillId="3" borderId="67" xfId="4" applyFont="1" applyFill="1" applyBorder="1" applyAlignment="1">
      <alignment horizontal="center" vertical="center" wrapText="1"/>
    </xf>
    <xf numFmtId="0" fontId="5" fillId="3" borderId="68" xfId="4" applyFont="1" applyFill="1" applyBorder="1" applyAlignment="1">
      <alignment horizontal="center" vertical="center" wrapText="1"/>
    </xf>
    <xf numFmtId="0" fontId="5" fillId="3" borderId="69" xfId="4" applyFont="1" applyFill="1" applyBorder="1" applyAlignment="1">
      <alignment horizontal="center" vertical="center" wrapText="1"/>
    </xf>
    <xf numFmtId="0" fontId="7" fillId="3" borderId="70" xfId="4" applyFont="1" applyFill="1" applyBorder="1" applyAlignment="1">
      <alignment horizontal="center" vertical="center"/>
    </xf>
    <xf numFmtId="0" fontId="7" fillId="3" borderId="0" xfId="4" applyFont="1" applyFill="1" applyAlignment="1">
      <alignment horizontal="center" vertical="center"/>
    </xf>
    <xf numFmtId="49" fontId="30" fillId="2" borderId="10" xfId="0" applyNumberFormat="1" applyFont="1" applyFill="1" applyBorder="1" applyAlignment="1">
      <alignment horizontal="center" vertical="center"/>
    </xf>
    <xf numFmtId="49" fontId="30" fillId="2" borderId="8" xfId="0" applyNumberFormat="1" applyFont="1" applyFill="1" applyBorder="1" applyAlignment="1">
      <alignment horizontal="center" vertical="center"/>
    </xf>
    <xf numFmtId="49" fontId="30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3" fillId="2" borderId="2" xfId="0" applyFont="1" applyFill="1" applyBorder="1" applyAlignment="1">
      <alignment horizontal="center" vertical="center"/>
    </xf>
    <xf numFmtId="0" fontId="33" fillId="2" borderId="3" xfId="0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4" fontId="7" fillId="2" borderId="3" xfId="0" applyNumberFormat="1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26" fillId="7" borderId="39" xfId="0" applyNumberFormat="1" applyFont="1" applyFill="1" applyBorder="1" applyAlignment="1">
      <alignment horizontal="center" vertical="center"/>
    </xf>
    <xf numFmtId="164" fontId="26" fillId="7" borderId="40" xfId="0" applyNumberFormat="1" applyFont="1" applyFill="1" applyBorder="1" applyAlignment="1">
      <alignment horizontal="center" vertical="center"/>
    </xf>
    <xf numFmtId="164" fontId="26" fillId="7" borderId="41" xfId="0" applyNumberFormat="1" applyFont="1" applyFill="1" applyBorder="1" applyAlignment="1">
      <alignment horizontal="center" vertical="center"/>
    </xf>
    <xf numFmtId="164" fontId="15" fillId="0" borderId="37" xfId="0" applyNumberFormat="1" applyFont="1" applyBorder="1" applyAlignment="1">
      <alignment horizontal="center" vertical="center"/>
    </xf>
    <xf numFmtId="164" fontId="15" fillId="0" borderId="34" xfId="0" applyNumberFormat="1" applyFont="1" applyBorder="1" applyAlignment="1">
      <alignment horizontal="center" vertical="center"/>
    </xf>
    <xf numFmtId="164" fontId="15" fillId="0" borderId="38" xfId="0" applyNumberFormat="1" applyFont="1" applyBorder="1" applyAlignment="1">
      <alignment horizontal="center" vertical="center"/>
    </xf>
    <xf numFmtId="164" fontId="15" fillId="0" borderId="36" xfId="0" applyNumberFormat="1" applyFont="1" applyBorder="1" applyAlignment="1">
      <alignment horizontal="center" vertical="center"/>
    </xf>
    <xf numFmtId="164" fontId="5" fillId="0" borderId="33" xfId="0" applyNumberFormat="1" applyFont="1" applyBorder="1" applyAlignment="1">
      <alignment horizontal="center" vertical="center" wrapText="1"/>
    </xf>
    <xf numFmtId="164" fontId="5" fillId="0" borderId="37" xfId="0" applyNumberFormat="1" applyFont="1" applyBorder="1" applyAlignment="1">
      <alignment horizontal="center" vertical="center" wrapText="1"/>
    </xf>
    <xf numFmtId="164" fontId="5" fillId="0" borderId="35" xfId="0" applyNumberFormat="1" applyFont="1" applyBorder="1" applyAlignment="1">
      <alignment horizontal="center" vertical="center" wrapText="1"/>
    </xf>
    <xf numFmtId="164" fontId="5" fillId="0" borderId="38" xfId="0" applyNumberFormat="1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center" vertical="center"/>
    </xf>
    <xf numFmtId="164" fontId="4" fillId="0" borderId="33" xfId="0" applyNumberFormat="1" applyFont="1" applyBorder="1" applyAlignment="1">
      <alignment horizontal="center" vertical="center" wrapText="1"/>
    </xf>
    <xf numFmtId="164" fontId="4" fillId="0" borderId="37" xfId="0" applyNumberFormat="1" applyFont="1" applyBorder="1" applyAlignment="1">
      <alignment horizontal="center" vertical="center" wrapText="1"/>
    </xf>
    <xf numFmtId="164" fontId="20" fillId="0" borderId="35" xfId="0" applyNumberFormat="1" applyFont="1" applyBorder="1" applyAlignment="1">
      <alignment horizontal="center" vertical="center" wrapText="1"/>
    </xf>
    <xf numFmtId="164" fontId="20" fillId="0" borderId="38" xfId="0" applyNumberFormat="1" applyFont="1" applyBorder="1" applyAlignment="1">
      <alignment horizontal="center" vertical="center" wrapText="1"/>
    </xf>
    <xf numFmtId="164" fontId="5" fillId="0" borderId="64" xfId="0" applyNumberFormat="1" applyFont="1" applyBorder="1" applyAlignment="1">
      <alignment horizontal="center" vertical="center" wrapText="1"/>
    </xf>
    <xf numFmtId="164" fontId="5" fillId="0" borderId="65" xfId="0" applyNumberFormat="1" applyFont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/>
    </xf>
    <xf numFmtId="4" fontId="5" fillId="2" borderId="3" xfId="0" applyNumberFormat="1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169" fontId="28" fillId="8" borderId="30" xfId="0" applyNumberFormat="1" applyFont="1" applyFill="1" applyBorder="1" applyAlignment="1">
      <alignment vertical="center"/>
    </xf>
    <xf numFmtId="169" fontId="29" fillId="8" borderId="32" xfId="0" applyNumberFormat="1" applyFont="1" applyFill="1" applyBorder="1" applyAlignment="1">
      <alignment vertical="center"/>
    </xf>
    <xf numFmtId="169" fontId="16" fillId="0" borderId="0" xfId="0" applyNumberFormat="1" applyFont="1" applyAlignment="1">
      <alignment vertical="center"/>
    </xf>
    <xf numFmtId="169" fontId="14" fillId="0" borderId="0" xfId="0" applyNumberFormat="1" applyFont="1" applyAlignment="1">
      <alignment vertical="center"/>
    </xf>
    <xf numFmtId="169" fontId="5" fillId="0" borderId="45" xfId="0" applyNumberFormat="1" applyFont="1" applyBorder="1" applyAlignment="1">
      <alignment horizontal="center" vertical="center"/>
    </xf>
    <xf numFmtId="169" fontId="5" fillId="0" borderId="50" xfId="0" applyNumberFormat="1" applyFont="1" applyBorder="1" applyAlignment="1">
      <alignment horizontal="center" vertical="center"/>
    </xf>
    <xf numFmtId="169" fontId="3" fillId="0" borderId="0" xfId="0" applyNumberFormat="1" applyFont="1" applyAlignment="1">
      <alignment vertical="center"/>
    </xf>
    <xf numFmtId="169" fontId="15" fillId="0" borderId="0" xfId="0" applyNumberFormat="1" applyFont="1" applyAlignment="1">
      <alignment horizontal="center" vertical="center"/>
    </xf>
    <xf numFmtId="169" fontId="5" fillId="2" borderId="3" xfId="0" applyNumberFormat="1" applyFont="1" applyFill="1" applyBorder="1" applyAlignment="1">
      <alignment horizontal="center" vertical="center"/>
    </xf>
    <xf numFmtId="169" fontId="15" fillId="0" borderId="3" xfId="0" applyNumberFormat="1" applyFont="1" applyBorder="1" applyAlignment="1">
      <alignment horizontal="center" vertical="center"/>
    </xf>
    <xf numFmtId="169" fontId="15" fillId="0" borderId="32" xfId="0" applyNumberFormat="1" applyFont="1" applyBorder="1" applyAlignment="1">
      <alignment horizontal="center" vertical="center"/>
    </xf>
  </cellXfs>
  <cellStyles count="13">
    <cellStyle name="Normal" xfId="0" builtinId="0"/>
    <cellStyle name="Normal 2 2 2 15" xfId="9"/>
    <cellStyle name="Normal 2 2 33" xfId="7"/>
    <cellStyle name="Normal 2 2 37" xfId="5"/>
    <cellStyle name="Normal 2 5 2" xfId="2"/>
    <cellStyle name="Normal 3 10 2" xfId="12"/>
    <cellStyle name="Normal 6 37" xfId="11"/>
    <cellStyle name="Normal 7 10 2" xfId="4"/>
    <cellStyle name="Porcentagem 10" xfId="3"/>
    <cellStyle name="Porcentagem 2 80" xfId="10"/>
    <cellStyle name="Separador de milhares 10" xfId="8"/>
    <cellStyle name="Vírgula 2 5" xfId="1"/>
    <cellStyle name="Vírgula 5 5" xfId="6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Medium9"/>
  <colors>
    <mruColors>
      <color rgb="FFEAEAEA"/>
      <color rgb="FFFBFBFB"/>
      <color rgb="FFF0F0F0"/>
      <color rgb="FFECECEC"/>
      <color rgb="FFF5F8EE"/>
      <color rgb="FFFBF3F3"/>
      <color rgb="FFF7E9E9"/>
      <color rgb="FFEEEEEE"/>
      <color rgb="FFF3F3F3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79"/>
  <sheetViews>
    <sheetView showGridLines="0" tabSelected="1" view="pageBreakPreview" topLeftCell="A50" zoomScale="85" zoomScaleNormal="100" zoomScaleSheetLayoutView="85" workbookViewId="0">
      <pane xSplit="5" topLeftCell="F1" activePane="topRight" state="frozen"/>
      <selection activeCell="D9" sqref="D9"/>
      <selection pane="topRight" activeCell="Q83" sqref="Q83"/>
    </sheetView>
  </sheetViews>
  <sheetFormatPr defaultColWidth="9" defaultRowHeight="14.25"/>
  <cols>
    <col min="1" max="1" width="5.42578125" style="17" customWidth="1"/>
    <col min="2" max="2" width="7.85546875" style="35" customWidth="1"/>
    <col min="3" max="3" width="22.5703125" style="19" customWidth="1"/>
    <col min="4" max="4" width="11.42578125" style="19" customWidth="1"/>
    <col min="5" max="5" width="12.7109375" style="136" customWidth="1"/>
    <col min="6" max="6" width="12.42578125" style="20" customWidth="1"/>
    <col min="7" max="7" width="11" style="20" customWidth="1"/>
    <col min="8" max="12" width="8.5703125" style="20" customWidth="1"/>
    <col min="13" max="13" width="15.42578125" style="20" customWidth="1"/>
    <col min="14" max="17" width="8.5703125" style="20" customWidth="1"/>
    <col min="18" max="18" width="9.85546875" style="20" customWidth="1"/>
    <col min="19" max="26" width="8.5703125" style="20" customWidth="1"/>
    <col min="27" max="27" width="8.28515625" style="20" customWidth="1"/>
    <col min="28" max="28" width="7.7109375" style="20" customWidth="1"/>
    <col min="29" max="29" width="6.140625" style="20" customWidth="1"/>
    <col min="30" max="31" width="8.7109375" style="17" customWidth="1"/>
    <col min="32" max="32" width="8.7109375" style="21" customWidth="1"/>
    <col min="33" max="34" width="10" style="21" customWidth="1"/>
    <col min="35" max="35" width="13.28515625" style="17" customWidth="1"/>
    <col min="36" max="36" width="14.7109375" style="17" customWidth="1"/>
    <col min="37" max="37" width="11.85546875" style="17" customWidth="1"/>
    <col min="38" max="38" width="13.28515625" style="17" customWidth="1"/>
    <col min="39" max="39" width="17.140625" style="17" customWidth="1"/>
    <col min="40" max="40" width="10.7109375" style="17" customWidth="1"/>
    <col min="41" max="41" width="15.7109375" style="17" customWidth="1"/>
    <col min="42" max="16384" width="9" style="17"/>
  </cols>
  <sheetData>
    <row r="1" spans="1:75" s="15" customFormat="1" ht="43.5" customHeight="1">
      <c r="A1" s="395" t="s">
        <v>6</v>
      </c>
      <c r="B1" s="404" t="s">
        <v>7</v>
      </c>
      <c r="C1" s="404"/>
      <c r="D1" s="404"/>
      <c r="E1" s="123" t="s">
        <v>8</v>
      </c>
      <c r="F1" s="148" t="str">
        <f>DIMENS!A16</f>
        <v>T-01</v>
      </c>
      <c r="G1" s="148" t="str">
        <f>DIMENS!A17</f>
        <v>T-02</v>
      </c>
      <c r="H1" s="148" t="str">
        <f>DIMENS!A18</f>
        <v>T-03</v>
      </c>
      <c r="I1" s="148" t="str">
        <f>DIMENS!A19</f>
        <v>T-04</v>
      </c>
      <c r="J1" s="148" t="str">
        <f>DIMENS!A20</f>
        <v>T-05</v>
      </c>
      <c r="K1" s="148" t="str">
        <f>DIMENS!A21</f>
        <v>T-06</v>
      </c>
      <c r="L1" s="148" t="str">
        <f>DIMENS!A22</f>
        <v>T-07</v>
      </c>
      <c r="M1" s="148" t="str">
        <f>DIMENS!A23</f>
        <v>T-08</v>
      </c>
      <c r="N1" s="148" t="str">
        <f>DIMENS!A24</f>
        <v>T-09</v>
      </c>
      <c r="O1" s="148" t="str">
        <f>DIMENS!A25</f>
        <v>T-10</v>
      </c>
      <c r="P1" s="148" t="str">
        <f>DIMENS!A26</f>
        <v>T-11</v>
      </c>
      <c r="Q1" s="148" t="str">
        <f>DIMENS!A27</f>
        <v>T-12</v>
      </c>
      <c r="R1" s="299" t="s">
        <v>350</v>
      </c>
      <c r="S1" s="148" t="str">
        <f>DIMENS!A29</f>
        <v>T-14</v>
      </c>
      <c r="T1" s="148" t="str">
        <f>DIMENS!A30</f>
        <v>T-15</v>
      </c>
      <c r="U1" s="148" t="s">
        <v>9</v>
      </c>
      <c r="V1" s="148" t="s">
        <v>10</v>
      </c>
      <c r="W1" s="148" t="s">
        <v>11</v>
      </c>
      <c r="X1" s="148" t="s">
        <v>12</v>
      </c>
      <c r="Y1" s="148" t="s">
        <v>13</v>
      </c>
      <c r="Z1" s="148" t="s">
        <v>14</v>
      </c>
      <c r="AA1" s="148" t="s">
        <v>15</v>
      </c>
      <c r="AB1" s="148" t="s">
        <v>16</v>
      </c>
      <c r="AC1" s="148" t="s">
        <v>17</v>
      </c>
      <c r="AD1" s="121" t="s">
        <v>18</v>
      </c>
      <c r="AE1" s="122" t="s">
        <v>19</v>
      </c>
      <c r="AF1" s="94" t="s">
        <v>1</v>
      </c>
      <c r="AG1" s="279"/>
      <c r="AH1" s="410" t="s">
        <v>20</v>
      </c>
      <c r="AI1" s="25" t="s">
        <v>21</v>
      </c>
      <c r="AJ1" s="25" t="s">
        <v>22</v>
      </c>
      <c r="AK1" s="25" t="s">
        <v>23</v>
      </c>
      <c r="AL1" s="25" t="s">
        <v>24</v>
      </c>
    </row>
    <row r="2" spans="1:75" ht="19.5" customHeight="1">
      <c r="A2" s="396"/>
      <c r="B2" s="405" t="s">
        <v>25</v>
      </c>
      <c r="C2" s="405"/>
      <c r="D2" s="405"/>
      <c r="E2" s="124" t="s">
        <v>5</v>
      </c>
      <c r="F2" s="118">
        <f>DIMENS!B16</f>
        <v>21</v>
      </c>
      <c r="G2" s="118">
        <f>DIMENS!B17</f>
        <v>62</v>
      </c>
      <c r="H2" s="118">
        <f>DIMENS!B18</f>
        <v>42</v>
      </c>
      <c r="I2" s="118">
        <f>DIMENS!B19</f>
        <v>42</v>
      </c>
      <c r="J2" s="118">
        <f>DIMENS!B20</f>
        <v>45</v>
      </c>
      <c r="K2" s="118">
        <f>DIMENS!B21</f>
        <v>51</v>
      </c>
      <c r="L2" s="118">
        <f>DIMENS!B22</f>
        <v>49</v>
      </c>
      <c r="M2" s="118">
        <f>DIMENS!B23</f>
        <v>57</v>
      </c>
      <c r="N2" s="118">
        <f>DIMENS!B24</f>
        <v>26</v>
      </c>
      <c r="O2" s="118">
        <f>DIMENS!B25</f>
        <v>50</v>
      </c>
      <c r="P2" s="118">
        <f>DIMENS!B26</f>
        <v>21</v>
      </c>
      <c r="Q2" s="118">
        <f>DIMENS!B27</f>
        <v>68</v>
      </c>
      <c r="R2" s="118">
        <f>DIMENS!B28</f>
        <v>29</v>
      </c>
      <c r="S2" s="118">
        <f>DIMENS!B29</f>
        <v>36</v>
      </c>
      <c r="T2" s="118">
        <f>DIMENS!B30</f>
        <v>13</v>
      </c>
      <c r="U2" s="118"/>
      <c r="V2" s="118"/>
      <c r="W2" s="118"/>
      <c r="X2" s="118"/>
      <c r="Y2" s="118"/>
      <c r="Z2" s="118"/>
      <c r="AA2" s="118"/>
      <c r="AB2" s="118"/>
      <c r="AC2" s="118"/>
      <c r="AD2" s="119">
        <f>AF6</f>
        <v>459</v>
      </c>
      <c r="AE2" s="371"/>
      <c r="AF2" s="138">
        <f>SUM(F2:AD2)</f>
        <v>1071</v>
      </c>
      <c r="AG2" s="277"/>
      <c r="AH2" s="411"/>
      <c r="AI2" s="26">
        <v>400</v>
      </c>
      <c r="AJ2" s="26">
        <f>AF6</f>
        <v>459</v>
      </c>
      <c r="AK2" s="27">
        <v>400</v>
      </c>
      <c r="AL2" s="28">
        <v>0.158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</row>
    <row r="3" spans="1:75" s="16" customFormat="1" ht="15" customHeight="1">
      <c r="A3" s="396"/>
      <c r="B3" s="398" t="s">
        <v>26</v>
      </c>
      <c r="C3" s="407" t="s">
        <v>27</v>
      </c>
      <c r="D3" s="407"/>
      <c r="E3" s="125" t="s">
        <v>8</v>
      </c>
      <c r="F3" s="111">
        <f>DIMENS!K16</f>
        <v>1</v>
      </c>
      <c r="G3" s="111">
        <f>DIMENS!K17</f>
        <v>1</v>
      </c>
      <c r="H3" s="111">
        <f>DIMENS!K18</f>
        <v>1</v>
      </c>
      <c r="I3" s="111">
        <f>DIMENS!K19</f>
        <v>1</v>
      </c>
      <c r="J3" s="111">
        <f>DIMENS!K20</f>
        <v>1</v>
      </c>
      <c r="K3" s="111">
        <f>DIMENS!K21</f>
        <v>1</v>
      </c>
      <c r="L3" s="111">
        <f>DIMENS!K22</f>
        <v>1</v>
      </c>
      <c r="M3" s="111">
        <f>DIMENS!K23</f>
        <v>1</v>
      </c>
      <c r="N3" s="111">
        <f>DIMENS!K24</f>
        <v>1</v>
      </c>
      <c r="O3" s="111">
        <f>DIMENS!K25</f>
        <v>1</v>
      </c>
      <c r="P3" s="111">
        <f>DIMENS!K26</f>
        <v>1</v>
      </c>
      <c r="Q3" s="111">
        <f>DIMENS!K27</f>
        <v>1</v>
      </c>
      <c r="R3" s="111">
        <f>DIMENS!K28</f>
        <v>1</v>
      </c>
      <c r="S3" s="111">
        <f>DIMENS!K29</f>
        <v>1</v>
      </c>
      <c r="T3" s="111">
        <f>DIMENS!K30</f>
        <v>1</v>
      </c>
      <c r="U3" s="111"/>
      <c r="V3" s="111"/>
      <c r="W3" s="111"/>
      <c r="X3" s="111"/>
      <c r="Y3" s="111"/>
      <c r="Z3" s="111"/>
      <c r="AA3" s="111"/>
      <c r="AB3" s="111"/>
      <c r="AC3" s="111"/>
      <c r="AD3" s="111">
        <v>1</v>
      </c>
      <c r="AE3" s="372"/>
      <c r="AF3" s="137">
        <f>SUM(F3:AD3)</f>
        <v>16</v>
      </c>
      <c r="AG3" s="276"/>
      <c r="AH3" s="411"/>
      <c r="AI3" s="26">
        <v>600</v>
      </c>
      <c r="AJ3" s="26">
        <f>SUMIF($F$4:$AE$4,600,$F$2:$AE$2)</f>
        <v>351</v>
      </c>
      <c r="AK3" s="27">
        <v>500</v>
      </c>
      <c r="AL3" s="28">
        <v>0.2495</v>
      </c>
      <c r="AM3" s="15"/>
    </row>
    <row r="4" spans="1:75" ht="12.75">
      <c r="A4" s="396"/>
      <c r="B4" s="399"/>
      <c r="C4" s="387" t="s">
        <v>28</v>
      </c>
      <c r="D4" s="387"/>
      <c r="E4" s="126" t="s">
        <v>29</v>
      </c>
      <c r="F4" s="112">
        <f>DIMENS!J16</f>
        <v>600</v>
      </c>
      <c r="G4" s="112">
        <f>DIMENS!J17</f>
        <v>600</v>
      </c>
      <c r="H4" s="112">
        <f>DIMENS!J18</f>
        <v>600</v>
      </c>
      <c r="I4" s="112">
        <f>DIMENS!J19</f>
        <v>600</v>
      </c>
      <c r="J4" s="112">
        <f>DIMENS!J20</f>
        <v>600</v>
      </c>
      <c r="K4" s="112">
        <f>DIMENS!J21</f>
        <v>800</v>
      </c>
      <c r="L4" s="112">
        <f>DIMENS!J22</f>
        <v>800</v>
      </c>
      <c r="M4" s="112">
        <f>DIMENS!J23</f>
        <v>800</v>
      </c>
      <c r="N4" s="112">
        <f>DIMENS!J24</f>
        <v>800</v>
      </c>
      <c r="O4" s="112">
        <f>DIMENS!J25</f>
        <v>600</v>
      </c>
      <c r="P4" s="112">
        <f>DIMENS!J26</f>
        <v>600</v>
      </c>
      <c r="Q4" s="112">
        <f>DIMENS!J27</f>
        <v>600</v>
      </c>
      <c r="R4" s="112">
        <f>DIMENS!J28</f>
        <v>1200</v>
      </c>
      <c r="S4" s="112">
        <f>DIMENS!J29</f>
        <v>800</v>
      </c>
      <c r="T4" s="112">
        <f>DIMENS!J30</f>
        <v>800</v>
      </c>
      <c r="U4" s="112">
        <v>400</v>
      </c>
      <c r="V4" s="112">
        <v>400</v>
      </c>
      <c r="W4" s="112">
        <v>400</v>
      </c>
      <c r="X4" s="112">
        <v>400</v>
      </c>
      <c r="Y4" s="112">
        <v>400</v>
      </c>
      <c r="Z4" s="112">
        <v>400</v>
      </c>
      <c r="AA4" s="112">
        <v>400</v>
      </c>
      <c r="AB4" s="112">
        <v>400</v>
      </c>
      <c r="AC4" s="112">
        <v>400</v>
      </c>
      <c r="AD4" s="111">
        <v>400</v>
      </c>
      <c r="AE4" s="372"/>
      <c r="AF4" s="97"/>
      <c r="AG4" s="276"/>
      <c r="AH4" s="411"/>
      <c r="AI4" s="26">
        <v>800</v>
      </c>
      <c r="AJ4" s="26">
        <f>SUMIF($F$4:$AE$4,800,$F$2:$AE$2)</f>
        <v>232</v>
      </c>
      <c r="AK4" s="27">
        <v>600</v>
      </c>
      <c r="AL4" s="28">
        <v>0.34100000000000003</v>
      </c>
      <c r="AM4" s="15"/>
    </row>
    <row r="5" spans="1:75" ht="23.25" customHeight="1">
      <c r="A5" s="396"/>
      <c r="B5" s="399"/>
      <c r="C5" s="387" t="s">
        <v>30</v>
      </c>
      <c r="D5" s="387"/>
      <c r="E5" s="126" t="s">
        <v>31</v>
      </c>
      <c r="F5" s="39" t="str">
        <f t="shared" ref="F5:G5" si="0">IF(F4&gt;600,"PA-1","PS-1")</f>
        <v>PS-1</v>
      </c>
      <c r="G5" s="39" t="str">
        <f t="shared" si="0"/>
        <v>PS-1</v>
      </c>
      <c r="H5" s="39" t="str">
        <f t="shared" ref="H5:K5" si="1">IF(H4&gt;600,"PA-1","PS-1")</f>
        <v>PS-1</v>
      </c>
      <c r="I5" s="39" t="str">
        <f t="shared" si="1"/>
        <v>PS-1</v>
      </c>
      <c r="J5" s="39" t="str">
        <f t="shared" si="1"/>
        <v>PS-1</v>
      </c>
      <c r="K5" s="39" t="str">
        <f t="shared" si="1"/>
        <v>PA-1</v>
      </c>
      <c r="L5" s="39" t="str">
        <f t="shared" ref="L5:V5" si="2">IF(L4&gt;600,"PA-1","PS-1")</f>
        <v>PA-1</v>
      </c>
      <c r="M5" s="39" t="str">
        <f t="shared" si="2"/>
        <v>PA-1</v>
      </c>
      <c r="N5" s="39" t="str">
        <f t="shared" si="2"/>
        <v>PA-1</v>
      </c>
      <c r="O5" s="39" t="str">
        <f t="shared" si="2"/>
        <v>PS-1</v>
      </c>
      <c r="P5" s="39" t="str">
        <f t="shared" si="2"/>
        <v>PS-1</v>
      </c>
      <c r="Q5" s="39" t="str">
        <f t="shared" ref="Q5:T5" si="3">IF(Q4&gt;600,"PA-1","PS-1")</f>
        <v>PS-1</v>
      </c>
      <c r="R5" s="39" t="str">
        <f t="shared" si="3"/>
        <v>PA-1</v>
      </c>
      <c r="S5" s="39" t="str">
        <f t="shared" si="3"/>
        <v>PA-1</v>
      </c>
      <c r="T5" s="39" t="str">
        <f t="shared" si="3"/>
        <v>PA-1</v>
      </c>
      <c r="U5" s="39"/>
      <c r="V5" s="39" t="str">
        <f t="shared" si="2"/>
        <v>PS-1</v>
      </c>
      <c r="W5" s="39"/>
      <c r="X5" s="39" t="str">
        <f>IF(X4&gt;600,"PA-1","PS-1")</f>
        <v>PS-1</v>
      </c>
      <c r="Y5" s="39" t="str">
        <f>IF(Y4&gt;600,"PA-1","PS-1")</f>
        <v>PS-1</v>
      </c>
      <c r="Z5" s="39"/>
      <c r="AA5" s="39" t="str">
        <f>IF(AA4&gt;600,"PA-1","PS-1")</f>
        <v>PS-1</v>
      </c>
      <c r="AB5" s="39" t="str">
        <f>IF(AB4&gt;600,"PA-1","PS-1")</f>
        <v>PS-1</v>
      </c>
      <c r="AC5" s="39"/>
      <c r="AD5" s="39"/>
      <c r="AE5" s="116"/>
      <c r="AF5" s="97">
        <f t="shared" ref="AF5:AF11" si="4">SUM(F5:AD5)</f>
        <v>0</v>
      </c>
      <c r="AG5" s="276"/>
      <c r="AH5" s="411"/>
      <c r="AI5" s="26">
        <v>1000</v>
      </c>
      <c r="AJ5" s="26">
        <f>SUMIF($F$4:$AE$4,1000,$F$2:$AE$2)</f>
        <v>0</v>
      </c>
      <c r="AK5" s="27">
        <v>700</v>
      </c>
      <c r="AL5" s="28">
        <v>0.48799999999999999</v>
      </c>
      <c r="AM5" s="15"/>
    </row>
    <row r="6" spans="1:75" ht="23.25" customHeight="1">
      <c r="A6" s="396"/>
      <c r="B6" s="399"/>
      <c r="C6" s="387" t="s">
        <v>32</v>
      </c>
      <c r="D6" s="387"/>
      <c r="E6" s="126" t="s">
        <v>5</v>
      </c>
      <c r="F6" s="113">
        <v>21</v>
      </c>
      <c r="G6" s="113">
        <v>14</v>
      </c>
      <c r="H6" s="113">
        <f>15+15+15+15</f>
        <v>60</v>
      </c>
      <c r="I6" s="113">
        <v>16</v>
      </c>
      <c r="J6" s="113">
        <v>14</v>
      </c>
      <c r="K6" s="113">
        <f>16+16+15+15</f>
        <v>62</v>
      </c>
      <c r="L6" s="113">
        <v>16</v>
      </c>
      <c r="M6" s="113">
        <f>11+11+16+16</f>
        <v>54</v>
      </c>
      <c r="N6" s="113">
        <f>8+9</f>
        <v>17</v>
      </c>
      <c r="O6" s="113">
        <v>14</v>
      </c>
      <c r="P6" s="113">
        <f>8+9</f>
        <v>17</v>
      </c>
      <c r="Q6" s="113"/>
      <c r="R6" s="113"/>
      <c r="S6" s="113"/>
      <c r="T6" s="113"/>
      <c r="U6" s="113">
        <f>24+7</f>
        <v>31</v>
      </c>
      <c r="V6" s="113">
        <v>10</v>
      </c>
      <c r="W6" s="113">
        <v>30</v>
      </c>
      <c r="X6" s="113">
        <v>13</v>
      </c>
      <c r="Y6" s="113">
        <v>11</v>
      </c>
      <c r="Z6" s="113">
        <v>28</v>
      </c>
      <c r="AA6" s="113">
        <v>9</v>
      </c>
      <c r="AB6" s="113">
        <v>10</v>
      </c>
      <c r="AC6" s="113">
        <v>12</v>
      </c>
      <c r="AD6" s="39"/>
      <c r="AE6" s="116"/>
      <c r="AF6" s="97">
        <f>SUM(F6:AD6)</f>
        <v>459</v>
      </c>
      <c r="AG6" s="276"/>
      <c r="AH6" s="411"/>
      <c r="AI6" s="26">
        <v>1200</v>
      </c>
      <c r="AJ6" s="26">
        <f>SUMIF($F$4:$AE$4,1200,$F$2:$AE$2)</f>
        <v>29</v>
      </c>
      <c r="AK6" s="27">
        <v>800</v>
      </c>
      <c r="AL6" s="28">
        <v>0.63500000000000001</v>
      </c>
      <c r="AM6" s="15"/>
    </row>
    <row r="7" spans="1:75" ht="15.75" customHeight="1">
      <c r="A7" s="396"/>
      <c r="B7" s="399"/>
      <c r="C7" s="387" t="s">
        <v>33</v>
      </c>
      <c r="D7" s="387"/>
      <c r="E7" s="126" t="s">
        <v>8</v>
      </c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373"/>
      <c r="AF7" s="97">
        <f t="shared" si="4"/>
        <v>0</v>
      </c>
      <c r="AG7" s="276"/>
      <c r="AH7" s="411"/>
      <c r="AI7" s="26"/>
      <c r="AJ7" s="26"/>
      <c r="AK7" s="27"/>
      <c r="AL7" s="28"/>
      <c r="AM7" s="15"/>
    </row>
    <row r="8" spans="1:75" ht="13.9" customHeight="1">
      <c r="A8" s="396"/>
      <c r="B8" s="399"/>
      <c r="C8" s="387" t="s">
        <v>34</v>
      </c>
      <c r="D8" s="387"/>
      <c r="E8" s="126" t="s">
        <v>8</v>
      </c>
      <c r="F8" s="90">
        <v>1</v>
      </c>
      <c r="G8" s="90">
        <v>1</v>
      </c>
      <c r="H8" s="90">
        <v>1</v>
      </c>
      <c r="I8" s="90">
        <v>1</v>
      </c>
      <c r="J8" s="90">
        <v>1</v>
      </c>
      <c r="K8" s="90">
        <v>1</v>
      </c>
      <c r="L8" s="90">
        <v>1</v>
      </c>
      <c r="M8" s="90">
        <v>1</v>
      </c>
      <c r="N8" s="90">
        <v>1</v>
      </c>
      <c r="O8" s="90">
        <v>1</v>
      </c>
      <c r="P8" s="90">
        <v>1</v>
      </c>
      <c r="Q8" s="90">
        <v>1</v>
      </c>
      <c r="R8" s="90">
        <v>1</v>
      </c>
      <c r="S8" s="90">
        <v>1</v>
      </c>
      <c r="T8" s="90">
        <v>1</v>
      </c>
      <c r="U8" s="90"/>
      <c r="V8" s="90">
        <v>1</v>
      </c>
      <c r="W8" s="90"/>
      <c r="X8" s="90">
        <v>1</v>
      </c>
      <c r="Y8" s="90">
        <v>1</v>
      </c>
      <c r="Z8" s="90"/>
      <c r="AA8" s="90">
        <v>1</v>
      </c>
      <c r="AB8" s="90">
        <v>1</v>
      </c>
      <c r="AC8" s="90"/>
      <c r="AD8" s="90"/>
      <c r="AE8" s="373"/>
      <c r="AF8" s="97">
        <f>SUM(F8:AD8)</f>
        <v>20</v>
      </c>
      <c r="AG8" s="276"/>
      <c r="AH8" s="411"/>
      <c r="AI8" s="26">
        <v>1500</v>
      </c>
      <c r="AJ8" s="26">
        <f>SUMIF($F$4:$AE$4,1500,$F$2:$AE$2)</f>
        <v>0</v>
      </c>
      <c r="AK8" s="27">
        <v>900</v>
      </c>
      <c r="AL8" s="28">
        <v>0.75849999999999995</v>
      </c>
      <c r="AM8" s="15"/>
    </row>
    <row r="9" spans="1:75" ht="12.75">
      <c r="A9" s="396"/>
      <c r="B9" s="399"/>
      <c r="C9" s="387" t="s">
        <v>35</v>
      </c>
      <c r="D9" s="387"/>
      <c r="E9" s="126" t="s">
        <v>8</v>
      </c>
      <c r="F9" s="90"/>
      <c r="G9" s="90">
        <v>2</v>
      </c>
      <c r="H9" s="90">
        <v>4</v>
      </c>
      <c r="I9" s="90">
        <v>2</v>
      </c>
      <c r="J9" s="90">
        <v>2</v>
      </c>
      <c r="K9" s="90">
        <v>4</v>
      </c>
      <c r="L9" s="90">
        <v>2</v>
      </c>
      <c r="M9" s="90">
        <v>4</v>
      </c>
      <c r="N9" s="90">
        <v>2</v>
      </c>
      <c r="O9" s="90"/>
      <c r="P9" s="90"/>
      <c r="Q9" s="90"/>
      <c r="R9" s="90"/>
      <c r="S9" s="90"/>
      <c r="T9" s="90"/>
      <c r="U9" s="90">
        <v>2</v>
      </c>
      <c r="V9" s="90">
        <v>2</v>
      </c>
      <c r="W9" s="90"/>
      <c r="X9" s="90">
        <v>2</v>
      </c>
      <c r="Y9" s="90">
        <v>2</v>
      </c>
      <c r="Z9" s="90">
        <v>2</v>
      </c>
      <c r="AA9" s="90">
        <v>2</v>
      </c>
      <c r="AB9" s="90">
        <v>2</v>
      </c>
      <c r="AC9" s="90">
        <v>2</v>
      </c>
      <c r="AD9" s="90"/>
      <c r="AE9" s="373"/>
      <c r="AF9" s="97">
        <f>SUM(F9:AD9)</f>
        <v>38</v>
      </c>
      <c r="AG9" s="276"/>
      <c r="AH9" s="411"/>
      <c r="AI9" s="29"/>
      <c r="AJ9" s="29"/>
      <c r="AK9" s="27">
        <v>1000</v>
      </c>
      <c r="AL9" s="28">
        <v>0.88200000000000001</v>
      </c>
      <c r="AM9" s="15"/>
    </row>
    <row r="10" spans="1:75" ht="12.75">
      <c r="A10" s="396"/>
      <c r="B10" s="399"/>
      <c r="C10" s="387" t="s">
        <v>36</v>
      </c>
      <c r="D10" s="387"/>
      <c r="E10" s="126" t="s">
        <v>8</v>
      </c>
      <c r="F10" s="90">
        <v>2</v>
      </c>
      <c r="G10" s="90"/>
      <c r="H10" s="90"/>
      <c r="I10" s="90"/>
      <c r="J10" s="90"/>
      <c r="K10" s="90"/>
      <c r="L10" s="90"/>
      <c r="M10" s="90"/>
      <c r="N10" s="90"/>
      <c r="O10" s="90">
        <v>2</v>
      </c>
      <c r="P10" s="90">
        <v>4</v>
      </c>
      <c r="Q10" s="90"/>
      <c r="R10" s="90"/>
      <c r="S10" s="90"/>
      <c r="T10" s="90"/>
      <c r="U10" s="90"/>
      <c r="V10" s="90"/>
      <c r="W10" s="90">
        <v>2</v>
      </c>
      <c r="X10" s="90"/>
      <c r="Y10" s="90"/>
      <c r="Z10" s="90"/>
      <c r="AA10" s="90"/>
      <c r="AB10" s="90"/>
      <c r="AC10" s="90"/>
      <c r="AD10" s="90"/>
      <c r="AE10" s="373"/>
      <c r="AF10" s="97">
        <f>SUM(F10:AD10)</f>
        <v>10</v>
      </c>
      <c r="AG10" s="276"/>
      <c r="AH10" s="411"/>
      <c r="AI10" s="29"/>
      <c r="AJ10" s="29"/>
      <c r="AK10" s="27">
        <v>1200</v>
      </c>
      <c r="AL10" s="28">
        <v>1.286</v>
      </c>
      <c r="AM10" s="15"/>
    </row>
    <row r="11" spans="1:75" ht="12.75">
      <c r="A11" s="396"/>
      <c r="B11" s="399"/>
      <c r="C11" s="387" t="s">
        <v>37</v>
      </c>
      <c r="D11" s="387"/>
      <c r="E11" s="126" t="s">
        <v>8</v>
      </c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373"/>
      <c r="AF11" s="97">
        <f t="shared" si="4"/>
        <v>0</v>
      </c>
      <c r="AG11" s="276"/>
      <c r="AH11" s="412"/>
      <c r="AI11" s="29"/>
      <c r="AJ11" s="29"/>
      <c r="AK11" s="27">
        <v>1500</v>
      </c>
      <c r="AL11" s="28">
        <v>2.0089999999999999</v>
      </c>
      <c r="AM11" s="15"/>
    </row>
    <row r="12" spans="1:75" ht="15" customHeight="1">
      <c r="A12" s="396"/>
      <c r="B12" s="399"/>
      <c r="C12" s="422" t="s">
        <v>373</v>
      </c>
      <c r="D12" s="423"/>
      <c r="E12" s="126" t="s">
        <v>5</v>
      </c>
      <c r="F12" s="90">
        <v>12</v>
      </c>
      <c r="G12" s="90"/>
      <c r="H12" s="90"/>
      <c r="I12" s="90"/>
      <c r="J12" s="90"/>
      <c r="K12" s="90"/>
      <c r="L12" s="90"/>
      <c r="M12" s="90">
        <v>15</v>
      </c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373"/>
      <c r="AF12" s="97">
        <f>SUM(F12:AD12)</f>
        <v>27</v>
      </c>
      <c r="AG12" s="276"/>
      <c r="AH12" s="364"/>
      <c r="AI12" s="365"/>
      <c r="AJ12" s="365"/>
      <c r="AK12" s="366"/>
      <c r="AL12" s="367"/>
      <c r="AM12" s="15"/>
    </row>
    <row r="13" spans="1:75" ht="12.75">
      <c r="A13" s="396"/>
      <c r="B13" s="399"/>
      <c r="C13" s="387" t="s">
        <v>374</v>
      </c>
      <c r="D13" s="387"/>
      <c r="E13" s="126" t="s">
        <v>375</v>
      </c>
      <c r="F13" s="91">
        <f>((0.702*0.585*F9)+(1.27*0.585*F10)+(1.74*0.585*F11)+(((1.02+1.74*0.585+0.64*0.585)*F8)))*1.3*30</f>
        <v>152.02979999999999</v>
      </c>
      <c r="G13" s="91">
        <f t="shared" ref="G13:AB13" si="5">((0.702*0.585*G9)+(1.27*0.585*G10)+(1.74*0.585*G11)+(((1.02+1.74*0.585+0.64*0.585)*G8)))*1.3*30</f>
        <v>126.11195999999998</v>
      </c>
      <c r="H13" s="91">
        <f t="shared" si="5"/>
        <v>158.14421999999999</v>
      </c>
      <c r="I13" s="91">
        <f t="shared" si="5"/>
        <v>126.11195999999998</v>
      </c>
      <c r="J13" s="91">
        <f t="shared" si="5"/>
        <v>126.11195999999998</v>
      </c>
      <c r="K13" s="91">
        <f t="shared" si="5"/>
        <v>158.14421999999999</v>
      </c>
      <c r="L13" s="91">
        <f>((0.702*0.585*L9)+(1.27*0.585*L10)+(1.74*0.585*L11)+(((1.02+1.74*0.585+0.64*0.585)*L8)))*1.3*30</f>
        <v>126.11195999999998</v>
      </c>
      <c r="M13" s="91">
        <f t="shared" si="5"/>
        <v>158.14421999999999</v>
      </c>
      <c r="N13" s="91">
        <f>((0.702*0.585*N9)+(1.27*0.585*N10)+(1.74*0.585*N11)+(((1.02+1.74*0.585+0.64*0.585)*N8)))*1.3*30</f>
        <v>126.11195999999998</v>
      </c>
      <c r="O13" s="91">
        <f t="shared" si="5"/>
        <v>152.02979999999999</v>
      </c>
      <c r="P13" s="91">
        <f t="shared" si="5"/>
        <v>209.97990000000001</v>
      </c>
      <c r="Q13" s="91">
        <f t="shared" si="5"/>
        <v>94.079700000000003</v>
      </c>
      <c r="R13" s="91">
        <f t="shared" si="5"/>
        <v>94.079700000000003</v>
      </c>
      <c r="S13" s="91">
        <f t="shared" si="5"/>
        <v>94.079700000000003</v>
      </c>
      <c r="T13" s="91">
        <f t="shared" si="5"/>
        <v>94.079700000000003</v>
      </c>
      <c r="U13" s="91">
        <f t="shared" si="5"/>
        <v>32.032259999999994</v>
      </c>
      <c r="V13" s="91">
        <f t="shared" si="5"/>
        <v>126.11195999999998</v>
      </c>
      <c r="W13" s="91">
        <f t="shared" si="5"/>
        <v>57.950099999999999</v>
      </c>
      <c r="X13" s="91">
        <f>((0.702*0.585*X9)+(1.27*0.585*X10)+(1.74*0.585*X11)+(((1.02+1.74*0.585+0.64*0.585)*X8)))*1.3*30</f>
        <v>126.11195999999998</v>
      </c>
      <c r="Y13" s="91">
        <f t="shared" si="5"/>
        <v>126.11195999999998</v>
      </c>
      <c r="Z13" s="91">
        <f t="shared" si="5"/>
        <v>32.032259999999994</v>
      </c>
      <c r="AA13" s="91">
        <f t="shared" si="5"/>
        <v>126.11195999999998</v>
      </c>
      <c r="AB13" s="91">
        <f t="shared" si="5"/>
        <v>126.11195999999998</v>
      </c>
      <c r="AC13" s="91">
        <f>((0.702*0.585*AC9)+(1.27*0.585*AC10)+(1.74*0.585*AC11)+(((1.02+1.74*0.585+0.64*0.585)*AC8)))*1.3*30</f>
        <v>32.032259999999994</v>
      </c>
      <c r="AD13" s="90"/>
      <c r="AE13" s="373"/>
      <c r="AF13" s="97">
        <f>SUM(F13:AD13)</f>
        <v>2779.9574400000006</v>
      </c>
      <c r="AG13" s="276"/>
      <c r="AH13" s="276"/>
      <c r="AK13" s="16"/>
      <c r="AL13" s="18"/>
      <c r="AM13" s="15"/>
    </row>
    <row r="14" spans="1:75" ht="12.75">
      <c r="A14" s="396"/>
      <c r="B14" s="400"/>
      <c r="C14" s="392" t="s">
        <v>39</v>
      </c>
      <c r="D14" s="392"/>
      <c r="E14" s="127" t="s">
        <v>38</v>
      </c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373"/>
      <c r="AF14" s="143"/>
      <c r="AG14" s="276"/>
      <c r="AH14" s="276"/>
      <c r="AK14" s="16"/>
      <c r="AL14" s="18"/>
      <c r="AM14" s="15"/>
    </row>
    <row r="15" spans="1:75" ht="12.75">
      <c r="A15" s="396"/>
      <c r="B15" s="419" t="s">
        <v>368</v>
      </c>
      <c r="C15" s="420"/>
      <c r="D15" s="421"/>
      <c r="E15" s="351" t="s">
        <v>5</v>
      </c>
      <c r="F15" s="90">
        <f>F8*11.6</f>
        <v>11.6</v>
      </c>
      <c r="G15" s="90">
        <f t="shared" ref="G15:AB15" si="6">G8*11.6</f>
        <v>11.6</v>
      </c>
      <c r="H15" s="90">
        <f t="shared" si="6"/>
        <v>11.6</v>
      </c>
      <c r="I15" s="90">
        <f t="shared" si="6"/>
        <v>11.6</v>
      </c>
      <c r="J15" s="90">
        <f t="shared" si="6"/>
        <v>11.6</v>
      </c>
      <c r="K15" s="90">
        <f t="shared" si="6"/>
        <v>11.6</v>
      </c>
      <c r="L15" s="90">
        <f t="shared" si="6"/>
        <v>11.6</v>
      </c>
      <c r="M15" s="90">
        <f t="shared" si="6"/>
        <v>11.6</v>
      </c>
      <c r="N15" s="90">
        <f t="shared" si="6"/>
        <v>11.6</v>
      </c>
      <c r="O15" s="90">
        <f t="shared" si="6"/>
        <v>11.6</v>
      </c>
      <c r="P15" s="90">
        <f t="shared" si="6"/>
        <v>11.6</v>
      </c>
      <c r="Q15" s="90">
        <f t="shared" si="6"/>
        <v>11.6</v>
      </c>
      <c r="R15" s="90">
        <f t="shared" si="6"/>
        <v>11.6</v>
      </c>
      <c r="S15" s="90">
        <f t="shared" si="6"/>
        <v>11.6</v>
      </c>
      <c r="T15" s="90">
        <f t="shared" si="6"/>
        <v>11.6</v>
      </c>
      <c r="U15" s="90"/>
      <c r="V15" s="90">
        <f t="shared" si="6"/>
        <v>11.6</v>
      </c>
      <c r="W15" s="90"/>
      <c r="X15" s="90">
        <f t="shared" si="6"/>
        <v>11.6</v>
      </c>
      <c r="Y15" s="90">
        <f t="shared" si="6"/>
        <v>11.6</v>
      </c>
      <c r="Z15" s="90"/>
      <c r="AA15" s="90">
        <f t="shared" si="6"/>
        <v>11.6</v>
      </c>
      <c r="AB15" s="90">
        <f t="shared" si="6"/>
        <v>11.6</v>
      </c>
      <c r="AC15" s="90"/>
      <c r="AD15" s="90"/>
      <c r="AE15" s="374"/>
      <c r="AF15" s="363">
        <f>SUM(F15:AD15)</f>
        <v>231.99999999999991</v>
      </c>
      <c r="AG15" s="276"/>
      <c r="AH15" s="276"/>
      <c r="AK15" s="16"/>
      <c r="AL15" s="18"/>
      <c r="AM15" s="15"/>
    </row>
    <row r="16" spans="1:75" ht="15" customHeight="1">
      <c r="A16" s="396"/>
      <c r="B16" s="389" t="s">
        <v>40</v>
      </c>
      <c r="C16" s="389"/>
      <c r="D16" s="102" t="s">
        <v>41</v>
      </c>
      <c r="E16" s="128" t="s">
        <v>5</v>
      </c>
      <c r="F16" s="91">
        <f>DIMENS!X16</f>
        <v>0.95999999999997954</v>
      </c>
      <c r="G16" s="91">
        <f>DIMENS!X17</f>
        <v>0.85000000000002274</v>
      </c>
      <c r="H16" s="91">
        <f>DIMENS!X18</f>
        <v>1.1640000000000441</v>
      </c>
      <c r="I16" s="91">
        <f>DIMENS!X19</f>
        <v>1.2100000000000364</v>
      </c>
      <c r="J16" s="91">
        <f>DIMENS!X20</f>
        <v>0.93000000000000682</v>
      </c>
      <c r="K16" s="91">
        <f>DIMENS!X21</f>
        <v>1.4470000000000596</v>
      </c>
      <c r="L16" s="91">
        <f>DIMENS!X22</f>
        <v>1.4015000000000555</v>
      </c>
      <c r="M16" s="91">
        <f>DIMENS!X23</f>
        <v>1.2130000000000791</v>
      </c>
      <c r="N16" s="91">
        <f>DIMENS!X24</f>
        <v>1.1515000000001123</v>
      </c>
      <c r="O16" s="91">
        <f>DIMENS!X25</f>
        <v>0.70999999999997954</v>
      </c>
      <c r="P16" s="91">
        <f>DIMENS!X26</f>
        <v>0.95400000000000773</v>
      </c>
      <c r="Q16" s="91">
        <f>DIMENS!X27</f>
        <v>0.8629999999999427</v>
      </c>
      <c r="R16" s="91">
        <f>DIMENS!X28</f>
        <v>2.1105000000001155</v>
      </c>
      <c r="S16" s="91">
        <f>DIMENS!X29</f>
        <v>2.1345000000001733</v>
      </c>
      <c r="T16" s="91">
        <f>DIMENS!X30</f>
        <v>1.914500000000146</v>
      </c>
      <c r="U16" s="91">
        <v>0</v>
      </c>
      <c r="V16" s="91">
        <v>0</v>
      </c>
      <c r="W16" s="91">
        <v>0</v>
      </c>
      <c r="X16" s="91">
        <v>0</v>
      </c>
      <c r="Y16" s="91">
        <v>0</v>
      </c>
      <c r="Z16" s="91">
        <v>0</v>
      </c>
      <c r="AA16" s="91">
        <v>0</v>
      </c>
      <c r="AB16" s="91">
        <v>0</v>
      </c>
      <c r="AC16" s="91">
        <v>0</v>
      </c>
      <c r="AD16" s="91">
        <v>0.8</v>
      </c>
      <c r="AE16" s="116"/>
      <c r="AF16" s="120"/>
      <c r="AG16" s="277"/>
      <c r="AH16" s="410" t="s">
        <v>42</v>
      </c>
      <c r="AI16" s="409" t="s">
        <v>21</v>
      </c>
      <c r="AJ16" s="409" t="s">
        <v>22</v>
      </c>
      <c r="AK16" s="409" t="s">
        <v>23</v>
      </c>
      <c r="AL16" s="409" t="s">
        <v>43</v>
      </c>
      <c r="AM16" s="15"/>
    </row>
    <row r="17" spans="1:39" ht="16.5" customHeight="1">
      <c r="A17" s="396"/>
      <c r="B17" s="389"/>
      <c r="C17" s="389"/>
      <c r="D17" s="101" t="s">
        <v>44</v>
      </c>
      <c r="E17" s="124" t="s">
        <v>5</v>
      </c>
      <c r="F17" s="91">
        <f>DIMENS!Y16</f>
        <v>0.93000000000000682</v>
      </c>
      <c r="G17" s="91">
        <f>DIMENS!Y17</f>
        <v>1.1640000000000441</v>
      </c>
      <c r="H17" s="91">
        <f>DIMENS!Y18</f>
        <v>1.2100000000000364</v>
      </c>
      <c r="I17" s="91">
        <f>DIMENS!Y19</f>
        <v>1.2470000000000709</v>
      </c>
      <c r="J17" s="91">
        <f>DIMENS!Y20</f>
        <v>1.0820000000000505</v>
      </c>
      <c r="K17" s="91">
        <f>DIMENS!Y21</f>
        <v>1.4015000000000555</v>
      </c>
      <c r="L17" s="91">
        <f>DIMENS!Y22</f>
        <v>1.2130000000000791</v>
      </c>
      <c r="M17" s="91">
        <f>DIMENS!Y23</f>
        <v>1.1515000000001123</v>
      </c>
      <c r="N17" s="91">
        <f>DIMENS!Y24</f>
        <v>1.570500000000095</v>
      </c>
      <c r="O17" s="91">
        <f>DIMENS!Y25</f>
        <v>0.95400000000000773</v>
      </c>
      <c r="P17" s="91">
        <f>DIMENS!Y26</f>
        <v>0.8629999999999427</v>
      </c>
      <c r="Q17" s="91">
        <f>DIMENS!Y27</f>
        <v>1.3569999999999141</v>
      </c>
      <c r="R17" s="91">
        <f>DIMENS!Y28</f>
        <v>2.1345000000001733</v>
      </c>
      <c r="S17" s="91">
        <f>DIMENS!Y29</f>
        <v>1.914500000000146</v>
      </c>
      <c r="T17" s="91">
        <f>DIMENS!Y30</f>
        <v>1.3295000000001664</v>
      </c>
      <c r="U17" s="91">
        <v>0</v>
      </c>
      <c r="V17" s="91">
        <v>0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0</v>
      </c>
      <c r="AD17" s="91">
        <v>1.5</v>
      </c>
      <c r="AE17" s="375"/>
      <c r="AF17" s="140"/>
      <c r="AG17" s="277"/>
      <c r="AH17" s="411"/>
      <c r="AI17" s="409"/>
      <c r="AJ17" s="409"/>
      <c r="AK17" s="409"/>
      <c r="AL17" s="409"/>
      <c r="AM17" s="15"/>
    </row>
    <row r="18" spans="1:39" ht="24" customHeight="1">
      <c r="A18" s="396"/>
      <c r="B18" s="390" t="s">
        <v>335</v>
      </c>
      <c r="C18" s="390"/>
      <c r="D18" s="390"/>
      <c r="E18" s="129" t="s">
        <v>5</v>
      </c>
      <c r="F18" s="39">
        <v>0.3</v>
      </c>
      <c r="G18" s="39">
        <v>0.3</v>
      </c>
      <c r="H18" s="39">
        <v>0.3</v>
      </c>
      <c r="I18" s="39">
        <v>0.3</v>
      </c>
      <c r="J18" s="39">
        <v>0.3</v>
      </c>
      <c r="K18" s="39">
        <v>0.3</v>
      </c>
      <c r="L18" s="39">
        <v>0.3</v>
      </c>
      <c r="M18" s="39">
        <v>0.3</v>
      </c>
      <c r="N18" s="39">
        <v>0.3</v>
      </c>
      <c r="O18" s="39">
        <v>0.3</v>
      </c>
      <c r="P18" s="39">
        <v>0.3</v>
      </c>
      <c r="Q18" s="39">
        <v>0.3</v>
      </c>
      <c r="R18" s="39" t="s">
        <v>31</v>
      </c>
      <c r="S18" s="39">
        <v>0.3</v>
      </c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116"/>
      <c r="AF18" s="141"/>
      <c r="AG18" s="277"/>
      <c r="AH18" s="411"/>
      <c r="AI18" s="26">
        <v>400</v>
      </c>
      <c r="AJ18" s="26">
        <f>AF6</f>
        <v>459</v>
      </c>
      <c r="AK18" s="27">
        <v>400</v>
      </c>
      <c r="AL18" s="280">
        <f>(48/6)/1000</f>
        <v>8.0000000000000002E-3</v>
      </c>
      <c r="AM18" s="15"/>
    </row>
    <row r="19" spans="1:39" ht="24" customHeight="1">
      <c r="A19" s="396"/>
      <c r="B19" s="390" t="s">
        <v>334</v>
      </c>
      <c r="C19" s="390"/>
      <c r="D19" s="390"/>
      <c r="E19" s="129" t="s">
        <v>5</v>
      </c>
      <c r="F19" s="39">
        <v>0.08</v>
      </c>
      <c r="G19" s="39">
        <v>0.08</v>
      </c>
      <c r="H19" s="39">
        <v>0.08</v>
      </c>
      <c r="I19" s="39">
        <v>0.08</v>
      </c>
      <c r="J19" s="39">
        <v>0.08</v>
      </c>
      <c r="K19" s="39">
        <v>0.08</v>
      </c>
      <c r="L19" s="39">
        <v>0.08</v>
      </c>
      <c r="M19" s="39">
        <v>0.08</v>
      </c>
      <c r="N19" s="39">
        <v>0.08</v>
      </c>
      <c r="O19" s="39">
        <v>0.08</v>
      </c>
      <c r="P19" s="39">
        <v>0.08</v>
      </c>
      <c r="Q19" s="39">
        <v>0.08</v>
      </c>
      <c r="R19" s="39" t="s">
        <v>31</v>
      </c>
      <c r="S19" s="39">
        <v>0.08</v>
      </c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116"/>
      <c r="AF19" s="141"/>
      <c r="AG19" s="277"/>
      <c r="AH19" s="411"/>
      <c r="AI19" s="26"/>
      <c r="AJ19" s="26"/>
      <c r="AK19" s="27"/>
      <c r="AL19" s="280"/>
      <c r="AM19" s="15"/>
    </row>
    <row r="20" spans="1:39" ht="15" customHeight="1">
      <c r="A20" s="396"/>
      <c r="B20" s="389" t="s">
        <v>45</v>
      </c>
      <c r="C20" s="389"/>
      <c r="D20" s="389"/>
      <c r="E20" s="130" t="s">
        <v>31</v>
      </c>
      <c r="F20" s="95">
        <v>5</v>
      </c>
      <c r="G20" s="95">
        <v>5</v>
      </c>
      <c r="H20" s="95">
        <v>5</v>
      </c>
      <c r="I20" s="95">
        <v>5</v>
      </c>
      <c r="J20" s="95">
        <v>5</v>
      </c>
      <c r="K20" s="95">
        <v>5</v>
      </c>
      <c r="L20" s="95">
        <v>5</v>
      </c>
      <c r="M20" s="95">
        <v>5</v>
      </c>
      <c r="N20" s="95">
        <v>5</v>
      </c>
      <c r="O20" s="95">
        <v>5</v>
      </c>
      <c r="P20" s="95">
        <v>5</v>
      </c>
      <c r="Q20" s="95">
        <v>5</v>
      </c>
      <c r="R20" s="95" t="s">
        <v>31</v>
      </c>
      <c r="S20" s="95">
        <v>5</v>
      </c>
      <c r="T20" s="95">
        <v>5</v>
      </c>
      <c r="U20" s="95"/>
      <c r="V20" s="95"/>
      <c r="W20" s="95"/>
      <c r="X20" s="95"/>
      <c r="Y20" s="95"/>
      <c r="Z20" s="95"/>
      <c r="AA20" s="95"/>
      <c r="AB20" s="95"/>
      <c r="AC20" s="95"/>
      <c r="AD20" s="95">
        <v>5</v>
      </c>
      <c r="AE20" s="376"/>
      <c r="AF20" s="138"/>
      <c r="AG20" s="277"/>
      <c r="AH20" s="411"/>
      <c r="AI20" s="26">
        <v>600</v>
      </c>
      <c r="AJ20" s="26">
        <f>SUMIF($F$4:$AE$4,600,$F$2:$AE$2)</f>
        <v>351</v>
      </c>
      <c r="AK20" s="27">
        <v>600</v>
      </c>
      <c r="AL20" s="370">
        <f>(100/6)/1000</f>
        <v>1.6666666666666666E-2</v>
      </c>
      <c r="AM20" s="53"/>
    </row>
    <row r="21" spans="1:39" ht="24" customHeight="1">
      <c r="A21" s="396"/>
      <c r="B21" s="390" t="s">
        <v>46</v>
      </c>
      <c r="C21" s="390"/>
      <c r="D21" s="99" t="s">
        <v>47</v>
      </c>
      <c r="E21" s="125" t="s">
        <v>5</v>
      </c>
      <c r="F21" s="39">
        <f t="shared" ref="F21:AD21" si="7">AVERAGE(F16:F17)</f>
        <v>0.94499999999999318</v>
      </c>
      <c r="G21" s="39">
        <f t="shared" si="7"/>
        <v>1.0070000000000334</v>
      </c>
      <c r="H21" s="39">
        <f t="shared" ref="H21:K21" si="8">AVERAGE(H16:H17)</f>
        <v>1.1870000000000402</v>
      </c>
      <c r="I21" s="39">
        <f t="shared" si="8"/>
        <v>1.2285000000000537</v>
      </c>
      <c r="J21" s="39">
        <f t="shared" si="8"/>
        <v>1.0060000000000286</v>
      </c>
      <c r="K21" s="39">
        <f t="shared" si="8"/>
        <v>1.4242500000000575</v>
      </c>
      <c r="L21" s="39">
        <f>AVERAGE(L16:L17)</f>
        <v>1.3072500000000673</v>
      </c>
      <c r="M21" s="39">
        <f>AVERAGE(M16:M17)</f>
        <v>1.1822500000000957</v>
      </c>
      <c r="N21" s="39">
        <f>AVERAGE(N16:N17)</f>
        <v>1.3610000000001037</v>
      </c>
      <c r="O21" s="39">
        <f>AVERAGE(O16:O17)</f>
        <v>0.83199999999999363</v>
      </c>
      <c r="P21" s="39">
        <f t="shared" ref="P21:T21" si="9">AVERAGE(P16:P17)</f>
        <v>0.90849999999997522</v>
      </c>
      <c r="Q21" s="39">
        <f t="shared" si="9"/>
        <v>1.1099999999999284</v>
      </c>
      <c r="R21" s="39" t="s">
        <v>31</v>
      </c>
      <c r="S21" s="39">
        <f t="shared" si="9"/>
        <v>2.0245000000001596</v>
      </c>
      <c r="T21" s="39">
        <f t="shared" si="9"/>
        <v>1.6220000000001562</v>
      </c>
      <c r="U21" s="39"/>
      <c r="V21" s="39"/>
      <c r="W21" s="39"/>
      <c r="X21" s="39"/>
      <c r="Y21" s="39"/>
      <c r="Z21" s="39"/>
      <c r="AA21" s="39"/>
      <c r="AB21" s="39"/>
      <c r="AC21" s="39"/>
      <c r="AD21" s="39">
        <f t="shared" si="7"/>
        <v>1.1499999999999999</v>
      </c>
      <c r="AE21" s="116"/>
      <c r="AF21" s="137">
        <f>SUM(F21:AD21)</f>
        <v>18.295250000000685</v>
      </c>
      <c r="AG21" s="276"/>
      <c r="AH21" s="411"/>
      <c r="AI21" s="26">
        <v>800</v>
      </c>
      <c r="AJ21" s="26">
        <f>SUMIF($F$4:$AE$4,800,$F$2:$AE$2)</f>
        <v>232</v>
      </c>
      <c r="AK21" s="27">
        <v>800</v>
      </c>
      <c r="AL21" s="370">
        <f>(195/6)/1000</f>
        <v>3.2500000000000001E-2</v>
      </c>
      <c r="AM21" s="15"/>
    </row>
    <row r="22" spans="1:39" ht="24" customHeight="1">
      <c r="A22" s="396"/>
      <c r="B22" s="391"/>
      <c r="C22" s="391"/>
      <c r="D22" s="100" t="s">
        <v>48</v>
      </c>
      <c r="E22" s="126" t="s">
        <v>5</v>
      </c>
      <c r="F22" s="39">
        <f>F21+F18+0.21*F4/1000</f>
        <v>1.3709999999999933</v>
      </c>
      <c r="G22" s="39">
        <f t="shared" ref="G22:AD22" si="10">G21+G18+0.21*G4/1000</f>
        <v>1.4330000000000336</v>
      </c>
      <c r="H22" s="39">
        <f t="shared" si="10"/>
        <v>1.6130000000000404</v>
      </c>
      <c r="I22" s="39">
        <f t="shared" si="10"/>
        <v>1.6545000000000538</v>
      </c>
      <c r="J22" s="39">
        <f t="shared" si="10"/>
        <v>1.4320000000000288</v>
      </c>
      <c r="K22" s="39">
        <f t="shared" si="10"/>
        <v>1.8922500000000575</v>
      </c>
      <c r="L22" s="39">
        <f t="shared" ref="L22:P22" si="11">L21+L18+0.21*L4/1000</f>
        <v>1.7752500000000673</v>
      </c>
      <c r="M22" s="39">
        <f t="shared" ref="M22:O22" si="12">M21+M18+0.21*M4/1000</f>
        <v>1.6502500000000957</v>
      </c>
      <c r="N22" s="39">
        <f t="shared" si="12"/>
        <v>1.8290000000001037</v>
      </c>
      <c r="O22" s="39">
        <f t="shared" si="12"/>
        <v>1.2579999999999938</v>
      </c>
      <c r="P22" s="39">
        <f t="shared" si="11"/>
        <v>1.3344999999999754</v>
      </c>
      <c r="Q22" s="39">
        <f t="shared" ref="Q22:T22" si="13">Q21+Q18+0.21*Q4/1000</f>
        <v>1.5359999999999285</v>
      </c>
      <c r="R22" s="39" t="s">
        <v>351</v>
      </c>
      <c r="S22" s="39">
        <f t="shared" si="13"/>
        <v>2.4925000000001596</v>
      </c>
      <c r="T22" s="39">
        <f t="shared" si="13"/>
        <v>1.7900000000001561</v>
      </c>
      <c r="U22" s="39"/>
      <c r="V22" s="39"/>
      <c r="W22" s="39"/>
      <c r="X22" s="39"/>
      <c r="Y22" s="39"/>
      <c r="Z22" s="39"/>
      <c r="AA22" s="39"/>
      <c r="AB22" s="39"/>
      <c r="AC22" s="39"/>
      <c r="AD22" s="39">
        <f t="shared" si="10"/>
        <v>1.234</v>
      </c>
      <c r="AE22" s="116">
        <f>(AVERAGE(F22:AD22)-1)*AF8</f>
        <v>12.393666666667581</v>
      </c>
      <c r="AF22" s="97">
        <f>SUM(F22:AD22)</f>
        <v>24.295250000000685</v>
      </c>
      <c r="AG22" s="276"/>
      <c r="AH22" s="411"/>
      <c r="AI22" s="26">
        <v>1050</v>
      </c>
      <c r="AJ22" s="26">
        <f>SUMIF($F$4:$AE$4,1000,$F$2:$AE$2)</f>
        <v>0</v>
      </c>
      <c r="AK22" s="27">
        <v>1050</v>
      </c>
      <c r="AL22" s="280">
        <f>(244/6)/1000</f>
        <v>4.0666666666666663E-2</v>
      </c>
      <c r="AM22" s="15"/>
    </row>
    <row r="23" spans="1:39" ht="20.25" customHeight="1">
      <c r="A23" s="396"/>
      <c r="B23" s="392" t="s">
        <v>49</v>
      </c>
      <c r="C23" s="392"/>
      <c r="D23" s="100" t="s">
        <v>50</v>
      </c>
      <c r="E23" s="126" t="s">
        <v>5</v>
      </c>
      <c r="F23" s="39">
        <f>IF(F3&gt;1,F3*1.49*F4/1000+((F3-1)+2)*0.5,2*F4/1000)</f>
        <v>1.2</v>
      </c>
      <c r="G23" s="39">
        <f t="shared" ref="G23:AD23" si="14">IF(G3&gt;1,G3*1.49*G4/1000+((G3-1)+2)*0.5,2*G4/1000)</f>
        <v>1.2</v>
      </c>
      <c r="H23" s="39">
        <f t="shared" si="14"/>
        <v>1.2</v>
      </c>
      <c r="I23" s="39">
        <f t="shared" si="14"/>
        <v>1.2</v>
      </c>
      <c r="J23" s="39">
        <f t="shared" si="14"/>
        <v>1.2</v>
      </c>
      <c r="K23" s="39">
        <f t="shared" si="14"/>
        <v>1.6</v>
      </c>
      <c r="L23" s="39">
        <f t="shared" ref="L23:P23" si="15">IF(L3&gt;1,L3*1.49*L4/1000+((L3-1)+2)*0.5,2*L4/1000)</f>
        <v>1.6</v>
      </c>
      <c r="M23" s="39">
        <f t="shared" ref="M23:O23" si="16">IF(M3&gt;1,M3*1.49*M4/1000+((M3-1)+2)*0.5,2*M4/1000)</f>
        <v>1.6</v>
      </c>
      <c r="N23" s="39">
        <f t="shared" si="16"/>
        <v>1.6</v>
      </c>
      <c r="O23" s="39">
        <f t="shared" si="16"/>
        <v>1.2</v>
      </c>
      <c r="P23" s="39">
        <f t="shared" si="15"/>
        <v>1.2</v>
      </c>
      <c r="Q23" s="39">
        <f t="shared" ref="Q23:T23" si="17">IF(Q3&gt;1,Q3*1.49*Q4/1000+((Q3-1)+2)*0.5,2*Q4/1000)</f>
        <v>1.2</v>
      </c>
      <c r="R23" s="39"/>
      <c r="S23" s="39">
        <f t="shared" si="17"/>
        <v>1.6</v>
      </c>
      <c r="T23" s="39">
        <f t="shared" si="17"/>
        <v>1.6</v>
      </c>
      <c r="U23" s="39"/>
      <c r="V23" s="39"/>
      <c r="W23" s="39"/>
      <c r="X23" s="39"/>
      <c r="Y23" s="39"/>
      <c r="Z23" s="39"/>
      <c r="AA23" s="39"/>
      <c r="AB23" s="39"/>
      <c r="AC23" s="39"/>
      <c r="AD23" s="39">
        <f t="shared" si="14"/>
        <v>0.8</v>
      </c>
      <c r="AE23" s="116"/>
      <c r="AF23" s="97">
        <f t="shared" ref="AF23:AF45" si="18">SUM(F23:AD23)</f>
        <v>20</v>
      </c>
      <c r="AG23" s="276"/>
      <c r="AH23" s="411"/>
      <c r="AI23" s="26">
        <v>1200</v>
      </c>
      <c r="AJ23" s="26">
        <f>SUMIF($F$4:$AE$4,1200,$F$2:$AE$2)</f>
        <v>29</v>
      </c>
      <c r="AK23" s="27">
        <v>1200</v>
      </c>
      <c r="AL23" s="384">
        <f>(217.02/6)/1000</f>
        <v>3.6170000000000001E-2</v>
      </c>
      <c r="AM23" s="15"/>
    </row>
    <row r="24" spans="1:39" ht="16.5" customHeight="1">
      <c r="A24" s="396"/>
      <c r="B24" s="390"/>
      <c r="C24" s="390"/>
      <c r="D24" s="98" t="s">
        <v>51</v>
      </c>
      <c r="E24" s="127" t="s">
        <v>5</v>
      </c>
      <c r="F24" s="39">
        <f>F23+2*(1/F20)*F22</f>
        <v>1.7483999999999973</v>
      </c>
      <c r="G24" s="39">
        <f t="shared" ref="G24:AD24" si="19">G23+2*(1/G20)*G22</f>
        <v>1.7732000000000134</v>
      </c>
      <c r="H24" s="39">
        <f t="shared" ref="H24:K24" si="20">H23+2*(1/H20)*H22</f>
        <v>1.8452000000000162</v>
      </c>
      <c r="I24" s="39">
        <f t="shared" si="20"/>
        <v>1.8618000000000214</v>
      </c>
      <c r="J24" s="39">
        <f t="shared" si="20"/>
        <v>1.7728000000000115</v>
      </c>
      <c r="K24" s="39">
        <f t="shared" si="20"/>
        <v>2.3569000000000231</v>
      </c>
      <c r="L24" s="39">
        <f t="shared" ref="L24:P24" si="21">L23+2*(1/L20)*L22</f>
        <v>2.3101000000000269</v>
      </c>
      <c r="M24" s="39">
        <f t="shared" ref="M24:O24" si="22">M23+2*(1/M20)*M22</f>
        <v>2.2601000000000386</v>
      </c>
      <c r="N24" s="39">
        <f t="shared" si="22"/>
        <v>2.3316000000000416</v>
      </c>
      <c r="O24" s="39">
        <f t="shared" si="22"/>
        <v>1.7031999999999976</v>
      </c>
      <c r="P24" s="39">
        <f t="shared" si="21"/>
        <v>1.7337999999999902</v>
      </c>
      <c r="Q24" s="39">
        <f t="shared" ref="Q24:T24" si="23">Q23+2*(1/Q20)*Q22</f>
        <v>1.8143999999999714</v>
      </c>
      <c r="R24" s="39" t="s">
        <v>31</v>
      </c>
      <c r="S24" s="39">
        <f t="shared" si="23"/>
        <v>2.5970000000000639</v>
      </c>
      <c r="T24" s="39">
        <f t="shared" si="23"/>
        <v>2.3160000000000625</v>
      </c>
      <c r="U24" s="39"/>
      <c r="V24" s="39"/>
      <c r="W24" s="39"/>
      <c r="X24" s="39"/>
      <c r="Y24" s="39"/>
      <c r="Z24" s="39"/>
      <c r="AA24" s="39"/>
      <c r="AB24" s="39"/>
      <c r="AC24" s="39"/>
      <c r="AD24" s="39">
        <f t="shared" si="19"/>
        <v>1.2936000000000001</v>
      </c>
      <c r="AE24" s="116"/>
      <c r="AF24" s="143">
        <f t="shared" si="18"/>
        <v>29.71810000000028</v>
      </c>
      <c r="AG24" s="276"/>
      <c r="AH24" s="411"/>
      <c r="AI24" s="26">
        <v>1500</v>
      </c>
      <c r="AJ24" s="26">
        <f>SUMIF($F$4:$AE$4,1500,$F$2:$AE$2)</f>
        <v>0</v>
      </c>
      <c r="AK24" s="27">
        <v>1500</v>
      </c>
      <c r="AL24" s="280">
        <f>(400/6)/1000</f>
        <v>6.6666666666666666E-2</v>
      </c>
      <c r="AM24" s="15"/>
    </row>
    <row r="25" spans="1:39" ht="15.75" customHeight="1">
      <c r="A25" s="396"/>
      <c r="B25" s="416" t="s">
        <v>352</v>
      </c>
      <c r="C25" s="417"/>
      <c r="D25" s="418"/>
      <c r="E25" s="124" t="s">
        <v>276</v>
      </c>
      <c r="F25" s="39">
        <f>F2*(F23*2+0.76)</f>
        <v>66.36</v>
      </c>
      <c r="G25" s="39">
        <f t="shared" ref="G25:Q25" si="24">G2*(G23*2+0.76)</f>
        <v>195.92000000000002</v>
      </c>
      <c r="H25" s="39">
        <f>H2*(H23*2+0.76)</f>
        <v>132.72</v>
      </c>
      <c r="I25" s="39">
        <f t="shared" si="24"/>
        <v>132.72</v>
      </c>
      <c r="J25" s="39">
        <f>J2*(J23*2+0.76)</f>
        <v>142.20000000000002</v>
      </c>
      <c r="K25" s="39">
        <f t="shared" si="24"/>
        <v>201.96</v>
      </c>
      <c r="L25" s="39">
        <f t="shared" si="24"/>
        <v>194.04</v>
      </c>
      <c r="M25" s="39">
        <f t="shared" si="24"/>
        <v>225.72</v>
      </c>
      <c r="N25" s="39">
        <f t="shared" si="24"/>
        <v>102.96</v>
      </c>
      <c r="O25" s="39">
        <f t="shared" si="24"/>
        <v>158</v>
      </c>
      <c r="P25" s="39">
        <f t="shared" si="24"/>
        <v>66.36</v>
      </c>
      <c r="Q25" s="39">
        <f t="shared" si="24"/>
        <v>214.88</v>
      </c>
      <c r="R25" s="39"/>
      <c r="S25" s="39">
        <f>S2*(S23*2+0.76)</f>
        <v>142.56</v>
      </c>
      <c r="T25" s="39">
        <f>T2*(T23*2+0.76)</f>
        <v>51.48</v>
      </c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116"/>
      <c r="AF25" s="141">
        <f>(SUM(F25:T25))</f>
        <v>2027.88</v>
      </c>
      <c r="AG25" s="276"/>
      <c r="AH25" s="411"/>
      <c r="AI25" s="26"/>
      <c r="AJ25" s="26"/>
      <c r="AK25" s="27"/>
      <c r="AL25" s="280"/>
      <c r="AM25" s="15"/>
    </row>
    <row r="26" spans="1:39" ht="3" hidden="1" customHeight="1">
      <c r="A26" s="396"/>
      <c r="B26" s="401" t="s">
        <v>52</v>
      </c>
      <c r="C26" s="107" t="s">
        <v>53</v>
      </c>
      <c r="D26" s="102" t="s">
        <v>54</v>
      </c>
      <c r="E26" s="131" t="s">
        <v>4</v>
      </c>
      <c r="F26" s="39" t="str">
        <f t="shared" ref="F26:L26" si="25">IF(AND(F22&lt;=1.5,F24&lt;=0.8),(F24+F23)*F22/2*F2,"")</f>
        <v/>
      </c>
      <c r="G26" s="39" t="str">
        <f t="shared" si="25"/>
        <v/>
      </c>
      <c r="H26" s="39" t="str">
        <f t="shared" si="25"/>
        <v/>
      </c>
      <c r="I26" s="39" t="str">
        <f t="shared" si="25"/>
        <v/>
      </c>
      <c r="J26" s="39" t="str">
        <f t="shared" si="25"/>
        <v/>
      </c>
      <c r="K26" s="39" t="str">
        <f t="shared" si="25"/>
        <v/>
      </c>
      <c r="L26" s="39" t="str">
        <f t="shared" si="25"/>
        <v/>
      </c>
      <c r="M26" s="39" t="str">
        <f t="shared" ref="M26:O26" si="26">IF(AND(M22&lt;=1.5,M24&lt;=0.8),(M24+M23)*M22/2*M2,"")</f>
        <v/>
      </c>
      <c r="N26" s="39" t="str">
        <f t="shared" si="26"/>
        <v/>
      </c>
      <c r="O26" s="39" t="str">
        <f t="shared" si="26"/>
        <v/>
      </c>
      <c r="P26" s="39" t="str">
        <f>IF(AND(P22&lt;=1.5,P24&lt;=0.8),(P24+P23)*P22/2*P2,"")</f>
        <v/>
      </c>
      <c r="Q26" s="39" t="str">
        <f>IF(AND(Q22&lt;=1.5,Q24&lt;=0.8),(Q24+Q23)*Q22/2*Q2,"")</f>
        <v/>
      </c>
      <c r="R26" s="39" t="s">
        <v>31</v>
      </c>
      <c r="S26" s="39">
        <f>S3*(S24*2+0.76)</f>
        <v>5.9540000000001276</v>
      </c>
      <c r="T26" s="39" t="str">
        <f>IF(AND(T22&lt;=1.5,T24&lt;=0.8),(T24+T23)*T22/2*T2,"")</f>
        <v/>
      </c>
      <c r="U26" s="39">
        <f t="shared" ref="U26:AC26" si="27">IF(AND(U22&lt;=1.5,U24&lt;=0.8),(U24+U23)*U22/2*U2,"")</f>
        <v>0</v>
      </c>
      <c r="V26" s="39">
        <f t="shared" si="27"/>
        <v>0</v>
      </c>
      <c r="W26" s="39">
        <f t="shared" si="27"/>
        <v>0</v>
      </c>
      <c r="X26" s="39">
        <f t="shared" si="27"/>
        <v>0</v>
      </c>
      <c r="Y26" s="39">
        <f t="shared" si="27"/>
        <v>0</v>
      </c>
      <c r="Z26" s="39">
        <f t="shared" si="27"/>
        <v>0</v>
      </c>
      <c r="AA26" s="39">
        <f t="shared" si="27"/>
        <v>0</v>
      </c>
      <c r="AB26" s="39">
        <f t="shared" si="27"/>
        <v>0</v>
      </c>
      <c r="AC26" s="39">
        <f t="shared" si="27"/>
        <v>0</v>
      </c>
      <c r="AD26" s="39" t="str">
        <f>IF(AND(AD22&lt;=1.5,AD24&lt;=0.8),(AD24+AD23)*AD22/2*AD2,"")</f>
        <v/>
      </c>
      <c r="AE26" s="116"/>
      <c r="AF26" s="142">
        <f t="shared" si="18"/>
        <v>5.9540000000001276</v>
      </c>
      <c r="AG26" s="277"/>
      <c r="AH26" s="411"/>
      <c r="AI26" s="29"/>
      <c r="AJ26" s="29"/>
      <c r="AK26" s="27">
        <v>1000</v>
      </c>
      <c r="AL26" s="28">
        <v>0.88200000000000001</v>
      </c>
      <c r="AM26" s="15"/>
    </row>
    <row r="27" spans="1:39" ht="39" customHeight="1">
      <c r="A27" s="396"/>
      <c r="B27" s="402"/>
      <c r="C27" s="108" t="s">
        <v>55</v>
      </c>
      <c r="D27" s="103" t="s">
        <v>56</v>
      </c>
      <c r="E27" s="131" t="s">
        <v>4</v>
      </c>
      <c r="F27" s="39" t="str">
        <f t="shared" ref="F27:Q27" si="28">IF(AND(F22&lt;=1.5,F24&gt;0.8,F24&lt;=1.5),(F24+F23)*F22/2*F2,"")</f>
        <v/>
      </c>
      <c r="G27" s="39" t="str">
        <f t="shared" si="28"/>
        <v/>
      </c>
      <c r="H27" s="39" t="str">
        <f t="shared" si="28"/>
        <v/>
      </c>
      <c r="I27" s="39" t="str">
        <f t="shared" si="28"/>
        <v/>
      </c>
      <c r="J27" s="39" t="str">
        <f t="shared" si="28"/>
        <v/>
      </c>
      <c r="K27" s="39" t="str">
        <f t="shared" si="28"/>
        <v/>
      </c>
      <c r="L27" s="39" t="str">
        <f t="shared" si="28"/>
        <v/>
      </c>
      <c r="M27" s="39" t="str">
        <f t="shared" si="28"/>
        <v/>
      </c>
      <c r="N27" s="39" t="str">
        <f t="shared" si="28"/>
        <v/>
      </c>
      <c r="O27" s="39" t="str">
        <f t="shared" si="28"/>
        <v/>
      </c>
      <c r="P27" s="39" t="str">
        <f t="shared" si="28"/>
        <v/>
      </c>
      <c r="Q27" s="39" t="str">
        <f t="shared" si="28"/>
        <v/>
      </c>
      <c r="R27" s="39" t="s">
        <v>31</v>
      </c>
      <c r="S27" s="39" t="str">
        <f t="shared" ref="S27:AD27" si="29">IF(AND(S22&lt;=1.5,S24&gt;0.8,S24&lt;=1.5),(S24+S23)*S22/2*S2,"")</f>
        <v/>
      </c>
      <c r="T27" s="39" t="str">
        <f t="shared" si="29"/>
        <v/>
      </c>
      <c r="U27" s="39" t="str">
        <f t="shared" si="29"/>
        <v/>
      </c>
      <c r="V27" s="39" t="str">
        <f t="shared" si="29"/>
        <v/>
      </c>
      <c r="W27" s="39" t="str">
        <f t="shared" si="29"/>
        <v/>
      </c>
      <c r="X27" s="39" t="str">
        <f t="shared" si="29"/>
        <v/>
      </c>
      <c r="Y27" s="39" t="str">
        <f t="shared" si="29"/>
        <v/>
      </c>
      <c r="Z27" s="39" t="str">
        <f t="shared" si="29"/>
        <v/>
      </c>
      <c r="AA27" s="39" t="str">
        <f t="shared" si="29"/>
        <v/>
      </c>
      <c r="AB27" s="39" t="str">
        <f t="shared" si="29"/>
        <v/>
      </c>
      <c r="AC27" s="39" t="str">
        <f t="shared" si="29"/>
        <v/>
      </c>
      <c r="AD27" s="39">
        <f t="shared" si="29"/>
        <v>592.9138008000001</v>
      </c>
      <c r="AE27" s="116"/>
      <c r="AF27" s="96">
        <f>SUM(F27:AD27)</f>
        <v>592.9138008000001</v>
      </c>
      <c r="AG27" s="277"/>
      <c r="AH27" s="411"/>
      <c r="AI27" s="29"/>
      <c r="AJ27" s="29"/>
      <c r="AK27" s="27">
        <v>1200</v>
      </c>
      <c r="AL27" s="28">
        <v>1.286</v>
      </c>
      <c r="AM27" s="15"/>
    </row>
    <row r="28" spans="1:39" ht="34.5" customHeight="1">
      <c r="A28" s="396"/>
      <c r="B28" s="402"/>
      <c r="C28" s="108" t="s">
        <v>57</v>
      </c>
      <c r="D28" s="103" t="s">
        <v>58</v>
      </c>
      <c r="E28" s="131" t="s">
        <v>4</v>
      </c>
      <c r="F28" s="39">
        <f t="shared" ref="F28:Q28" si="30">IF(AND(F22&lt;=1.5,F24&gt;1.5),(F24+F23)*F22/2*F2,"")</f>
        <v>42.443692199999752</v>
      </c>
      <c r="G28" s="39">
        <f t="shared" si="30"/>
        <v>132.07846360000369</v>
      </c>
      <c r="H28" s="39" t="str">
        <f t="shared" si="30"/>
        <v/>
      </c>
      <c r="I28" s="39" t="str">
        <f t="shared" si="30"/>
        <v/>
      </c>
      <c r="J28" s="39">
        <f t="shared" si="30"/>
        <v>95.783616000002297</v>
      </c>
      <c r="K28" s="39" t="str">
        <f t="shared" si="30"/>
        <v/>
      </c>
      <c r="L28" s="39" t="str">
        <f t="shared" si="30"/>
        <v/>
      </c>
      <c r="M28" s="39" t="str">
        <f t="shared" si="30"/>
        <v/>
      </c>
      <c r="N28" s="39" t="str">
        <f t="shared" si="30"/>
        <v/>
      </c>
      <c r="O28" s="39">
        <f t="shared" si="30"/>
        <v>91.305639999999471</v>
      </c>
      <c r="P28" s="39">
        <f t="shared" si="30"/>
        <v>41.109139049999101</v>
      </c>
      <c r="Q28" s="39" t="str">
        <f t="shared" si="30"/>
        <v/>
      </c>
      <c r="R28" s="39" t="s">
        <v>31</v>
      </c>
      <c r="S28" s="39" t="str">
        <f t="shared" ref="S28:AD28" si="31">IF(AND(S22&lt;=1.5,S24&gt;1.5),(S24+S23)*S22/2*S2,"")</f>
        <v/>
      </c>
      <c r="T28" s="39" t="str">
        <f t="shared" si="31"/>
        <v/>
      </c>
      <c r="U28" s="39" t="str">
        <f t="shared" si="31"/>
        <v/>
      </c>
      <c r="V28" s="39" t="str">
        <f t="shared" si="31"/>
        <v/>
      </c>
      <c r="W28" s="39" t="str">
        <f t="shared" si="31"/>
        <v/>
      </c>
      <c r="X28" s="39" t="str">
        <f t="shared" si="31"/>
        <v/>
      </c>
      <c r="Y28" s="39" t="str">
        <f t="shared" si="31"/>
        <v/>
      </c>
      <c r="Z28" s="39" t="str">
        <f t="shared" si="31"/>
        <v/>
      </c>
      <c r="AA28" s="39" t="str">
        <f t="shared" si="31"/>
        <v/>
      </c>
      <c r="AB28" s="39" t="str">
        <f t="shared" si="31"/>
        <v/>
      </c>
      <c r="AC28" s="39" t="str">
        <f t="shared" si="31"/>
        <v/>
      </c>
      <c r="AD28" s="39" t="str">
        <f t="shared" si="31"/>
        <v/>
      </c>
      <c r="AE28" s="116"/>
      <c r="AF28" s="96">
        <f t="shared" si="18"/>
        <v>402.72055085000432</v>
      </c>
      <c r="AG28" s="277"/>
      <c r="AH28" s="412"/>
      <c r="AI28" s="29"/>
      <c r="AJ28" s="29"/>
      <c r="AK28" s="27">
        <v>1500</v>
      </c>
      <c r="AL28" s="28">
        <v>2.0089999999999999</v>
      </c>
      <c r="AM28" s="15"/>
    </row>
    <row r="29" spans="1:39" ht="29.25" hidden="1" customHeight="1">
      <c r="A29" s="396"/>
      <c r="B29" s="402"/>
      <c r="C29" s="108" t="s">
        <v>59</v>
      </c>
      <c r="D29" s="103" t="s">
        <v>60</v>
      </c>
      <c r="E29" s="131" t="s">
        <v>4</v>
      </c>
      <c r="F29" s="39" t="str">
        <f t="shared" ref="F29:Q29" si="32">IF(AND(F22&gt;1.5,F22&lt;=3,F24&lt;=0.8),(F24+F23)*F22/2*F2,"")</f>
        <v/>
      </c>
      <c r="G29" s="39" t="str">
        <f t="shared" si="32"/>
        <v/>
      </c>
      <c r="H29" s="39" t="str">
        <f t="shared" si="32"/>
        <v/>
      </c>
      <c r="I29" s="39" t="str">
        <f t="shared" si="32"/>
        <v/>
      </c>
      <c r="J29" s="39" t="str">
        <f t="shared" si="32"/>
        <v/>
      </c>
      <c r="K29" s="39" t="str">
        <f t="shared" si="32"/>
        <v/>
      </c>
      <c r="L29" s="39" t="str">
        <f t="shared" si="32"/>
        <v/>
      </c>
      <c r="M29" s="39" t="str">
        <f t="shared" si="32"/>
        <v/>
      </c>
      <c r="N29" s="39" t="str">
        <f t="shared" si="32"/>
        <v/>
      </c>
      <c r="O29" s="39" t="str">
        <f t="shared" si="32"/>
        <v/>
      </c>
      <c r="P29" s="39" t="str">
        <f t="shared" si="32"/>
        <v/>
      </c>
      <c r="Q29" s="39" t="str">
        <f t="shared" si="32"/>
        <v/>
      </c>
      <c r="R29" s="39" t="s">
        <v>31</v>
      </c>
      <c r="S29" s="39" t="str">
        <f t="shared" ref="S29:AD29" si="33">IF(AND(S22&gt;1.5,S22&lt;=3,S24&lt;=0.8),(S24+S23)*S22/2*S2,"")</f>
        <v/>
      </c>
      <c r="T29" s="39" t="str">
        <f t="shared" si="33"/>
        <v/>
      </c>
      <c r="U29" s="39" t="str">
        <f t="shared" si="33"/>
        <v/>
      </c>
      <c r="V29" s="39" t="str">
        <f t="shared" si="33"/>
        <v/>
      </c>
      <c r="W29" s="39" t="str">
        <f t="shared" si="33"/>
        <v/>
      </c>
      <c r="X29" s="39" t="str">
        <f t="shared" si="33"/>
        <v/>
      </c>
      <c r="Y29" s="39" t="str">
        <f t="shared" si="33"/>
        <v/>
      </c>
      <c r="Z29" s="39" t="str">
        <f t="shared" si="33"/>
        <v/>
      </c>
      <c r="AA29" s="39" t="str">
        <f t="shared" si="33"/>
        <v/>
      </c>
      <c r="AB29" s="39" t="str">
        <f t="shared" si="33"/>
        <v/>
      </c>
      <c r="AC29" s="39" t="str">
        <f t="shared" si="33"/>
        <v/>
      </c>
      <c r="AD29" s="39" t="str">
        <f t="shared" si="33"/>
        <v/>
      </c>
      <c r="AE29" s="116"/>
      <c r="AF29" s="96">
        <f t="shared" si="18"/>
        <v>0</v>
      </c>
      <c r="AG29" s="277"/>
      <c r="AH29" s="281"/>
      <c r="AM29" s="15"/>
    </row>
    <row r="30" spans="1:39" ht="29.25" hidden="1" customHeight="1">
      <c r="A30" s="396"/>
      <c r="B30" s="402"/>
      <c r="C30" s="108" t="s">
        <v>61</v>
      </c>
      <c r="D30" s="103" t="s">
        <v>62</v>
      </c>
      <c r="E30" s="131" t="s">
        <v>4</v>
      </c>
      <c r="F30" s="39" t="str">
        <f t="shared" ref="F30:Q30" si="34">IF(AND(F22&gt;1.5,F22&lt;=3,F24&gt;0.8,F24&lt;=1.5),(F24+F23)*F22/2*F2,"")</f>
        <v/>
      </c>
      <c r="G30" s="39" t="str">
        <f t="shared" si="34"/>
        <v/>
      </c>
      <c r="H30" s="39" t="str">
        <f t="shared" si="34"/>
        <v/>
      </c>
      <c r="I30" s="39" t="str">
        <f t="shared" si="34"/>
        <v/>
      </c>
      <c r="J30" s="39" t="str">
        <f t="shared" si="34"/>
        <v/>
      </c>
      <c r="K30" s="39" t="str">
        <f t="shared" si="34"/>
        <v/>
      </c>
      <c r="L30" s="39" t="str">
        <f t="shared" si="34"/>
        <v/>
      </c>
      <c r="M30" s="39" t="str">
        <f t="shared" si="34"/>
        <v/>
      </c>
      <c r="N30" s="39" t="str">
        <f t="shared" si="34"/>
        <v/>
      </c>
      <c r="O30" s="39" t="str">
        <f t="shared" si="34"/>
        <v/>
      </c>
      <c r="P30" s="39" t="str">
        <f t="shared" si="34"/>
        <v/>
      </c>
      <c r="Q30" s="39" t="str">
        <f t="shared" si="34"/>
        <v/>
      </c>
      <c r="R30" s="39" t="s">
        <v>31</v>
      </c>
      <c r="S30" s="39" t="str">
        <f t="shared" ref="S30:AD30" si="35">IF(AND(S22&gt;1.5,S22&lt;=3,S24&gt;0.8,S24&lt;=1.5),(S24+S23)*S22/2*S2,"")</f>
        <v/>
      </c>
      <c r="T30" s="39" t="str">
        <f t="shared" si="35"/>
        <v/>
      </c>
      <c r="U30" s="39" t="str">
        <f t="shared" si="35"/>
        <v/>
      </c>
      <c r="V30" s="39" t="str">
        <f t="shared" si="35"/>
        <v/>
      </c>
      <c r="W30" s="39" t="str">
        <f t="shared" si="35"/>
        <v/>
      </c>
      <c r="X30" s="39" t="str">
        <f t="shared" si="35"/>
        <v/>
      </c>
      <c r="Y30" s="39" t="str">
        <f t="shared" si="35"/>
        <v/>
      </c>
      <c r="Z30" s="39" t="str">
        <f t="shared" si="35"/>
        <v/>
      </c>
      <c r="AA30" s="39" t="str">
        <f t="shared" si="35"/>
        <v/>
      </c>
      <c r="AB30" s="39" t="str">
        <f t="shared" si="35"/>
        <v/>
      </c>
      <c r="AC30" s="39" t="str">
        <f t="shared" si="35"/>
        <v/>
      </c>
      <c r="AD30" s="39" t="str">
        <f t="shared" si="35"/>
        <v/>
      </c>
      <c r="AE30" s="116"/>
      <c r="AF30" s="96">
        <f t="shared" si="18"/>
        <v>0</v>
      </c>
      <c r="AG30" s="277"/>
      <c r="AH30" s="277"/>
      <c r="AM30" s="15"/>
    </row>
    <row r="31" spans="1:39" ht="43.5" customHeight="1">
      <c r="A31" s="396"/>
      <c r="B31" s="402"/>
      <c r="C31" s="108" t="s">
        <v>63</v>
      </c>
      <c r="D31" s="103" t="s">
        <v>64</v>
      </c>
      <c r="E31" s="131" t="s">
        <v>4</v>
      </c>
      <c r="F31" s="39" t="str">
        <f t="shared" ref="F31:Q31" si="36">IF(AND(F22&gt;1.5,F22&lt;=3,F24&gt;1.5),(F24+F23)*F22/2*F2,"")</f>
        <v/>
      </c>
      <c r="G31" s="39" t="str">
        <f t="shared" si="36"/>
        <v/>
      </c>
      <c r="H31" s="39">
        <f t="shared" si="36"/>
        <v>103.15005960000313</v>
      </c>
      <c r="I31" s="39">
        <f t="shared" si="36"/>
        <v>106.38071010000419</v>
      </c>
      <c r="J31" s="39" t="str">
        <f t="shared" si="36"/>
        <v/>
      </c>
      <c r="K31" s="39">
        <f t="shared" si="36"/>
        <v>190.9298226375069</v>
      </c>
      <c r="L31" s="39">
        <f t="shared" si="36"/>
        <v>170.06442311250763</v>
      </c>
      <c r="M31" s="39">
        <f t="shared" si="36"/>
        <v>181.54870571251234</v>
      </c>
      <c r="N31" s="39">
        <f t="shared" si="36"/>
        <v>93.481653200006292</v>
      </c>
      <c r="O31" s="39" t="str">
        <f t="shared" si="36"/>
        <v/>
      </c>
      <c r="P31" s="39" t="str">
        <f t="shared" si="36"/>
        <v/>
      </c>
      <c r="Q31" s="39">
        <f t="shared" si="36"/>
        <v>157.42402559999118</v>
      </c>
      <c r="R31" s="39" t="s">
        <v>31</v>
      </c>
      <c r="S31" s="39">
        <f t="shared" ref="S31:AD31" si="37">IF(AND(S22&gt;1.5,S22&lt;=3,S24&gt;1.5),(S24+S23)*S22/2*S2,"")</f>
        <v>188.29840500001495</v>
      </c>
      <c r="T31" s="39">
        <f t="shared" si="37"/>
        <v>45.562660000004698</v>
      </c>
      <c r="U31" s="39" t="str">
        <f t="shared" si="37"/>
        <v/>
      </c>
      <c r="V31" s="39" t="str">
        <f t="shared" si="37"/>
        <v/>
      </c>
      <c r="W31" s="39" t="str">
        <f t="shared" si="37"/>
        <v/>
      </c>
      <c r="X31" s="39" t="str">
        <f t="shared" si="37"/>
        <v/>
      </c>
      <c r="Y31" s="39" t="str">
        <f t="shared" si="37"/>
        <v/>
      </c>
      <c r="Z31" s="39" t="str">
        <f t="shared" si="37"/>
        <v/>
      </c>
      <c r="AA31" s="39" t="str">
        <f t="shared" si="37"/>
        <v/>
      </c>
      <c r="AB31" s="39" t="str">
        <f t="shared" si="37"/>
        <v/>
      </c>
      <c r="AC31" s="39" t="str">
        <f t="shared" si="37"/>
        <v/>
      </c>
      <c r="AD31" s="39" t="str">
        <f t="shared" si="37"/>
        <v/>
      </c>
      <c r="AE31" s="116"/>
      <c r="AF31" s="96">
        <f t="shared" si="18"/>
        <v>1236.8404649625513</v>
      </c>
      <c r="AG31" s="277"/>
      <c r="AH31" s="277"/>
      <c r="AI31" s="413" t="s">
        <v>65</v>
      </c>
      <c r="AJ31" s="413"/>
      <c r="AK31" s="413"/>
    </row>
    <row r="32" spans="1:39" ht="24" hidden="1" customHeight="1">
      <c r="A32" s="396"/>
      <c r="B32" s="402"/>
      <c r="C32" s="108" t="s">
        <v>66</v>
      </c>
      <c r="D32" s="103" t="s">
        <v>67</v>
      </c>
      <c r="E32" s="131" t="s">
        <v>4</v>
      </c>
      <c r="F32" s="39" t="str">
        <f t="shared" ref="F32:Q32" si="38">IF(AND(F22&gt;3,F22&lt;=4.5,F24&lt;=0.8),(F24+F23)*F22/2*F2,"")</f>
        <v/>
      </c>
      <c r="G32" s="39" t="str">
        <f t="shared" si="38"/>
        <v/>
      </c>
      <c r="H32" s="39" t="str">
        <f t="shared" si="38"/>
        <v/>
      </c>
      <c r="I32" s="39" t="str">
        <f t="shared" si="38"/>
        <v/>
      </c>
      <c r="J32" s="39" t="str">
        <f t="shared" si="38"/>
        <v/>
      </c>
      <c r="K32" s="39" t="str">
        <f t="shared" si="38"/>
        <v/>
      </c>
      <c r="L32" s="39" t="str">
        <f t="shared" si="38"/>
        <v/>
      </c>
      <c r="M32" s="39" t="str">
        <f t="shared" si="38"/>
        <v/>
      </c>
      <c r="N32" s="39" t="str">
        <f t="shared" si="38"/>
        <v/>
      </c>
      <c r="O32" s="39" t="str">
        <f t="shared" si="38"/>
        <v/>
      </c>
      <c r="P32" s="39" t="str">
        <f t="shared" si="38"/>
        <v/>
      </c>
      <c r="Q32" s="39" t="str">
        <f t="shared" si="38"/>
        <v/>
      </c>
      <c r="R32" s="39" t="s">
        <v>31</v>
      </c>
      <c r="S32" s="39" t="str">
        <f t="shared" ref="S32:AD32" si="39">IF(AND(S22&gt;3,S22&lt;=4.5,S24&lt;=0.8),(S24+S23)*S22/2*S2,"")</f>
        <v/>
      </c>
      <c r="T32" s="39" t="str">
        <f t="shared" si="39"/>
        <v/>
      </c>
      <c r="U32" s="39" t="str">
        <f t="shared" si="39"/>
        <v/>
      </c>
      <c r="V32" s="39" t="str">
        <f t="shared" si="39"/>
        <v/>
      </c>
      <c r="W32" s="39" t="str">
        <f t="shared" si="39"/>
        <v/>
      </c>
      <c r="X32" s="39" t="str">
        <f t="shared" si="39"/>
        <v/>
      </c>
      <c r="Y32" s="39" t="str">
        <f t="shared" si="39"/>
        <v/>
      </c>
      <c r="Z32" s="39" t="str">
        <f t="shared" si="39"/>
        <v/>
      </c>
      <c r="AA32" s="39" t="str">
        <f t="shared" si="39"/>
        <v/>
      </c>
      <c r="AB32" s="39" t="str">
        <f t="shared" si="39"/>
        <v/>
      </c>
      <c r="AC32" s="39" t="str">
        <f t="shared" si="39"/>
        <v/>
      </c>
      <c r="AD32" s="39" t="str">
        <f t="shared" si="39"/>
        <v/>
      </c>
      <c r="AE32" s="116"/>
      <c r="AF32" s="96">
        <f t="shared" si="18"/>
        <v>0</v>
      </c>
      <c r="AG32" s="277"/>
      <c r="AH32" s="277"/>
      <c r="AI32" s="282" t="s">
        <v>68</v>
      </c>
      <c r="AJ32" s="282">
        <f>459*0.008</f>
        <v>3.6720000000000002</v>
      </c>
      <c r="AK32" s="282" t="s">
        <v>69</v>
      </c>
    </row>
    <row r="33" spans="1:39" ht="24" hidden="1" customHeight="1">
      <c r="A33" s="396"/>
      <c r="B33" s="402"/>
      <c r="C33" s="108" t="s">
        <v>66</v>
      </c>
      <c r="D33" s="103" t="s">
        <v>70</v>
      </c>
      <c r="E33" s="131" t="s">
        <v>4</v>
      </c>
      <c r="F33" s="39" t="str">
        <f t="shared" ref="F33:Q33" si="40">IF(AND(F22&gt;3,F22&lt;=4.5,F24&gt;0.8,F24&lt;=1.5),(F24+F23)*F22/2*F2,"")</f>
        <v/>
      </c>
      <c r="G33" s="39" t="str">
        <f t="shared" si="40"/>
        <v/>
      </c>
      <c r="H33" s="39" t="str">
        <f t="shared" si="40"/>
        <v/>
      </c>
      <c r="I33" s="39" t="str">
        <f t="shared" si="40"/>
        <v/>
      </c>
      <c r="J33" s="39" t="str">
        <f t="shared" si="40"/>
        <v/>
      </c>
      <c r="K33" s="39" t="str">
        <f t="shared" si="40"/>
        <v/>
      </c>
      <c r="L33" s="39" t="str">
        <f t="shared" si="40"/>
        <v/>
      </c>
      <c r="M33" s="39" t="str">
        <f t="shared" si="40"/>
        <v/>
      </c>
      <c r="N33" s="39" t="str">
        <f t="shared" si="40"/>
        <v/>
      </c>
      <c r="O33" s="39" t="str">
        <f t="shared" si="40"/>
        <v/>
      </c>
      <c r="P33" s="39" t="str">
        <f t="shared" si="40"/>
        <v/>
      </c>
      <c r="Q33" s="39" t="str">
        <f t="shared" si="40"/>
        <v/>
      </c>
      <c r="R33" s="39" t="s">
        <v>31</v>
      </c>
      <c r="S33" s="39" t="str">
        <f t="shared" ref="S33:AD33" si="41">IF(AND(S22&gt;3,S22&lt;=4.5,S24&gt;0.8,S24&lt;=1.5),(S24+S23)*S22/2*S2,"")</f>
        <v/>
      </c>
      <c r="T33" s="39" t="str">
        <f t="shared" si="41"/>
        <v/>
      </c>
      <c r="U33" s="39" t="str">
        <f t="shared" si="41"/>
        <v/>
      </c>
      <c r="V33" s="39" t="str">
        <f t="shared" si="41"/>
        <v/>
      </c>
      <c r="W33" s="39" t="str">
        <f t="shared" si="41"/>
        <v/>
      </c>
      <c r="X33" s="39" t="str">
        <f t="shared" si="41"/>
        <v/>
      </c>
      <c r="Y33" s="39" t="str">
        <f t="shared" si="41"/>
        <v/>
      </c>
      <c r="Z33" s="39" t="str">
        <f t="shared" si="41"/>
        <v/>
      </c>
      <c r="AA33" s="39" t="str">
        <f t="shared" si="41"/>
        <v/>
      </c>
      <c r="AB33" s="39" t="str">
        <f t="shared" si="41"/>
        <v/>
      </c>
      <c r="AC33" s="39" t="str">
        <f t="shared" si="41"/>
        <v/>
      </c>
      <c r="AD33" s="39" t="str">
        <f t="shared" si="41"/>
        <v/>
      </c>
      <c r="AE33" s="116"/>
      <c r="AF33" s="96">
        <f t="shared" si="18"/>
        <v>0</v>
      </c>
      <c r="AG33" s="277"/>
      <c r="AH33" s="277"/>
      <c r="AI33" s="282" t="s">
        <v>71</v>
      </c>
      <c r="AJ33" s="282">
        <f>AJ20*AL20</f>
        <v>5.85</v>
      </c>
      <c r="AK33" s="282" t="s">
        <v>69</v>
      </c>
      <c r="AM33" s="285" t="s">
        <v>72</v>
      </c>
    </row>
    <row r="34" spans="1:39" ht="24" hidden="1" customHeight="1">
      <c r="A34" s="396"/>
      <c r="B34" s="402"/>
      <c r="C34" s="108" t="s">
        <v>73</v>
      </c>
      <c r="D34" s="103" t="s">
        <v>74</v>
      </c>
      <c r="E34" s="131" t="s">
        <v>4</v>
      </c>
      <c r="F34" s="39" t="str">
        <f t="shared" ref="F34:Q34" si="42">IF(AND(F22&gt;3,F22&lt;=4.5,F24&gt;1.5),(F24+F23)*F22/2*F2,"")</f>
        <v/>
      </c>
      <c r="G34" s="39" t="str">
        <f t="shared" si="42"/>
        <v/>
      </c>
      <c r="H34" s="39" t="str">
        <f t="shared" si="42"/>
        <v/>
      </c>
      <c r="I34" s="39" t="str">
        <f t="shared" si="42"/>
        <v/>
      </c>
      <c r="J34" s="39" t="str">
        <f t="shared" si="42"/>
        <v/>
      </c>
      <c r="K34" s="39" t="str">
        <f t="shared" si="42"/>
        <v/>
      </c>
      <c r="L34" s="39" t="str">
        <f t="shared" si="42"/>
        <v/>
      </c>
      <c r="M34" s="39" t="str">
        <f t="shared" si="42"/>
        <v/>
      </c>
      <c r="N34" s="39" t="str">
        <f t="shared" si="42"/>
        <v/>
      </c>
      <c r="O34" s="39" t="str">
        <f t="shared" si="42"/>
        <v/>
      </c>
      <c r="P34" s="39" t="str">
        <f t="shared" si="42"/>
        <v/>
      </c>
      <c r="Q34" s="39" t="str">
        <f t="shared" si="42"/>
        <v/>
      </c>
      <c r="R34" s="39" t="s">
        <v>31</v>
      </c>
      <c r="S34" s="39" t="str">
        <f t="shared" ref="S34:AD34" si="43">IF(AND(S22&gt;3,S22&lt;=4.5,S24&gt;1.5),(S24+S23)*S22/2*S2,"")</f>
        <v/>
      </c>
      <c r="T34" s="39" t="str">
        <f t="shared" si="43"/>
        <v/>
      </c>
      <c r="U34" s="39" t="str">
        <f t="shared" si="43"/>
        <v/>
      </c>
      <c r="V34" s="39" t="str">
        <f t="shared" si="43"/>
        <v/>
      </c>
      <c r="W34" s="39" t="str">
        <f t="shared" si="43"/>
        <v/>
      </c>
      <c r="X34" s="39" t="str">
        <f t="shared" si="43"/>
        <v/>
      </c>
      <c r="Y34" s="39" t="str">
        <f t="shared" si="43"/>
        <v/>
      </c>
      <c r="Z34" s="39" t="str">
        <f t="shared" si="43"/>
        <v/>
      </c>
      <c r="AA34" s="39" t="str">
        <f t="shared" si="43"/>
        <v/>
      </c>
      <c r="AB34" s="39" t="str">
        <f t="shared" si="43"/>
        <v/>
      </c>
      <c r="AC34" s="39" t="str">
        <f t="shared" si="43"/>
        <v/>
      </c>
      <c r="AD34" s="39" t="str">
        <f t="shared" si="43"/>
        <v/>
      </c>
      <c r="AE34" s="116"/>
      <c r="AF34" s="96">
        <f t="shared" si="18"/>
        <v>0</v>
      </c>
      <c r="AG34" s="277"/>
      <c r="AH34" s="277"/>
      <c r="AI34" s="282" t="s">
        <v>75</v>
      </c>
      <c r="AJ34" s="283">
        <f>AJ21*AL21</f>
        <v>7.54</v>
      </c>
      <c r="AK34" s="282" t="s">
        <v>69</v>
      </c>
      <c r="AM34" s="285" t="s">
        <v>76</v>
      </c>
    </row>
    <row r="35" spans="1:39" ht="24" hidden="1" customHeight="1">
      <c r="A35" s="396"/>
      <c r="B35" s="402"/>
      <c r="C35" s="108" t="s">
        <v>77</v>
      </c>
      <c r="D35" s="103" t="s">
        <v>78</v>
      </c>
      <c r="E35" s="131" t="s">
        <v>4</v>
      </c>
      <c r="F35" s="39" t="str">
        <f t="shared" ref="F35:Q35" si="44">IF(AND(F22&gt;4.5,F24&lt;=0.8),(F24+F23)*F22/2*F2,"")</f>
        <v/>
      </c>
      <c r="G35" s="39" t="str">
        <f t="shared" si="44"/>
        <v/>
      </c>
      <c r="H35" s="39" t="str">
        <f t="shared" si="44"/>
        <v/>
      </c>
      <c r="I35" s="39" t="str">
        <f t="shared" si="44"/>
        <v/>
      </c>
      <c r="J35" s="39" t="str">
        <f t="shared" si="44"/>
        <v/>
      </c>
      <c r="K35" s="39" t="str">
        <f t="shared" si="44"/>
        <v/>
      </c>
      <c r="L35" s="39" t="str">
        <f t="shared" si="44"/>
        <v/>
      </c>
      <c r="M35" s="39" t="str">
        <f t="shared" si="44"/>
        <v/>
      </c>
      <c r="N35" s="39" t="str">
        <f t="shared" si="44"/>
        <v/>
      </c>
      <c r="O35" s="39" t="str">
        <f t="shared" si="44"/>
        <v/>
      </c>
      <c r="P35" s="39" t="str">
        <f t="shared" si="44"/>
        <v/>
      </c>
      <c r="Q35" s="39" t="str">
        <f t="shared" si="44"/>
        <v/>
      </c>
      <c r="R35" s="39" t="s">
        <v>31</v>
      </c>
      <c r="S35" s="39" t="str">
        <f t="shared" ref="S35:AD35" si="45">IF(AND(S22&gt;4.5,S24&lt;=0.8),(S24+S23)*S22/2*S2,"")</f>
        <v/>
      </c>
      <c r="T35" s="39" t="str">
        <f t="shared" si="45"/>
        <v/>
      </c>
      <c r="U35" s="39" t="str">
        <f t="shared" si="45"/>
        <v/>
      </c>
      <c r="V35" s="39" t="str">
        <f t="shared" si="45"/>
        <v/>
      </c>
      <c r="W35" s="39" t="str">
        <f t="shared" si="45"/>
        <v/>
      </c>
      <c r="X35" s="39" t="str">
        <f t="shared" si="45"/>
        <v/>
      </c>
      <c r="Y35" s="39" t="str">
        <f t="shared" si="45"/>
        <v/>
      </c>
      <c r="Z35" s="39" t="str">
        <f t="shared" si="45"/>
        <v/>
      </c>
      <c r="AA35" s="39" t="str">
        <f t="shared" si="45"/>
        <v/>
      </c>
      <c r="AB35" s="39" t="str">
        <f t="shared" si="45"/>
        <v/>
      </c>
      <c r="AC35" s="39" t="str">
        <f t="shared" si="45"/>
        <v/>
      </c>
      <c r="AD35" s="39" t="str">
        <f t="shared" si="45"/>
        <v/>
      </c>
      <c r="AE35" s="116"/>
      <c r="AF35" s="96">
        <f t="shared" si="18"/>
        <v>0</v>
      </c>
      <c r="AG35" s="277"/>
      <c r="AH35" s="277"/>
      <c r="AI35" s="284" t="s">
        <v>79</v>
      </c>
      <c r="AJ35" s="284">
        <f>AJ32+AJ33+AJ34</f>
        <v>17.062000000000001</v>
      </c>
      <c r="AK35" s="284" t="s">
        <v>69</v>
      </c>
      <c r="AM35" s="15"/>
    </row>
    <row r="36" spans="1:39" ht="24" hidden="1" customHeight="1" thickBot="1">
      <c r="A36" s="396"/>
      <c r="B36" s="402"/>
      <c r="C36" s="108" t="s">
        <v>77</v>
      </c>
      <c r="D36" s="103" t="s">
        <v>80</v>
      </c>
      <c r="E36" s="131" t="s">
        <v>4</v>
      </c>
      <c r="F36" s="39" t="str">
        <f t="shared" ref="F36:Q36" si="46">IF(AND(F22&gt;4.5,F24&gt;0.8,F24&lt;=1.5),(F24+F23)*F22/2*F2,"")</f>
        <v/>
      </c>
      <c r="G36" s="39" t="str">
        <f t="shared" si="46"/>
        <v/>
      </c>
      <c r="H36" s="39" t="str">
        <f t="shared" si="46"/>
        <v/>
      </c>
      <c r="I36" s="39" t="str">
        <f t="shared" si="46"/>
        <v/>
      </c>
      <c r="J36" s="39" t="str">
        <f t="shared" si="46"/>
        <v/>
      </c>
      <c r="K36" s="39" t="str">
        <f t="shared" si="46"/>
        <v/>
      </c>
      <c r="L36" s="39" t="str">
        <f t="shared" si="46"/>
        <v/>
      </c>
      <c r="M36" s="39" t="str">
        <f t="shared" si="46"/>
        <v/>
      </c>
      <c r="N36" s="39" t="str">
        <f t="shared" si="46"/>
        <v/>
      </c>
      <c r="O36" s="39" t="str">
        <f t="shared" si="46"/>
        <v/>
      </c>
      <c r="P36" s="39" t="str">
        <f t="shared" si="46"/>
        <v/>
      </c>
      <c r="Q36" s="39" t="str">
        <f t="shared" si="46"/>
        <v/>
      </c>
      <c r="R36" s="39" t="s">
        <v>31</v>
      </c>
      <c r="S36" s="39" t="str">
        <f t="shared" ref="S36:AD36" si="47">IF(AND(S22&gt;4.5,S24&gt;0.8,S24&lt;=1.5),(S24+S23)*S22/2*S2,"")</f>
        <v/>
      </c>
      <c r="T36" s="39" t="str">
        <f t="shared" si="47"/>
        <v/>
      </c>
      <c r="U36" s="39" t="str">
        <f t="shared" si="47"/>
        <v/>
      </c>
      <c r="V36" s="39" t="str">
        <f t="shared" si="47"/>
        <v/>
      </c>
      <c r="W36" s="39" t="str">
        <f t="shared" si="47"/>
        <v/>
      </c>
      <c r="X36" s="39" t="str">
        <f t="shared" si="47"/>
        <v/>
      </c>
      <c r="Y36" s="39" t="str">
        <f t="shared" si="47"/>
        <v/>
      </c>
      <c r="Z36" s="39" t="str">
        <f t="shared" si="47"/>
        <v/>
      </c>
      <c r="AA36" s="39" t="str">
        <f t="shared" si="47"/>
        <v/>
      </c>
      <c r="AB36" s="39" t="str">
        <f t="shared" si="47"/>
        <v/>
      </c>
      <c r="AC36" s="39" t="str">
        <f t="shared" si="47"/>
        <v/>
      </c>
      <c r="AD36" s="39" t="str">
        <f t="shared" si="47"/>
        <v/>
      </c>
      <c r="AE36" s="116"/>
      <c r="AF36" s="96">
        <f t="shared" si="18"/>
        <v>0</v>
      </c>
      <c r="AG36" s="277"/>
      <c r="AH36" s="277"/>
      <c r="AM36" s="15"/>
    </row>
    <row r="37" spans="1:39" ht="24" hidden="1" customHeight="1" thickBot="1">
      <c r="A37" s="396"/>
      <c r="B37" s="403"/>
      <c r="C37" s="109" t="s">
        <v>77</v>
      </c>
      <c r="D37" s="101" t="s">
        <v>81</v>
      </c>
      <c r="E37" s="131" t="s">
        <v>4</v>
      </c>
      <c r="F37" s="39" t="str">
        <f t="shared" ref="F37:Q37" si="48">IF(AND(F22&gt;4.5,F24&gt;1.5),(F24+F23)*F22/2*F2,"")</f>
        <v/>
      </c>
      <c r="G37" s="39" t="str">
        <f t="shared" si="48"/>
        <v/>
      </c>
      <c r="H37" s="39" t="str">
        <f t="shared" si="48"/>
        <v/>
      </c>
      <c r="I37" s="39" t="str">
        <f t="shared" si="48"/>
        <v/>
      </c>
      <c r="J37" s="39" t="str">
        <f t="shared" si="48"/>
        <v/>
      </c>
      <c r="K37" s="39" t="str">
        <f t="shared" si="48"/>
        <v/>
      </c>
      <c r="L37" s="39" t="str">
        <f t="shared" si="48"/>
        <v/>
      </c>
      <c r="M37" s="39" t="str">
        <f t="shared" si="48"/>
        <v/>
      </c>
      <c r="N37" s="39" t="str">
        <f t="shared" si="48"/>
        <v/>
      </c>
      <c r="O37" s="39" t="str">
        <f t="shared" si="48"/>
        <v/>
      </c>
      <c r="P37" s="39" t="str">
        <f t="shared" si="48"/>
        <v/>
      </c>
      <c r="Q37" s="39" t="str">
        <f t="shared" si="48"/>
        <v/>
      </c>
      <c r="R37" s="39" t="s">
        <v>31</v>
      </c>
      <c r="S37" s="39" t="str">
        <f t="shared" ref="S37:AD37" si="49">IF(AND(S22&gt;4.5,S24&gt;1.5),(S24+S23)*S22/2*S2,"")</f>
        <v/>
      </c>
      <c r="T37" s="39" t="str">
        <f t="shared" si="49"/>
        <v/>
      </c>
      <c r="U37" s="39" t="str">
        <f t="shared" si="49"/>
        <v/>
      </c>
      <c r="V37" s="39" t="str">
        <f t="shared" si="49"/>
        <v/>
      </c>
      <c r="W37" s="39" t="str">
        <f t="shared" si="49"/>
        <v/>
      </c>
      <c r="X37" s="39" t="str">
        <f t="shared" si="49"/>
        <v/>
      </c>
      <c r="Y37" s="39" t="str">
        <f t="shared" si="49"/>
        <v/>
      </c>
      <c r="Z37" s="39" t="str">
        <f t="shared" si="49"/>
        <v/>
      </c>
      <c r="AA37" s="39" t="str">
        <f t="shared" si="49"/>
        <v/>
      </c>
      <c r="AB37" s="39" t="str">
        <f t="shared" si="49"/>
        <v/>
      </c>
      <c r="AC37" s="39" t="str">
        <f t="shared" si="49"/>
        <v/>
      </c>
      <c r="AD37" s="39" t="str">
        <f t="shared" si="49"/>
        <v/>
      </c>
      <c r="AE37" s="116"/>
      <c r="AF37" s="140">
        <f t="shared" si="18"/>
        <v>0</v>
      </c>
      <c r="AG37" s="277"/>
      <c r="AJ37" s="414" t="s">
        <v>82</v>
      </c>
      <c r="AK37" s="415"/>
      <c r="AL37" s="286">
        <f>AJ35*1015</f>
        <v>17317.93</v>
      </c>
      <c r="AM37" s="287" t="s">
        <v>83</v>
      </c>
    </row>
    <row r="38" spans="1:39" ht="23.25" hidden="1" customHeight="1">
      <c r="A38" s="396"/>
      <c r="B38" s="390" t="s">
        <v>84</v>
      </c>
      <c r="C38" s="390"/>
      <c r="D38" s="390"/>
      <c r="E38" s="129" t="s">
        <v>4</v>
      </c>
      <c r="F38" s="368">
        <f>0.1*SUM(F26:F37)</f>
        <v>4.2443692199999754</v>
      </c>
      <c r="G38" s="368">
        <f t="shared" ref="G38:AD38" si="50">0.1*SUM(G26:G37)</f>
        <v>13.207846360000369</v>
      </c>
      <c r="H38" s="368">
        <f t="shared" ref="H38:K38" si="51">0.1*SUM(H26:H37)</f>
        <v>10.315005960000313</v>
      </c>
      <c r="I38" s="368">
        <f t="shared" si="51"/>
        <v>10.63807101000042</v>
      </c>
      <c r="J38" s="368">
        <f t="shared" si="51"/>
        <v>9.5783616000002301</v>
      </c>
      <c r="K38" s="368">
        <f t="shared" si="51"/>
        <v>19.092982263750692</v>
      </c>
      <c r="L38" s="368">
        <f t="shared" ref="L38:P38" si="52">0.1*SUM(L26:L37)</f>
        <v>17.006442311250762</v>
      </c>
      <c r="M38" s="368">
        <f t="shared" ref="M38:O38" si="53">0.1*SUM(M26:M37)</f>
        <v>18.154870571251234</v>
      </c>
      <c r="N38" s="368">
        <f t="shared" si="53"/>
        <v>9.3481653200006303</v>
      </c>
      <c r="O38" s="368">
        <f t="shared" si="53"/>
        <v>9.1305639999999482</v>
      </c>
      <c r="P38" s="368">
        <f t="shared" si="52"/>
        <v>4.1109139049999106</v>
      </c>
      <c r="Q38" s="368">
        <f t="shared" ref="Q38:T38" si="54">0.1*SUM(Q26:Q37)</f>
        <v>15.742402559999119</v>
      </c>
      <c r="R38" s="368" t="s">
        <v>31</v>
      </c>
      <c r="S38" s="368">
        <f t="shared" si="54"/>
        <v>19.425240500001507</v>
      </c>
      <c r="T38" s="368">
        <f t="shared" si="54"/>
        <v>4.5562660000004698</v>
      </c>
      <c r="U38" s="368"/>
      <c r="V38" s="368"/>
      <c r="W38" s="368"/>
      <c r="X38" s="368"/>
      <c r="Y38" s="368"/>
      <c r="Z38" s="368"/>
      <c r="AA38" s="368"/>
      <c r="AB38" s="368"/>
      <c r="AC38" s="368"/>
      <c r="AD38" s="368">
        <f t="shared" si="50"/>
        <v>59.29138008000001</v>
      </c>
      <c r="AE38" s="116"/>
      <c r="AF38" s="369">
        <f>SUM(F38:AD38)</f>
        <v>223.8428816612556</v>
      </c>
      <c r="AG38" s="276"/>
      <c r="AH38" s="276"/>
      <c r="AM38" s="15"/>
    </row>
    <row r="39" spans="1:39" ht="24" customHeight="1">
      <c r="A39" s="396"/>
      <c r="B39" s="430" t="s">
        <v>85</v>
      </c>
      <c r="C39" s="393" t="s">
        <v>86</v>
      </c>
      <c r="D39" s="393"/>
      <c r="E39" s="128" t="s">
        <v>4</v>
      </c>
      <c r="F39" s="39">
        <f>PI()*(F4/1000*1.21)^2/4*F2</f>
        <v>8.6932549697883417</v>
      </c>
      <c r="G39" s="39">
        <f t="shared" ref="G39:Q39" si="55">PI()*(G4/1000*1.21)^2/4*G2</f>
        <v>25.665800386994153</v>
      </c>
      <c r="H39" s="39">
        <f t="shared" si="55"/>
        <v>17.386509939576683</v>
      </c>
      <c r="I39" s="39">
        <f t="shared" si="55"/>
        <v>17.386509939576683</v>
      </c>
      <c r="J39" s="39">
        <f t="shared" si="55"/>
        <v>18.628403506689306</v>
      </c>
      <c r="K39" s="39">
        <f t="shared" si="55"/>
        <v>37.53278336162586</v>
      </c>
      <c r="L39" s="39">
        <f t="shared" si="55"/>
        <v>36.060909504307197</v>
      </c>
      <c r="M39" s="39">
        <f t="shared" si="55"/>
        <v>41.948404933581841</v>
      </c>
      <c r="N39" s="39">
        <f t="shared" si="55"/>
        <v>19.134360145142594</v>
      </c>
      <c r="O39" s="39">
        <f t="shared" si="55"/>
        <v>20.698226118543673</v>
      </c>
      <c r="P39" s="39">
        <f t="shared" si="55"/>
        <v>8.6932549697883417</v>
      </c>
      <c r="Q39" s="39">
        <f t="shared" si="55"/>
        <v>28.149587521219395</v>
      </c>
      <c r="R39" s="39" t="s">
        <v>31</v>
      </c>
      <c r="S39" s="39">
        <f>PI()*(S4/1000*1.21)^2/4*S2</f>
        <v>26.4937294317359</v>
      </c>
      <c r="T39" s="39">
        <f>PI()*(T4/1000*1.21)^2/4*T2</f>
        <v>9.567180072571297</v>
      </c>
      <c r="U39" s="39"/>
      <c r="V39" s="39"/>
      <c r="W39" s="39"/>
      <c r="X39" s="39"/>
      <c r="Y39" s="39"/>
      <c r="Z39" s="39"/>
      <c r="AA39" s="39"/>
      <c r="AB39" s="39"/>
      <c r="AC39" s="39"/>
      <c r="AD39" s="39">
        <f>PI()*(AD4/1000*1.21)^2/4*AD2</f>
        <v>84.448762563658178</v>
      </c>
      <c r="AE39" s="116"/>
      <c r="AF39" s="142">
        <f t="shared" si="18"/>
        <v>400.48767736479948</v>
      </c>
      <c r="AG39" s="277"/>
      <c r="AH39" s="277"/>
      <c r="AM39" s="15"/>
    </row>
    <row r="40" spans="1:39" ht="24" customHeight="1">
      <c r="A40" s="396"/>
      <c r="B40" s="408"/>
      <c r="C40" s="388" t="s">
        <v>87</v>
      </c>
      <c r="D40" s="388"/>
      <c r="E40" s="132" t="s">
        <v>0</v>
      </c>
      <c r="F40" s="92">
        <v>0</v>
      </c>
      <c r="G40" s="92">
        <v>0</v>
      </c>
      <c r="H40" s="92">
        <v>0</v>
      </c>
      <c r="I40" s="92">
        <v>0</v>
      </c>
      <c r="J40" s="92">
        <v>0</v>
      </c>
      <c r="K40" s="92">
        <v>0</v>
      </c>
      <c r="L40" s="92">
        <v>0</v>
      </c>
      <c r="M40" s="92">
        <v>0</v>
      </c>
      <c r="N40" s="92">
        <v>0</v>
      </c>
      <c r="O40" s="92">
        <v>0</v>
      </c>
      <c r="P40" s="92">
        <v>0</v>
      </c>
      <c r="Q40" s="92">
        <v>0</v>
      </c>
      <c r="R40" s="92" t="s">
        <v>31</v>
      </c>
      <c r="S40" s="92">
        <v>0</v>
      </c>
      <c r="T40" s="92">
        <v>0</v>
      </c>
      <c r="U40" s="92"/>
      <c r="V40" s="92"/>
      <c r="W40" s="92"/>
      <c r="X40" s="92"/>
      <c r="Y40" s="92"/>
      <c r="Z40" s="92"/>
      <c r="AA40" s="92"/>
      <c r="AB40" s="92"/>
      <c r="AC40" s="92"/>
      <c r="AD40" s="92">
        <v>0</v>
      </c>
      <c r="AE40" s="377"/>
      <c r="AF40" s="96">
        <f t="shared" si="18"/>
        <v>0</v>
      </c>
      <c r="AG40" s="277"/>
      <c r="AH40" s="277"/>
      <c r="AM40" s="15"/>
    </row>
    <row r="41" spans="1:39" ht="14.25" customHeight="1">
      <c r="A41" s="396"/>
      <c r="B41" s="408"/>
      <c r="C41" s="388" t="s">
        <v>88</v>
      </c>
      <c r="D41" s="388"/>
      <c r="E41" s="132" t="s">
        <v>4</v>
      </c>
      <c r="F41" s="39">
        <f t="shared" ref="F41:AD41" si="56">F40*SUM(F26:F37)</f>
        <v>0</v>
      </c>
      <c r="G41" s="39">
        <f t="shared" si="56"/>
        <v>0</v>
      </c>
      <c r="H41" s="39">
        <f t="shared" ref="H41:K41" si="57">H40*SUM(H26:H37)</f>
        <v>0</v>
      </c>
      <c r="I41" s="39">
        <f t="shared" si="57"/>
        <v>0</v>
      </c>
      <c r="J41" s="39">
        <f t="shared" si="57"/>
        <v>0</v>
      </c>
      <c r="K41" s="39">
        <f t="shared" si="57"/>
        <v>0</v>
      </c>
      <c r="L41" s="39">
        <f t="shared" ref="L41:P41" si="58">L40*SUM(L26:L37)</f>
        <v>0</v>
      </c>
      <c r="M41" s="39">
        <f t="shared" ref="M41:O41" si="59">M40*SUM(M26:M37)</f>
        <v>0</v>
      </c>
      <c r="N41" s="39">
        <f t="shared" si="59"/>
        <v>0</v>
      </c>
      <c r="O41" s="39">
        <f t="shared" si="59"/>
        <v>0</v>
      </c>
      <c r="P41" s="39">
        <f t="shared" si="58"/>
        <v>0</v>
      </c>
      <c r="Q41" s="39">
        <f t="shared" ref="Q41:T41" si="60">Q40*SUM(Q26:Q37)</f>
        <v>0</v>
      </c>
      <c r="R41" s="39" t="s">
        <v>31</v>
      </c>
      <c r="S41" s="39">
        <f t="shared" si="60"/>
        <v>0</v>
      </c>
      <c r="T41" s="39">
        <f t="shared" si="60"/>
        <v>0</v>
      </c>
      <c r="U41" s="39"/>
      <c r="V41" s="39"/>
      <c r="W41" s="39"/>
      <c r="X41" s="39"/>
      <c r="Y41" s="39"/>
      <c r="Z41" s="39"/>
      <c r="AA41" s="39"/>
      <c r="AB41" s="39"/>
      <c r="AC41" s="39"/>
      <c r="AD41" s="39">
        <f t="shared" si="56"/>
        <v>0</v>
      </c>
      <c r="AE41" s="116"/>
      <c r="AF41" s="96">
        <f t="shared" si="18"/>
        <v>0</v>
      </c>
      <c r="AG41" s="277"/>
      <c r="AH41" s="277"/>
      <c r="AM41" s="15"/>
    </row>
    <row r="42" spans="1:39" ht="14.25" customHeight="1">
      <c r="A42" s="396"/>
      <c r="B42" s="408"/>
      <c r="C42" s="408" t="s">
        <v>1</v>
      </c>
      <c r="D42" s="408"/>
      <c r="E42" s="356" t="s">
        <v>4</v>
      </c>
      <c r="F42" s="349">
        <f>MAX(F41,F39)</f>
        <v>8.6932549697883417</v>
      </c>
      <c r="G42" s="349">
        <f t="shared" ref="G42" si="61">MAX(G41,G39)</f>
        <v>25.665800386994153</v>
      </c>
      <c r="H42" s="349">
        <f t="shared" ref="H42:J42" si="62">MAX(H41,H39)</f>
        <v>17.386509939576683</v>
      </c>
      <c r="I42" s="349">
        <f t="shared" si="62"/>
        <v>17.386509939576683</v>
      </c>
      <c r="J42" s="349">
        <f t="shared" si="62"/>
        <v>18.628403506689306</v>
      </c>
      <c r="K42" s="349">
        <f>MAX(K41,K39)</f>
        <v>37.53278336162586</v>
      </c>
      <c r="L42" s="349">
        <f t="shared" ref="L42:P42" si="63">MAX(L41,L39)</f>
        <v>36.060909504307197</v>
      </c>
      <c r="M42" s="349">
        <f t="shared" ref="M42:O42" si="64">MAX(M41,M39)</f>
        <v>41.948404933581841</v>
      </c>
      <c r="N42" s="349">
        <f t="shared" si="64"/>
        <v>19.134360145142594</v>
      </c>
      <c r="O42" s="349">
        <f t="shared" si="64"/>
        <v>20.698226118543673</v>
      </c>
      <c r="P42" s="349">
        <f t="shared" si="63"/>
        <v>8.6932549697883417</v>
      </c>
      <c r="Q42" s="349">
        <f t="shared" ref="Q42:T42" si="65">MAX(Q41,Q39)</f>
        <v>28.149587521219395</v>
      </c>
      <c r="R42" s="349" t="s">
        <v>31</v>
      </c>
      <c r="S42" s="349">
        <f t="shared" si="65"/>
        <v>26.4937294317359</v>
      </c>
      <c r="T42" s="349">
        <f t="shared" si="65"/>
        <v>9.567180072571297</v>
      </c>
      <c r="U42" s="349"/>
      <c r="V42" s="349"/>
      <c r="W42" s="349"/>
      <c r="X42" s="349"/>
      <c r="Y42" s="349"/>
      <c r="Z42" s="349"/>
      <c r="AA42" s="349"/>
      <c r="AB42" s="349"/>
      <c r="AC42" s="349"/>
      <c r="AD42" s="349">
        <f>MAX(AD41,AD39)</f>
        <v>84.448762563658178</v>
      </c>
      <c r="AE42" s="378"/>
      <c r="AF42" s="144">
        <f>SUM(F42:AD42)</f>
        <v>400.48767736479948</v>
      </c>
      <c r="AG42" s="277"/>
      <c r="AH42" s="277"/>
      <c r="AM42" s="15"/>
    </row>
    <row r="43" spans="1:39" ht="21" customHeight="1">
      <c r="A43" s="396"/>
      <c r="B43" s="405"/>
      <c r="C43" s="431" t="s">
        <v>372</v>
      </c>
      <c r="D43" s="432"/>
      <c r="E43" s="357" t="s">
        <v>332</v>
      </c>
      <c r="F43" s="355">
        <f>F42*1.3*5</f>
        <v>56.506157303624221</v>
      </c>
      <c r="G43" s="355">
        <f t="shared" ref="G43:Q43" si="66">G42*1.3*5</f>
        <v>166.82770251546199</v>
      </c>
      <c r="H43" s="355">
        <f t="shared" si="66"/>
        <v>113.01231460724844</v>
      </c>
      <c r="I43" s="355">
        <f t="shared" si="66"/>
        <v>113.01231460724844</v>
      </c>
      <c r="J43" s="355">
        <f t="shared" si="66"/>
        <v>121.08462279348049</v>
      </c>
      <c r="K43" s="355">
        <f t="shared" si="66"/>
        <v>243.96309185056811</v>
      </c>
      <c r="L43" s="355">
        <f t="shared" si="66"/>
        <v>234.39591177799682</v>
      </c>
      <c r="M43" s="355">
        <f t="shared" si="66"/>
        <v>272.664632068282</v>
      </c>
      <c r="N43" s="355">
        <f t="shared" si="66"/>
        <v>124.37334094342687</v>
      </c>
      <c r="O43" s="355">
        <f t="shared" si="66"/>
        <v>134.53846977053388</v>
      </c>
      <c r="P43" s="355">
        <f t="shared" si="66"/>
        <v>56.506157303624221</v>
      </c>
      <c r="Q43" s="355">
        <f t="shared" si="66"/>
        <v>182.97231888792606</v>
      </c>
      <c r="R43" s="355" t="s">
        <v>31</v>
      </c>
      <c r="S43" s="355">
        <f>S42*1.3*5</f>
        <v>172.20924130628336</v>
      </c>
      <c r="T43" s="355">
        <f>T42*1.3*5</f>
        <v>62.186670471713434</v>
      </c>
      <c r="U43" s="355"/>
      <c r="V43" s="355"/>
      <c r="W43" s="355"/>
      <c r="X43" s="355"/>
      <c r="Y43" s="355"/>
      <c r="Z43" s="355"/>
      <c r="AA43" s="355"/>
      <c r="AB43" s="355"/>
      <c r="AC43" s="355"/>
      <c r="AD43" s="355">
        <f>AD42*1.3*5</f>
        <v>548.91695666377825</v>
      </c>
      <c r="AE43" s="379"/>
      <c r="AF43" s="140">
        <f>SUM(F43:AD43)</f>
        <v>2603.1699028711969</v>
      </c>
      <c r="AG43" s="277"/>
      <c r="AH43" s="277"/>
      <c r="AM43" s="15"/>
    </row>
    <row r="44" spans="1:39" ht="23.25" hidden="1" customHeight="1">
      <c r="A44" s="396"/>
      <c r="B44" s="433" t="s">
        <v>89</v>
      </c>
      <c r="C44" s="434"/>
      <c r="D44" s="105" t="s">
        <v>90</v>
      </c>
      <c r="E44" s="134" t="s">
        <v>91</v>
      </c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 t="s">
        <v>31</v>
      </c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371"/>
      <c r="AF44" s="137">
        <f t="shared" si="18"/>
        <v>0</v>
      </c>
      <c r="AG44" s="276"/>
      <c r="AH44" s="276"/>
      <c r="AM44" s="15"/>
    </row>
    <row r="45" spans="1:39" ht="22.5" customHeight="1">
      <c r="A45" s="396"/>
      <c r="B45" s="435"/>
      <c r="C45" s="436"/>
      <c r="D45" s="100" t="s">
        <v>58</v>
      </c>
      <c r="E45" s="134" t="s">
        <v>91</v>
      </c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116"/>
      <c r="AF45" s="137">
        <f t="shared" si="18"/>
        <v>0</v>
      </c>
      <c r="AG45" s="276"/>
      <c r="AH45" s="276"/>
      <c r="AM45" s="15"/>
    </row>
    <row r="46" spans="1:39" ht="6" hidden="1" customHeight="1">
      <c r="A46" s="396"/>
      <c r="B46" s="435"/>
      <c r="C46" s="436"/>
      <c r="D46" s="100" t="s">
        <v>92</v>
      </c>
      <c r="E46" s="134" t="s">
        <v>91</v>
      </c>
      <c r="F46" s="39" t="str">
        <f t="shared" ref="F46:Q46" si="67">(IF(AND(F22&gt;1.5,F22&lt;=3,F24&lt;=1.5),2*F22*F2,""))</f>
        <v/>
      </c>
      <c r="G46" s="39" t="str">
        <f t="shared" si="67"/>
        <v/>
      </c>
      <c r="H46" s="39" t="str">
        <f t="shared" si="67"/>
        <v/>
      </c>
      <c r="I46" s="39" t="str">
        <f t="shared" si="67"/>
        <v/>
      </c>
      <c r="J46" s="39" t="str">
        <f t="shared" si="67"/>
        <v/>
      </c>
      <c r="K46" s="39" t="str">
        <f t="shared" si="67"/>
        <v/>
      </c>
      <c r="L46" s="39" t="str">
        <f t="shared" si="67"/>
        <v/>
      </c>
      <c r="M46" s="39" t="str">
        <f t="shared" si="67"/>
        <v/>
      </c>
      <c r="N46" s="39" t="str">
        <f t="shared" si="67"/>
        <v/>
      </c>
      <c r="O46" s="39" t="str">
        <f t="shared" si="67"/>
        <v/>
      </c>
      <c r="P46" s="39" t="str">
        <f t="shared" si="67"/>
        <v/>
      </c>
      <c r="Q46" s="39" t="str">
        <f t="shared" si="67"/>
        <v/>
      </c>
      <c r="R46" s="39" t="s">
        <v>31</v>
      </c>
      <c r="S46" s="39" t="str">
        <f t="shared" ref="S46:AD46" si="68">(IF(AND(S22&gt;1.5,S22&lt;=3,S24&lt;=1.5),2*S22*S2,""))</f>
        <v/>
      </c>
      <c r="T46" s="39" t="str">
        <f t="shared" si="68"/>
        <v/>
      </c>
      <c r="U46" s="39" t="str">
        <f t="shared" si="68"/>
        <v/>
      </c>
      <c r="V46" s="39" t="str">
        <f t="shared" si="68"/>
        <v/>
      </c>
      <c r="W46" s="39" t="str">
        <f t="shared" si="68"/>
        <v/>
      </c>
      <c r="X46" s="39" t="str">
        <f t="shared" si="68"/>
        <v/>
      </c>
      <c r="Y46" s="39" t="str">
        <f t="shared" si="68"/>
        <v/>
      </c>
      <c r="Z46" s="39" t="str">
        <f t="shared" si="68"/>
        <v/>
      </c>
      <c r="AA46" s="39" t="str">
        <f t="shared" si="68"/>
        <v/>
      </c>
      <c r="AB46" s="39" t="str">
        <f t="shared" si="68"/>
        <v/>
      </c>
      <c r="AC46" s="39" t="str">
        <f t="shared" si="68"/>
        <v/>
      </c>
      <c r="AD46" s="39" t="str">
        <f t="shared" si="68"/>
        <v/>
      </c>
      <c r="AE46" s="116"/>
      <c r="AF46" s="97">
        <f t="shared" ref="AF46:AF74" si="69">SUM(F46:AD46)</f>
        <v>0</v>
      </c>
      <c r="AG46" s="276"/>
      <c r="AH46" s="276"/>
    </row>
    <row r="47" spans="1:39" ht="22.5" customHeight="1">
      <c r="A47" s="396"/>
      <c r="B47" s="437"/>
      <c r="C47" s="438"/>
      <c r="D47" s="105" t="s">
        <v>64</v>
      </c>
      <c r="E47" s="134" t="s">
        <v>91</v>
      </c>
      <c r="F47" s="39" t="str">
        <f t="shared" ref="F47:Q47" si="70">IF(AND(F22&gt;1.5,F22&lt;=3,F24&gt;1.5),2*F22*F2,"")</f>
        <v/>
      </c>
      <c r="G47" s="39" t="str">
        <f t="shared" si="70"/>
        <v/>
      </c>
      <c r="H47" s="39">
        <f t="shared" si="70"/>
        <v>135.4920000000034</v>
      </c>
      <c r="I47" s="39">
        <f t="shared" si="70"/>
        <v>138.97800000000453</v>
      </c>
      <c r="J47" s="39" t="str">
        <f t="shared" si="70"/>
        <v/>
      </c>
      <c r="K47" s="39">
        <f t="shared" si="70"/>
        <v>193.00950000000586</v>
      </c>
      <c r="L47" s="39">
        <f t="shared" si="70"/>
        <v>173.9745000000066</v>
      </c>
      <c r="M47" s="39">
        <f t="shared" si="70"/>
        <v>188.12850000001092</v>
      </c>
      <c r="N47" s="39">
        <f t="shared" si="70"/>
        <v>95.10800000000539</v>
      </c>
      <c r="O47" s="39" t="str">
        <f t="shared" si="70"/>
        <v/>
      </c>
      <c r="P47" s="39" t="str">
        <f t="shared" si="70"/>
        <v/>
      </c>
      <c r="Q47" s="39">
        <f t="shared" si="70"/>
        <v>208.89599999999029</v>
      </c>
      <c r="R47" s="39" t="s">
        <v>31</v>
      </c>
      <c r="S47" s="39">
        <f t="shared" ref="S47:AD47" si="71">IF(AND(S22&gt;1.5,S22&lt;=3,S24&gt;1.5),2*S22*S2,"")</f>
        <v>179.46000000001149</v>
      </c>
      <c r="T47" s="39">
        <f t="shared" si="71"/>
        <v>46.540000000004056</v>
      </c>
      <c r="U47" s="39" t="str">
        <f t="shared" si="71"/>
        <v/>
      </c>
      <c r="V47" s="39" t="str">
        <f t="shared" si="71"/>
        <v/>
      </c>
      <c r="W47" s="39" t="str">
        <f t="shared" si="71"/>
        <v/>
      </c>
      <c r="X47" s="39" t="str">
        <f t="shared" si="71"/>
        <v/>
      </c>
      <c r="Y47" s="39" t="str">
        <f t="shared" si="71"/>
        <v/>
      </c>
      <c r="Z47" s="39" t="str">
        <f t="shared" si="71"/>
        <v/>
      </c>
      <c r="AA47" s="39" t="str">
        <f t="shared" si="71"/>
        <v/>
      </c>
      <c r="AB47" s="39" t="str">
        <f t="shared" si="71"/>
        <v/>
      </c>
      <c r="AC47" s="39" t="str">
        <f t="shared" si="71"/>
        <v/>
      </c>
      <c r="AD47" s="39" t="str">
        <f t="shared" si="71"/>
        <v/>
      </c>
      <c r="AE47" s="116"/>
      <c r="AF47" s="97">
        <f t="shared" si="69"/>
        <v>1359.5865000000426</v>
      </c>
      <c r="AG47" s="276"/>
      <c r="AH47" s="276"/>
    </row>
    <row r="48" spans="1:39" ht="25.5" hidden="1" customHeight="1">
      <c r="A48" s="396"/>
      <c r="B48" s="394"/>
      <c r="C48" s="394"/>
      <c r="D48" s="105" t="s">
        <v>93</v>
      </c>
      <c r="E48" s="134" t="s">
        <v>91</v>
      </c>
      <c r="F48" s="39" t="str">
        <f t="shared" ref="F48:Q48" si="72">IF(AND(F22&gt;3,F24&lt;=1.5),2*F22*F2,"")</f>
        <v/>
      </c>
      <c r="G48" s="39" t="str">
        <f t="shared" si="72"/>
        <v/>
      </c>
      <c r="H48" s="39" t="str">
        <f t="shared" si="72"/>
        <v/>
      </c>
      <c r="I48" s="39" t="str">
        <f t="shared" si="72"/>
        <v/>
      </c>
      <c r="J48" s="39" t="str">
        <f t="shared" si="72"/>
        <v/>
      </c>
      <c r="K48" s="39" t="str">
        <f t="shared" si="72"/>
        <v/>
      </c>
      <c r="L48" s="39" t="str">
        <f t="shared" si="72"/>
        <v/>
      </c>
      <c r="M48" s="39" t="str">
        <f t="shared" si="72"/>
        <v/>
      </c>
      <c r="N48" s="39" t="str">
        <f t="shared" si="72"/>
        <v/>
      </c>
      <c r="O48" s="39" t="str">
        <f t="shared" si="72"/>
        <v/>
      </c>
      <c r="P48" s="39" t="str">
        <f t="shared" si="72"/>
        <v/>
      </c>
      <c r="Q48" s="39" t="str">
        <f t="shared" si="72"/>
        <v/>
      </c>
      <c r="R48" s="39" t="s">
        <v>31</v>
      </c>
      <c r="S48" s="39" t="str">
        <f t="shared" ref="S48:AD48" si="73">IF(AND(S22&gt;3,S24&lt;=1.5),2*S22*S2,"")</f>
        <v/>
      </c>
      <c r="T48" s="39" t="str">
        <f t="shared" si="73"/>
        <v/>
      </c>
      <c r="U48" s="39" t="str">
        <f t="shared" si="73"/>
        <v/>
      </c>
      <c r="V48" s="39" t="str">
        <f t="shared" si="73"/>
        <v/>
      </c>
      <c r="W48" s="39" t="str">
        <f t="shared" si="73"/>
        <v/>
      </c>
      <c r="X48" s="39" t="str">
        <f t="shared" si="73"/>
        <v/>
      </c>
      <c r="Y48" s="39" t="str">
        <f t="shared" si="73"/>
        <v/>
      </c>
      <c r="Z48" s="39" t="str">
        <f t="shared" si="73"/>
        <v/>
      </c>
      <c r="AA48" s="39" t="str">
        <f t="shared" si="73"/>
        <v/>
      </c>
      <c r="AB48" s="39" t="str">
        <f t="shared" si="73"/>
        <v/>
      </c>
      <c r="AC48" s="39" t="str">
        <f t="shared" si="73"/>
        <v/>
      </c>
      <c r="AD48" s="39" t="str">
        <f t="shared" si="73"/>
        <v/>
      </c>
      <c r="AE48" s="116"/>
      <c r="AF48" s="97">
        <f t="shared" si="69"/>
        <v>0</v>
      </c>
      <c r="AG48" s="276"/>
      <c r="AH48" s="276"/>
    </row>
    <row r="49" spans="1:34" ht="3" hidden="1" customHeight="1">
      <c r="A49" s="396"/>
      <c r="B49" s="394"/>
      <c r="C49" s="394"/>
      <c r="D49" s="98" t="s">
        <v>74</v>
      </c>
      <c r="E49" s="127" t="s">
        <v>91</v>
      </c>
      <c r="F49" s="39" t="str">
        <f t="shared" ref="F49:Q49" si="74">IF(AND(F22&gt;3,F24&gt;1.5),2*F22*F2,"")</f>
        <v/>
      </c>
      <c r="G49" s="39" t="str">
        <f t="shared" si="74"/>
        <v/>
      </c>
      <c r="H49" s="39" t="str">
        <f t="shared" si="74"/>
        <v/>
      </c>
      <c r="I49" s="39" t="str">
        <f t="shared" si="74"/>
        <v/>
      </c>
      <c r="J49" s="39" t="str">
        <f t="shared" si="74"/>
        <v/>
      </c>
      <c r="K49" s="39" t="str">
        <f t="shared" si="74"/>
        <v/>
      </c>
      <c r="L49" s="39" t="str">
        <f t="shared" si="74"/>
        <v/>
      </c>
      <c r="M49" s="39" t="str">
        <f t="shared" si="74"/>
        <v/>
      </c>
      <c r="N49" s="39" t="str">
        <f t="shared" si="74"/>
        <v/>
      </c>
      <c r="O49" s="39" t="str">
        <f t="shared" si="74"/>
        <v/>
      </c>
      <c r="P49" s="39" t="str">
        <f t="shared" si="74"/>
        <v/>
      </c>
      <c r="Q49" s="39" t="str">
        <f t="shared" si="74"/>
        <v/>
      </c>
      <c r="R49" s="39" t="s">
        <v>31</v>
      </c>
      <c r="S49" s="39" t="str">
        <f t="shared" ref="S49:AD49" si="75">IF(AND(S22&gt;3,S24&gt;1.5),2*S22*S2,"")</f>
        <v/>
      </c>
      <c r="T49" s="39" t="str">
        <f t="shared" si="75"/>
        <v/>
      </c>
      <c r="U49" s="39" t="str">
        <f t="shared" si="75"/>
        <v/>
      </c>
      <c r="V49" s="39" t="str">
        <f t="shared" si="75"/>
        <v/>
      </c>
      <c r="W49" s="39" t="str">
        <f t="shared" si="75"/>
        <v/>
      </c>
      <c r="X49" s="39" t="str">
        <f t="shared" si="75"/>
        <v/>
      </c>
      <c r="Y49" s="39" t="str">
        <f t="shared" si="75"/>
        <v/>
      </c>
      <c r="Z49" s="39" t="str">
        <f t="shared" si="75"/>
        <v/>
      </c>
      <c r="AA49" s="39" t="str">
        <f t="shared" si="75"/>
        <v/>
      </c>
      <c r="AB49" s="39" t="str">
        <f t="shared" si="75"/>
        <v/>
      </c>
      <c r="AC49" s="39" t="str">
        <f t="shared" si="75"/>
        <v/>
      </c>
      <c r="AD49" s="39" t="str">
        <f t="shared" si="75"/>
        <v/>
      </c>
      <c r="AE49" s="116"/>
      <c r="AF49" s="139">
        <f t="shared" si="69"/>
        <v>0</v>
      </c>
      <c r="AG49" s="276"/>
      <c r="AH49" s="276"/>
    </row>
    <row r="50" spans="1:34" ht="20.25" customHeight="1">
      <c r="A50" s="396"/>
      <c r="B50" s="394" t="s">
        <v>94</v>
      </c>
      <c r="C50" s="394"/>
      <c r="D50" s="102" t="s">
        <v>95</v>
      </c>
      <c r="E50" s="128" t="s">
        <v>91</v>
      </c>
      <c r="F50" s="39" t="str">
        <f t="shared" ref="F50:Q50" si="76">IF(F18&lt;&gt;0,"",IF(F23&lt;1.5,F23*F2,""))</f>
        <v/>
      </c>
      <c r="G50" s="39" t="str">
        <f t="shared" si="76"/>
        <v/>
      </c>
      <c r="H50" s="39" t="str">
        <f t="shared" si="76"/>
        <v/>
      </c>
      <c r="I50" s="39" t="str">
        <f t="shared" si="76"/>
        <v/>
      </c>
      <c r="J50" s="39" t="str">
        <f t="shared" si="76"/>
        <v/>
      </c>
      <c r="K50" s="39" t="str">
        <f t="shared" si="76"/>
        <v/>
      </c>
      <c r="L50" s="39" t="str">
        <f t="shared" si="76"/>
        <v/>
      </c>
      <c r="M50" s="39" t="str">
        <f t="shared" si="76"/>
        <v/>
      </c>
      <c r="N50" s="39" t="str">
        <f t="shared" si="76"/>
        <v/>
      </c>
      <c r="O50" s="39" t="str">
        <f t="shared" si="76"/>
        <v/>
      </c>
      <c r="P50" s="39" t="str">
        <f t="shared" si="76"/>
        <v/>
      </c>
      <c r="Q50" s="39" t="str">
        <f t="shared" si="76"/>
        <v/>
      </c>
      <c r="R50" s="39" t="s">
        <v>31</v>
      </c>
      <c r="S50" s="39" t="str">
        <f t="shared" ref="S50:AC50" si="77">IF(S18&lt;&gt;0,"",IF(S23&lt;1.5,S23*S2,""))</f>
        <v/>
      </c>
      <c r="T50" s="39" t="str">
        <f t="shared" si="77"/>
        <v/>
      </c>
      <c r="U50" s="39">
        <f t="shared" si="77"/>
        <v>0</v>
      </c>
      <c r="V50" s="39">
        <f t="shared" si="77"/>
        <v>0</v>
      </c>
      <c r="W50" s="39">
        <f t="shared" si="77"/>
        <v>0</v>
      </c>
      <c r="X50" s="39">
        <f t="shared" si="77"/>
        <v>0</v>
      </c>
      <c r="Y50" s="39">
        <f t="shared" si="77"/>
        <v>0</v>
      </c>
      <c r="Z50" s="39">
        <f t="shared" si="77"/>
        <v>0</v>
      </c>
      <c r="AA50" s="39">
        <f t="shared" si="77"/>
        <v>0</v>
      </c>
      <c r="AB50" s="39">
        <f t="shared" si="77"/>
        <v>0</v>
      </c>
      <c r="AC50" s="39">
        <f t="shared" si="77"/>
        <v>0</v>
      </c>
      <c r="AD50" s="39">
        <f>IF(AD18&lt;&gt;0,"",IF(AD23&lt;1.5,AD23*AD2,""))</f>
        <v>367.20000000000005</v>
      </c>
      <c r="AE50" s="116"/>
      <c r="AF50" s="120">
        <f t="shared" si="69"/>
        <v>367.20000000000005</v>
      </c>
      <c r="AG50" s="277"/>
      <c r="AH50" s="277"/>
    </row>
    <row r="51" spans="1:34" ht="20.25" customHeight="1">
      <c r="A51" s="396"/>
      <c r="B51" s="394"/>
      <c r="C51" s="394"/>
      <c r="D51" s="101" t="s">
        <v>96</v>
      </c>
      <c r="E51" s="124" t="s">
        <v>91</v>
      </c>
      <c r="F51" s="39" t="str">
        <f t="shared" ref="F51:Q51" si="78">IF(F18&lt;&gt;0,"",IF(F23&gt;=1.5,F23*F2,""))</f>
        <v/>
      </c>
      <c r="G51" s="39" t="str">
        <f t="shared" si="78"/>
        <v/>
      </c>
      <c r="H51" s="39" t="str">
        <f t="shared" si="78"/>
        <v/>
      </c>
      <c r="I51" s="39" t="str">
        <f t="shared" si="78"/>
        <v/>
      </c>
      <c r="J51" s="39" t="str">
        <f t="shared" si="78"/>
        <v/>
      </c>
      <c r="K51" s="39" t="str">
        <f t="shared" si="78"/>
        <v/>
      </c>
      <c r="L51" s="39" t="str">
        <f t="shared" si="78"/>
        <v/>
      </c>
      <c r="M51" s="39" t="str">
        <f t="shared" si="78"/>
        <v/>
      </c>
      <c r="N51" s="39" t="str">
        <f t="shared" si="78"/>
        <v/>
      </c>
      <c r="O51" s="39" t="str">
        <f t="shared" si="78"/>
        <v/>
      </c>
      <c r="P51" s="39" t="str">
        <f t="shared" si="78"/>
        <v/>
      </c>
      <c r="Q51" s="39" t="str">
        <f t="shared" si="78"/>
        <v/>
      </c>
      <c r="R51" s="39" t="s">
        <v>31</v>
      </c>
      <c r="S51" s="39" t="str">
        <f t="shared" ref="S51:AD51" si="79">IF(S18&lt;&gt;0,"",IF(S23&gt;=1.5,S23*S2,""))</f>
        <v/>
      </c>
      <c r="T51" s="39">
        <f>IF(T18&lt;&gt;0,"",IF(T23&gt;=1.5,T23*T2,""))</f>
        <v>20.8</v>
      </c>
      <c r="U51" s="39" t="str">
        <f t="shared" si="79"/>
        <v/>
      </c>
      <c r="V51" s="39" t="str">
        <f t="shared" si="79"/>
        <v/>
      </c>
      <c r="W51" s="39" t="str">
        <f t="shared" si="79"/>
        <v/>
      </c>
      <c r="X51" s="39" t="str">
        <f t="shared" si="79"/>
        <v/>
      </c>
      <c r="Y51" s="39" t="str">
        <f t="shared" si="79"/>
        <v/>
      </c>
      <c r="Z51" s="39" t="str">
        <f t="shared" si="79"/>
        <v/>
      </c>
      <c r="AA51" s="39" t="str">
        <f t="shared" si="79"/>
        <v/>
      </c>
      <c r="AB51" s="39" t="str">
        <f t="shared" si="79"/>
        <v/>
      </c>
      <c r="AC51" s="39" t="str">
        <f t="shared" si="79"/>
        <v/>
      </c>
      <c r="AD51" s="39" t="str">
        <f t="shared" si="79"/>
        <v/>
      </c>
      <c r="AE51" s="116"/>
      <c r="AF51" s="144">
        <f t="shared" si="69"/>
        <v>20.8</v>
      </c>
      <c r="AG51" s="277"/>
      <c r="AH51" s="277"/>
    </row>
    <row r="52" spans="1:34" ht="24.75" customHeight="1">
      <c r="A52" s="396"/>
      <c r="B52" s="424" t="s">
        <v>338</v>
      </c>
      <c r="C52" s="425"/>
      <c r="D52" s="104" t="s">
        <v>97</v>
      </c>
      <c r="E52" s="133" t="s">
        <v>31</v>
      </c>
      <c r="F52" s="90" t="s">
        <v>333</v>
      </c>
      <c r="G52" s="90" t="s">
        <v>333</v>
      </c>
      <c r="H52" s="90" t="s">
        <v>333</v>
      </c>
      <c r="I52" s="90" t="s">
        <v>333</v>
      </c>
      <c r="J52" s="90" t="s">
        <v>333</v>
      </c>
      <c r="K52" s="90" t="s">
        <v>333</v>
      </c>
      <c r="L52" s="90" t="s">
        <v>333</v>
      </c>
      <c r="M52" s="90" t="s">
        <v>333</v>
      </c>
      <c r="N52" s="90" t="s">
        <v>333</v>
      </c>
      <c r="O52" s="90" t="s">
        <v>333</v>
      </c>
      <c r="P52" s="90" t="s">
        <v>333</v>
      </c>
      <c r="Q52" s="90" t="s">
        <v>333</v>
      </c>
      <c r="R52" s="90" t="s">
        <v>31</v>
      </c>
      <c r="S52" s="90" t="s">
        <v>333</v>
      </c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373"/>
      <c r="AF52" s="145">
        <f t="shared" ref="AF52:AF54" si="80">SUM(F52:AD52)</f>
        <v>0</v>
      </c>
      <c r="AG52" s="276"/>
      <c r="AH52" s="276"/>
    </row>
    <row r="53" spans="1:34" ht="30" customHeight="1">
      <c r="A53" s="396"/>
      <c r="B53" s="426"/>
      <c r="C53" s="427"/>
      <c r="D53" s="100" t="s">
        <v>337</v>
      </c>
      <c r="E53" s="134" t="s">
        <v>4</v>
      </c>
      <c r="F53" s="39">
        <f>F18*F23*F2</f>
        <v>7.56</v>
      </c>
      <c r="G53" s="39">
        <f t="shared" ref="G53:Q53" si="81">G18*G23*G2</f>
        <v>22.32</v>
      </c>
      <c r="H53" s="39">
        <f t="shared" si="81"/>
        <v>15.12</v>
      </c>
      <c r="I53" s="39">
        <f t="shared" si="81"/>
        <v>15.12</v>
      </c>
      <c r="J53" s="39">
        <f t="shared" si="81"/>
        <v>16.2</v>
      </c>
      <c r="K53" s="39">
        <f t="shared" si="81"/>
        <v>24.48</v>
      </c>
      <c r="L53" s="39">
        <f t="shared" si="81"/>
        <v>23.52</v>
      </c>
      <c r="M53" s="39">
        <f t="shared" si="81"/>
        <v>27.36</v>
      </c>
      <c r="N53" s="39">
        <f t="shared" si="81"/>
        <v>12.48</v>
      </c>
      <c r="O53" s="39">
        <f t="shared" si="81"/>
        <v>18</v>
      </c>
      <c r="P53" s="39">
        <f t="shared" si="81"/>
        <v>7.56</v>
      </c>
      <c r="Q53" s="39">
        <f t="shared" si="81"/>
        <v>24.48</v>
      </c>
      <c r="R53" s="39" t="s">
        <v>31</v>
      </c>
      <c r="S53" s="39">
        <f>S18*S23*S2</f>
        <v>17.28</v>
      </c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116"/>
      <c r="AF53" s="97">
        <f>SUM(F53:AD53)</f>
        <v>231.48</v>
      </c>
      <c r="AG53" s="276"/>
      <c r="AH53" s="276"/>
    </row>
    <row r="54" spans="1:34" ht="30.2" customHeight="1">
      <c r="A54" s="396"/>
      <c r="B54" s="426"/>
      <c r="C54" s="427"/>
      <c r="D54" s="100" t="s">
        <v>100</v>
      </c>
      <c r="E54" s="134" t="s">
        <v>0</v>
      </c>
      <c r="F54" s="95">
        <v>30</v>
      </c>
      <c r="G54" s="95">
        <v>30</v>
      </c>
      <c r="H54" s="95">
        <v>30</v>
      </c>
      <c r="I54" s="95">
        <v>30</v>
      </c>
      <c r="J54" s="95">
        <v>30</v>
      </c>
      <c r="K54" s="95">
        <v>30</v>
      </c>
      <c r="L54" s="95">
        <v>30</v>
      </c>
      <c r="M54" s="95">
        <v>30</v>
      </c>
      <c r="N54" s="95">
        <v>30</v>
      </c>
      <c r="O54" s="95">
        <v>30</v>
      </c>
      <c r="P54" s="95">
        <v>30</v>
      </c>
      <c r="Q54" s="95">
        <v>30</v>
      </c>
      <c r="R54" s="95" t="s">
        <v>31</v>
      </c>
      <c r="S54" s="95">
        <v>30</v>
      </c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376"/>
      <c r="AF54" s="97">
        <f t="shared" si="80"/>
        <v>390</v>
      </c>
      <c r="AG54" s="276"/>
      <c r="AH54" s="276"/>
    </row>
    <row r="55" spans="1:34" ht="12.75">
      <c r="A55" s="396"/>
      <c r="B55" s="426"/>
      <c r="C55" s="427"/>
      <c r="D55" s="100" t="s">
        <v>101</v>
      </c>
      <c r="E55" s="126" t="s">
        <v>4</v>
      </c>
      <c r="F55" s="39">
        <f>SUM(F53:F53)*(1+F54/100)</f>
        <v>9.8279999999999994</v>
      </c>
      <c r="G55" s="39">
        <f t="shared" ref="G55:P55" si="82">SUM(G53:G53)*(1+G54/100)</f>
        <v>29.016000000000002</v>
      </c>
      <c r="H55" s="39">
        <f t="shared" si="82"/>
        <v>19.655999999999999</v>
      </c>
      <c r="I55" s="39">
        <f t="shared" si="82"/>
        <v>19.655999999999999</v>
      </c>
      <c r="J55" s="39">
        <f t="shared" si="82"/>
        <v>21.06</v>
      </c>
      <c r="K55" s="39">
        <f t="shared" si="82"/>
        <v>31.824000000000002</v>
      </c>
      <c r="L55" s="39">
        <f t="shared" si="82"/>
        <v>30.576000000000001</v>
      </c>
      <c r="M55" s="39">
        <f t="shared" si="82"/>
        <v>35.567999999999998</v>
      </c>
      <c r="N55" s="39">
        <f t="shared" si="82"/>
        <v>16.224</v>
      </c>
      <c r="O55" s="39">
        <f t="shared" si="82"/>
        <v>23.400000000000002</v>
      </c>
      <c r="P55" s="39">
        <f t="shared" si="82"/>
        <v>9.8279999999999994</v>
      </c>
      <c r="Q55" s="39">
        <f t="shared" ref="Q55:S55" si="83">SUM(Q53:Q53)*(1+Q54/100)</f>
        <v>31.824000000000002</v>
      </c>
      <c r="R55" s="39" t="s">
        <v>31</v>
      </c>
      <c r="S55" s="39">
        <f t="shared" si="83"/>
        <v>22.464000000000002</v>
      </c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116"/>
      <c r="AF55" s="97">
        <f>SUM(F55:AD55)</f>
        <v>300.92400000000004</v>
      </c>
      <c r="AG55" s="276"/>
      <c r="AH55" s="276"/>
    </row>
    <row r="56" spans="1:34" ht="22.5">
      <c r="A56" s="396"/>
      <c r="B56" s="428"/>
      <c r="C56" s="429"/>
      <c r="D56" s="353" t="s">
        <v>365</v>
      </c>
      <c r="E56" s="354" t="s">
        <v>332</v>
      </c>
      <c r="F56" s="355">
        <f>F55*30</f>
        <v>294.83999999999997</v>
      </c>
      <c r="G56" s="355">
        <f t="shared" ref="G56:S56" si="84">G55*30</f>
        <v>870.48</v>
      </c>
      <c r="H56" s="355">
        <f t="shared" si="84"/>
        <v>589.67999999999995</v>
      </c>
      <c r="I56" s="355">
        <f t="shared" si="84"/>
        <v>589.67999999999995</v>
      </c>
      <c r="J56" s="355">
        <f t="shared" si="84"/>
        <v>631.79999999999995</v>
      </c>
      <c r="K56" s="355">
        <f t="shared" si="84"/>
        <v>954.72</v>
      </c>
      <c r="L56" s="355">
        <f t="shared" si="84"/>
        <v>917.28</v>
      </c>
      <c r="M56" s="355">
        <f t="shared" si="84"/>
        <v>1067.04</v>
      </c>
      <c r="N56" s="355">
        <f t="shared" si="84"/>
        <v>486.72</v>
      </c>
      <c r="O56" s="355">
        <f t="shared" si="84"/>
        <v>702.00000000000011</v>
      </c>
      <c r="P56" s="355">
        <f t="shared" si="84"/>
        <v>294.83999999999997</v>
      </c>
      <c r="Q56" s="355">
        <f t="shared" si="84"/>
        <v>954.72</v>
      </c>
      <c r="R56" s="355" t="s">
        <v>31</v>
      </c>
      <c r="S56" s="355">
        <f t="shared" si="84"/>
        <v>673.92000000000007</v>
      </c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5"/>
      <c r="AE56" s="379"/>
      <c r="AF56" s="139">
        <f>SUM(F56:AD56)</f>
        <v>9027.7199999999993</v>
      </c>
      <c r="AG56" s="276"/>
      <c r="AH56" s="276"/>
    </row>
    <row r="57" spans="1:34" ht="15" customHeight="1">
      <c r="A57" s="396"/>
      <c r="B57" s="424" t="s">
        <v>339</v>
      </c>
      <c r="C57" s="425"/>
      <c r="D57" s="105" t="s">
        <v>97</v>
      </c>
      <c r="E57" s="134" t="s">
        <v>31</v>
      </c>
      <c r="F57" s="352" t="s">
        <v>336</v>
      </c>
      <c r="G57" s="352" t="s">
        <v>336</v>
      </c>
      <c r="H57" s="352" t="s">
        <v>336</v>
      </c>
      <c r="I57" s="352" t="s">
        <v>336</v>
      </c>
      <c r="J57" s="352" t="s">
        <v>336</v>
      </c>
      <c r="K57" s="352" t="s">
        <v>336</v>
      </c>
      <c r="L57" s="352" t="s">
        <v>336</v>
      </c>
      <c r="M57" s="352" t="s">
        <v>336</v>
      </c>
      <c r="N57" s="352" t="s">
        <v>336</v>
      </c>
      <c r="O57" s="352" t="s">
        <v>336</v>
      </c>
      <c r="P57" s="352" t="s">
        <v>336</v>
      </c>
      <c r="Q57" s="352" t="s">
        <v>336</v>
      </c>
      <c r="R57" s="352" t="s">
        <v>31</v>
      </c>
      <c r="S57" s="352" t="s">
        <v>336</v>
      </c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2"/>
      <c r="AE57" s="380"/>
      <c r="AF57" s="137">
        <f t="shared" si="69"/>
        <v>0</v>
      </c>
      <c r="AG57" s="276"/>
      <c r="AH57" s="276"/>
    </row>
    <row r="58" spans="1:34" ht="30" customHeight="1">
      <c r="A58" s="396"/>
      <c r="B58" s="426"/>
      <c r="C58" s="427"/>
      <c r="D58" s="100" t="s">
        <v>98</v>
      </c>
      <c r="E58" s="134" t="s">
        <v>4</v>
      </c>
      <c r="F58" s="39">
        <f>IF(F19=0,"",IF(F23&lt;1.5,F19*F23*F2,""))</f>
        <v>2.016</v>
      </c>
      <c r="G58" s="39">
        <f t="shared" ref="G58:Q58" si="85">IF(G19=0,"",IF(G23&lt;1.5,G19*G23*G2,""))</f>
        <v>5.952</v>
      </c>
      <c r="H58" s="39">
        <f t="shared" si="85"/>
        <v>4.032</v>
      </c>
      <c r="I58" s="39">
        <f t="shared" si="85"/>
        <v>4.032</v>
      </c>
      <c r="J58" s="39">
        <f t="shared" si="85"/>
        <v>4.32</v>
      </c>
      <c r="K58" s="39" t="str">
        <f t="shared" si="85"/>
        <v/>
      </c>
      <c r="L58" s="39" t="str">
        <f t="shared" si="85"/>
        <v/>
      </c>
      <c r="M58" s="39" t="str">
        <f t="shared" si="85"/>
        <v/>
      </c>
      <c r="N58" s="39" t="str">
        <f t="shared" si="85"/>
        <v/>
      </c>
      <c r="O58" s="39">
        <f t="shared" si="85"/>
        <v>4.8</v>
      </c>
      <c r="P58" s="39">
        <f t="shared" si="85"/>
        <v>2.016</v>
      </c>
      <c r="Q58" s="39">
        <f t="shared" si="85"/>
        <v>6.5280000000000005</v>
      </c>
      <c r="R58" s="39" t="s">
        <v>31</v>
      </c>
      <c r="S58" s="39" t="str">
        <f>IF(S19=0,"",IF(S23&lt;1.5,S19*S23*S2,""))</f>
        <v/>
      </c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116"/>
      <c r="AF58" s="97">
        <f>SUM(F58:AD58)</f>
        <v>33.695999999999998</v>
      </c>
      <c r="AG58" s="276"/>
      <c r="AH58" s="276"/>
    </row>
    <row r="59" spans="1:34" ht="30.2" customHeight="1">
      <c r="A59" s="396"/>
      <c r="B59" s="426"/>
      <c r="C59" s="427"/>
      <c r="D59" s="100" t="s">
        <v>99</v>
      </c>
      <c r="E59" s="134" t="s">
        <v>4</v>
      </c>
      <c r="F59" s="39" t="str">
        <f t="shared" ref="F59:Q59" si="86">IF(F19=0,"",IF(F23&gt;=1.5,F19*F23*F2,""))</f>
        <v/>
      </c>
      <c r="G59" s="39" t="str">
        <f t="shared" si="86"/>
        <v/>
      </c>
      <c r="H59" s="39" t="str">
        <f t="shared" si="86"/>
        <v/>
      </c>
      <c r="I59" s="39" t="str">
        <f t="shared" si="86"/>
        <v/>
      </c>
      <c r="J59" s="39" t="str">
        <f t="shared" si="86"/>
        <v/>
      </c>
      <c r="K59" s="39">
        <f t="shared" si="86"/>
        <v>6.5280000000000005</v>
      </c>
      <c r="L59" s="39">
        <f t="shared" si="86"/>
        <v>6.2720000000000002</v>
      </c>
      <c r="M59" s="39">
        <f t="shared" si="86"/>
        <v>7.2960000000000003</v>
      </c>
      <c r="N59" s="39">
        <f t="shared" si="86"/>
        <v>3.3280000000000003</v>
      </c>
      <c r="O59" s="39" t="str">
        <f t="shared" si="86"/>
        <v/>
      </c>
      <c r="P59" s="39" t="str">
        <f t="shared" si="86"/>
        <v/>
      </c>
      <c r="Q59" s="39" t="str">
        <f t="shared" si="86"/>
        <v/>
      </c>
      <c r="R59" s="39" t="s">
        <v>31</v>
      </c>
      <c r="S59" s="39">
        <f>IF(S19=0,"",IF(S23&gt;=1.5,S19*S23*S2,""))</f>
        <v>4.6080000000000005</v>
      </c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116"/>
      <c r="AF59" s="97">
        <f t="shared" si="69"/>
        <v>28.032</v>
      </c>
      <c r="AG59" s="276"/>
      <c r="AH59" s="276"/>
    </row>
    <row r="60" spans="1:34" ht="30.2" customHeight="1">
      <c r="A60" s="396"/>
      <c r="B60" s="426"/>
      <c r="C60" s="427"/>
      <c r="D60" s="100" t="s">
        <v>100</v>
      </c>
      <c r="E60" s="134" t="s">
        <v>0</v>
      </c>
      <c r="F60" s="95">
        <v>30</v>
      </c>
      <c r="G60" s="95">
        <v>30</v>
      </c>
      <c r="H60" s="95">
        <v>30</v>
      </c>
      <c r="I60" s="95">
        <v>30</v>
      </c>
      <c r="J60" s="95">
        <v>30</v>
      </c>
      <c r="K60" s="95">
        <v>30</v>
      </c>
      <c r="L60" s="95">
        <v>30</v>
      </c>
      <c r="M60" s="95">
        <v>30</v>
      </c>
      <c r="N60" s="95">
        <v>30</v>
      </c>
      <c r="O60" s="95">
        <v>30</v>
      </c>
      <c r="P60" s="95">
        <v>30</v>
      </c>
      <c r="Q60" s="95">
        <v>30</v>
      </c>
      <c r="R60" s="95" t="s">
        <v>31</v>
      </c>
      <c r="S60" s="95">
        <v>30</v>
      </c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376"/>
      <c r="AF60" s="97">
        <f t="shared" si="69"/>
        <v>390</v>
      </c>
      <c r="AG60" s="276"/>
      <c r="AH60" s="276"/>
    </row>
    <row r="61" spans="1:34" ht="12.75">
      <c r="A61" s="396"/>
      <c r="B61" s="426"/>
      <c r="C61" s="427"/>
      <c r="D61" s="350" t="s">
        <v>101</v>
      </c>
      <c r="E61" s="351" t="s">
        <v>4</v>
      </c>
      <c r="F61" s="349">
        <f t="shared" ref="F61:G61" si="87">SUM(F58:F59)*(1+F60/100)</f>
        <v>2.6208</v>
      </c>
      <c r="G61" s="349">
        <f t="shared" si="87"/>
        <v>7.7376000000000005</v>
      </c>
      <c r="H61" s="349">
        <f t="shared" ref="H61:K61" si="88">SUM(H58:H59)*(1+H60/100)</f>
        <v>5.2416</v>
      </c>
      <c r="I61" s="349">
        <f>SUM(I58:I59)*(1+I60/100)</f>
        <v>5.2416</v>
      </c>
      <c r="J61" s="349">
        <f t="shared" si="88"/>
        <v>5.6160000000000005</v>
      </c>
      <c r="K61" s="349">
        <f t="shared" si="88"/>
        <v>8.4864000000000015</v>
      </c>
      <c r="L61" s="349">
        <f t="shared" ref="L61:P61" si="89">SUM(L58:L59)*(1+L60/100)</f>
        <v>8.1536000000000008</v>
      </c>
      <c r="M61" s="349">
        <f t="shared" ref="M61:O61" si="90">SUM(M58:M59)*(1+M60/100)</f>
        <v>9.4847999999999999</v>
      </c>
      <c r="N61" s="349">
        <f t="shared" si="90"/>
        <v>4.3264000000000005</v>
      </c>
      <c r="O61" s="349">
        <f t="shared" si="90"/>
        <v>6.24</v>
      </c>
      <c r="P61" s="349">
        <f t="shared" si="89"/>
        <v>2.6208</v>
      </c>
      <c r="Q61" s="349">
        <f t="shared" ref="Q61:S61" si="91">SUM(Q58:Q59)*(1+Q60/100)</f>
        <v>8.4864000000000015</v>
      </c>
      <c r="R61" s="349" t="s">
        <v>31</v>
      </c>
      <c r="S61" s="349">
        <f t="shared" si="91"/>
        <v>5.9904000000000011</v>
      </c>
      <c r="T61" s="349"/>
      <c r="U61" s="349"/>
      <c r="V61" s="349"/>
      <c r="W61" s="349"/>
      <c r="X61" s="349"/>
      <c r="Y61" s="349"/>
      <c r="Z61" s="349"/>
      <c r="AA61" s="349"/>
      <c r="AB61" s="349"/>
      <c r="AC61" s="349"/>
      <c r="AD61" s="349"/>
      <c r="AE61" s="378"/>
      <c r="AF61" s="143">
        <f>SUM(F61:AD61)</f>
        <v>80.246399999999994</v>
      </c>
      <c r="AG61" s="276"/>
      <c r="AH61" s="276"/>
    </row>
    <row r="62" spans="1:34" ht="22.5">
      <c r="A62" s="396"/>
      <c r="B62" s="428"/>
      <c r="C62" s="429"/>
      <c r="D62" s="353" t="s">
        <v>365</v>
      </c>
      <c r="E62" s="354" t="s">
        <v>332</v>
      </c>
      <c r="F62" s="355">
        <f t="shared" ref="F62:M62" si="92">F61*30</f>
        <v>78.623999999999995</v>
      </c>
      <c r="G62" s="355">
        <f t="shared" si="92"/>
        <v>232.12800000000001</v>
      </c>
      <c r="H62" s="355">
        <f t="shared" si="92"/>
        <v>157.24799999999999</v>
      </c>
      <c r="I62" s="355">
        <f>I61*30</f>
        <v>157.24799999999999</v>
      </c>
      <c r="J62" s="355">
        <f t="shared" si="92"/>
        <v>168.48000000000002</v>
      </c>
      <c r="K62" s="355">
        <f t="shared" si="92"/>
        <v>254.59200000000004</v>
      </c>
      <c r="L62" s="355">
        <f t="shared" si="92"/>
        <v>244.60800000000003</v>
      </c>
      <c r="M62" s="355">
        <f t="shared" si="92"/>
        <v>284.54399999999998</v>
      </c>
      <c r="N62" s="355">
        <f t="shared" ref="N62:Q62" si="93">N61*30</f>
        <v>129.792</v>
      </c>
      <c r="O62" s="355">
        <f t="shared" si="93"/>
        <v>187.20000000000002</v>
      </c>
      <c r="P62" s="355">
        <f t="shared" si="93"/>
        <v>78.623999999999995</v>
      </c>
      <c r="Q62" s="355">
        <f t="shared" si="93"/>
        <v>254.59200000000004</v>
      </c>
      <c r="R62" s="355"/>
      <c r="S62" s="355">
        <f>S61*30</f>
        <v>179.71200000000005</v>
      </c>
      <c r="T62" s="355"/>
      <c r="U62" s="355"/>
      <c r="V62" s="355"/>
      <c r="W62" s="355"/>
      <c r="X62" s="355"/>
      <c r="Y62" s="355"/>
      <c r="Z62" s="355"/>
      <c r="AA62" s="355"/>
      <c r="AB62" s="355"/>
      <c r="AC62" s="355"/>
      <c r="AD62" s="355"/>
      <c r="AE62" s="379"/>
      <c r="AF62" s="143">
        <f>SUM(F62:AD62)</f>
        <v>2407.3920000000003</v>
      </c>
      <c r="AG62" s="276"/>
      <c r="AH62" s="276"/>
    </row>
    <row r="63" spans="1:34" ht="22.5" hidden="1" customHeight="1">
      <c r="A63" s="396"/>
      <c r="B63" s="406" t="s">
        <v>102</v>
      </c>
      <c r="C63" s="107" t="s">
        <v>103</v>
      </c>
      <c r="D63" s="106" t="s">
        <v>54</v>
      </c>
      <c r="E63" s="132" t="s">
        <v>4</v>
      </c>
      <c r="F63" s="119" t="str">
        <f t="shared" ref="F63:Q63" si="94">IF(AND(F22&lt;=1.5,F24&lt;=0.8),SUM(F26:F37)-F39,"")</f>
        <v/>
      </c>
      <c r="G63" s="119" t="str">
        <f t="shared" si="94"/>
        <v/>
      </c>
      <c r="H63" s="119" t="str">
        <f t="shared" si="94"/>
        <v/>
      </c>
      <c r="I63" s="119" t="str">
        <f t="shared" si="94"/>
        <v/>
      </c>
      <c r="J63" s="119" t="str">
        <f t="shared" si="94"/>
        <v/>
      </c>
      <c r="K63" s="119" t="str">
        <f t="shared" si="94"/>
        <v/>
      </c>
      <c r="L63" s="119" t="str">
        <f t="shared" si="94"/>
        <v/>
      </c>
      <c r="M63" s="119" t="str">
        <f t="shared" si="94"/>
        <v/>
      </c>
      <c r="N63" s="119" t="str">
        <f t="shared" si="94"/>
        <v/>
      </c>
      <c r="O63" s="119" t="str">
        <f t="shared" si="94"/>
        <v/>
      </c>
      <c r="P63" s="119" t="str">
        <f t="shared" si="94"/>
        <v/>
      </c>
      <c r="Q63" s="119" t="str">
        <f t="shared" si="94"/>
        <v/>
      </c>
      <c r="R63" s="119" t="s">
        <v>31</v>
      </c>
      <c r="S63" s="119" t="str">
        <f t="shared" ref="S63:AD63" si="95">IF(AND(S22&lt;=1.5,S24&lt;=0.8),SUM(S26:S37)-S39,"")</f>
        <v/>
      </c>
      <c r="T63" s="119" t="str">
        <f t="shared" si="95"/>
        <v/>
      </c>
      <c r="U63" s="119">
        <f t="shared" si="95"/>
        <v>0</v>
      </c>
      <c r="V63" s="119">
        <f t="shared" si="95"/>
        <v>0</v>
      </c>
      <c r="W63" s="119">
        <f t="shared" si="95"/>
        <v>0</v>
      </c>
      <c r="X63" s="119">
        <f t="shared" si="95"/>
        <v>0</v>
      </c>
      <c r="Y63" s="119">
        <f t="shared" si="95"/>
        <v>0</v>
      </c>
      <c r="Z63" s="119">
        <f t="shared" si="95"/>
        <v>0</v>
      </c>
      <c r="AA63" s="119">
        <f t="shared" si="95"/>
        <v>0</v>
      </c>
      <c r="AB63" s="119">
        <f t="shared" si="95"/>
        <v>0</v>
      </c>
      <c r="AC63" s="119">
        <f t="shared" si="95"/>
        <v>0</v>
      </c>
      <c r="AD63" s="119" t="str">
        <f t="shared" si="95"/>
        <v/>
      </c>
      <c r="AE63" s="371"/>
      <c r="AF63" s="120">
        <f t="shared" si="69"/>
        <v>0</v>
      </c>
      <c r="AG63" s="277"/>
      <c r="AH63" s="277"/>
    </row>
    <row r="64" spans="1:34" ht="36" customHeight="1">
      <c r="A64" s="396"/>
      <c r="B64" s="406"/>
      <c r="C64" s="110" t="s">
        <v>104</v>
      </c>
      <c r="D64" s="103" t="s">
        <v>56</v>
      </c>
      <c r="E64" s="132" t="s">
        <v>4</v>
      </c>
      <c r="F64" s="39" t="str">
        <f t="shared" ref="F64:Q64" si="96">IF(AND(F22&lt;=1.5,F24&gt;0.8,F24&lt;=1.5),SUM(F26:F37)-F39,"")</f>
        <v/>
      </c>
      <c r="G64" s="39" t="str">
        <f t="shared" si="96"/>
        <v/>
      </c>
      <c r="H64" s="39" t="str">
        <f t="shared" si="96"/>
        <v/>
      </c>
      <c r="I64" s="39" t="str">
        <f t="shared" si="96"/>
        <v/>
      </c>
      <c r="J64" s="39" t="str">
        <f t="shared" si="96"/>
        <v/>
      </c>
      <c r="K64" s="39" t="str">
        <f t="shared" si="96"/>
        <v/>
      </c>
      <c r="L64" s="39" t="str">
        <f t="shared" si="96"/>
        <v/>
      </c>
      <c r="M64" s="39" t="str">
        <f t="shared" si="96"/>
        <v/>
      </c>
      <c r="N64" s="39" t="str">
        <f t="shared" si="96"/>
        <v/>
      </c>
      <c r="O64" s="39" t="str">
        <f t="shared" si="96"/>
        <v/>
      </c>
      <c r="P64" s="39" t="str">
        <f t="shared" si="96"/>
        <v/>
      </c>
      <c r="Q64" s="39" t="str">
        <f t="shared" si="96"/>
        <v/>
      </c>
      <c r="R64" s="39" t="s">
        <v>31</v>
      </c>
      <c r="S64" s="39" t="str">
        <f t="shared" ref="S64:AD64" si="97">IF(AND(S22&lt;=1.5,S24&gt;0.8,S24&lt;=1.5),SUM(S26:S37)-S39,"")</f>
        <v/>
      </c>
      <c r="T64" s="39" t="str">
        <f t="shared" si="97"/>
        <v/>
      </c>
      <c r="U64" s="39" t="str">
        <f t="shared" si="97"/>
        <v/>
      </c>
      <c r="V64" s="39" t="str">
        <f t="shared" si="97"/>
        <v/>
      </c>
      <c r="W64" s="39" t="str">
        <f t="shared" si="97"/>
        <v/>
      </c>
      <c r="X64" s="39" t="str">
        <f t="shared" si="97"/>
        <v/>
      </c>
      <c r="Y64" s="39" t="str">
        <f t="shared" si="97"/>
        <v/>
      </c>
      <c r="Z64" s="39" t="str">
        <f t="shared" si="97"/>
        <v/>
      </c>
      <c r="AA64" s="39" t="str">
        <f t="shared" si="97"/>
        <v/>
      </c>
      <c r="AB64" s="39" t="str">
        <f t="shared" si="97"/>
        <v/>
      </c>
      <c r="AC64" s="39" t="str">
        <f t="shared" si="97"/>
        <v/>
      </c>
      <c r="AD64" s="39">
        <f t="shared" si="97"/>
        <v>508.46503823634191</v>
      </c>
      <c r="AE64" s="116"/>
      <c r="AF64" s="96">
        <f t="shared" si="69"/>
        <v>508.46503823634191</v>
      </c>
      <c r="AG64" s="277"/>
      <c r="AH64" s="277"/>
    </row>
    <row r="65" spans="1:34" ht="32.25" customHeight="1">
      <c r="A65" s="396"/>
      <c r="B65" s="406"/>
      <c r="C65" s="110" t="s">
        <v>105</v>
      </c>
      <c r="D65" s="103" t="s">
        <v>58</v>
      </c>
      <c r="E65" s="132" t="s">
        <v>4</v>
      </c>
      <c r="F65" s="39">
        <f>IF(AND(F22&lt;=1.5,F24&gt;1.5),SUM(F26:F37)-F39,"")</f>
        <v>33.750437230211411</v>
      </c>
      <c r="G65" s="39">
        <f t="shared" ref="G65:Q65" si="98">IF(AND(G22&lt;=1.5,G24&gt;1.5),SUM(G26:G37)-G39,"")</f>
        <v>106.41266321300954</v>
      </c>
      <c r="H65" s="39" t="str">
        <f t="shared" si="98"/>
        <v/>
      </c>
      <c r="I65" s="39" t="str">
        <f t="shared" si="98"/>
        <v/>
      </c>
      <c r="J65" s="39">
        <f t="shared" si="98"/>
        <v>77.155212493312987</v>
      </c>
      <c r="K65" s="39" t="str">
        <f t="shared" si="98"/>
        <v/>
      </c>
      <c r="L65" s="39" t="str">
        <f t="shared" si="98"/>
        <v/>
      </c>
      <c r="M65" s="39" t="str">
        <f t="shared" si="98"/>
        <v/>
      </c>
      <c r="N65" s="39" t="str">
        <f t="shared" si="98"/>
        <v/>
      </c>
      <c r="O65" s="39">
        <f t="shared" si="98"/>
        <v>70.607413881455798</v>
      </c>
      <c r="P65" s="39">
        <f t="shared" si="98"/>
        <v>32.415884080210759</v>
      </c>
      <c r="Q65" s="39" t="str">
        <f t="shared" si="98"/>
        <v/>
      </c>
      <c r="R65" s="39" t="s">
        <v>31</v>
      </c>
      <c r="S65" s="39" t="str">
        <f t="shared" ref="S65:AD65" si="99">IF(AND(S22&lt;=1.5,S24&gt;1.5),SUM(S26:S37)-S39,"")</f>
        <v/>
      </c>
      <c r="T65" s="39" t="str">
        <f t="shared" si="99"/>
        <v/>
      </c>
      <c r="U65" s="39" t="str">
        <f t="shared" si="99"/>
        <v/>
      </c>
      <c r="V65" s="39" t="str">
        <f t="shared" si="99"/>
        <v/>
      </c>
      <c r="W65" s="39" t="str">
        <f t="shared" si="99"/>
        <v/>
      </c>
      <c r="X65" s="39" t="str">
        <f t="shared" si="99"/>
        <v/>
      </c>
      <c r="Y65" s="39" t="str">
        <f t="shared" si="99"/>
        <v/>
      </c>
      <c r="Z65" s="39" t="str">
        <f t="shared" si="99"/>
        <v/>
      </c>
      <c r="AA65" s="39" t="str">
        <f t="shared" si="99"/>
        <v/>
      </c>
      <c r="AB65" s="39" t="str">
        <f t="shared" si="99"/>
        <v/>
      </c>
      <c r="AC65" s="39" t="str">
        <f t="shared" si="99"/>
        <v/>
      </c>
      <c r="AD65" s="39" t="str">
        <f t="shared" si="99"/>
        <v/>
      </c>
      <c r="AE65" s="116"/>
      <c r="AF65" s="96">
        <f t="shared" si="69"/>
        <v>320.34161089820043</v>
      </c>
      <c r="AG65" s="277"/>
      <c r="AH65" s="277"/>
    </row>
    <row r="66" spans="1:34" ht="22.5" hidden="1" customHeight="1">
      <c r="A66" s="396"/>
      <c r="B66" s="406"/>
      <c r="C66" s="110" t="s">
        <v>106</v>
      </c>
      <c r="D66" s="103" t="s">
        <v>60</v>
      </c>
      <c r="E66" s="135" t="s">
        <v>4</v>
      </c>
      <c r="F66" s="39" t="str">
        <f t="shared" ref="F66:Q66" si="100">IF(AND(F22&gt;1.5,F22&lt;=3,F24&lt;=0.8),SUM(F26:F37)-F39,"")</f>
        <v/>
      </c>
      <c r="G66" s="39" t="str">
        <f t="shared" si="100"/>
        <v/>
      </c>
      <c r="H66" s="39" t="str">
        <f t="shared" si="100"/>
        <v/>
      </c>
      <c r="I66" s="39" t="str">
        <f t="shared" si="100"/>
        <v/>
      </c>
      <c r="J66" s="39" t="str">
        <f t="shared" si="100"/>
        <v/>
      </c>
      <c r="K66" s="39" t="str">
        <f t="shared" si="100"/>
        <v/>
      </c>
      <c r="L66" s="39" t="str">
        <f t="shared" si="100"/>
        <v/>
      </c>
      <c r="M66" s="39" t="str">
        <f t="shared" si="100"/>
        <v/>
      </c>
      <c r="N66" s="39" t="str">
        <f t="shared" si="100"/>
        <v/>
      </c>
      <c r="O66" s="39" t="str">
        <f t="shared" si="100"/>
        <v/>
      </c>
      <c r="P66" s="39" t="str">
        <f t="shared" si="100"/>
        <v/>
      </c>
      <c r="Q66" s="39" t="str">
        <f t="shared" si="100"/>
        <v/>
      </c>
      <c r="R66" s="39" t="s">
        <v>31</v>
      </c>
      <c r="S66" s="39" t="str">
        <f t="shared" ref="S66:AD66" si="101">IF(AND(S22&gt;1.5,S22&lt;=3,S24&lt;=0.8),SUM(S26:S37)-S39,"")</f>
        <v/>
      </c>
      <c r="T66" s="39" t="str">
        <f t="shared" si="101"/>
        <v/>
      </c>
      <c r="U66" s="39" t="str">
        <f t="shared" si="101"/>
        <v/>
      </c>
      <c r="V66" s="39" t="str">
        <f t="shared" si="101"/>
        <v/>
      </c>
      <c r="W66" s="39" t="str">
        <f t="shared" si="101"/>
        <v/>
      </c>
      <c r="X66" s="39" t="str">
        <f t="shared" si="101"/>
        <v/>
      </c>
      <c r="Y66" s="39" t="str">
        <f t="shared" si="101"/>
        <v/>
      </c>
      <c r="Z66" s="39" t="str">
        <f t="shared" si="101"/>
        <v/>
      </c>
      <c r="AA66" s="39" t="str">
        <f t="shared" si="101"/>
        <v/>
      </c>
      <c r="AB66" s="39" t="str">
        <f t="shared" si="101"/>
        <v/>
      </c>
      <c r="AC66" s="39" t="str">
        <f t="shared" si="101"/>
        <v/>
      </c>
      <c r="AD66" s="39" t="str">
        <f t="shared" si="101"/>
        <v/>
      </c>
      <c r="AE66" s="116"/>
      <c r="AF66" s="96">
        <f t="shared" si="69"/>
        <v>0</v>
      </c>
      <c r="AG66" s="277"/>
      <c r="AH66" s="277"/>
    </row>
    <row r="67" spans="1:34" ht="3" hidden="1" customHeight="1">
      <c r="A67" s="396"/>
      <c r="B67" s="406"/>
      <c r="C67" s="110" t="s">
        <v>107</v>
      </c>
      <c r="D67" s="103" t="s">
        <v>62</v>
      </c>
      <c r="E67" s="132" t="s">
        <v>4</v>
      </c>
      <c r="F67" s="39" t="str">
        <f t="shared" ref="F67:Q67" si="102">IF(AND(F22&gt;1.5,F22&lt;=3,F24&gt;0.8,F24&lt;=1.5),SUM(F26:F37)-F39,"")</f>
        <v/>
      </c>
      <c r="G67" s="39" t="str">
        <f t="shared" si="102"/>
        <v/>
      </c>
      <c r="H67" s="39" t="str">
        <f t="shared" si="102"/>
        <v/>
      </c>
      <c r="I67" s="39" t="str">
        <f t="shared" si="102"/>
        <v/>
      </c>
      <c r="J67" s="39" t="str">
        <f t="shared" si="102"/>
        <v/>
      </c>
      <c r="K67" s="39" t="str">
        <f t="shared" si="102"/>
        <v/>
      </c>
      <c r="L67" s="39" t="str">
        <f t="shared" si="102"/>
        <v/>
      </c>
      <c r="M67" s="39" t="str">
        <f t="shared" si="102"/>
        <v/>
      </c>
      <c r="N67" s="39" t="str">
        <f t="shared" si="102"/>
        <v/>
      </c>
      <c r="O67" s="39" t="str">
        <f t="shared" si="102"/>
        <v/>
      </c>
      <c r="P67" s="39" t="str">
        <f t="shared" si="102"/>
        <v/>
      </c>
      <c r="Q67" s="39" t="str">
        <f t="shared" si="102"/>
        <v/>
      </c>
      <c r="R67" s="39" t="s">
        <v>31</v>
      </c>
      <c r="S67" s="39" t="str">
        <f t="shared" ref="S67:AD67" si="103">IF(AND(S22&gt;1.5,S22&lt;=3,S24&gt;0.8,S24&lt;=1.5),SUM(S26:S37)-S39,"")</f>
        <v/>
      </c>
      <c r="T67" s="39" t="str">
        <f t="shared" si="103"/>
        <v/>
      </c>
      <c r="U67" s="39" t="str">
        <f t="shared" si="103"/>
        <v/>
      </c>
      <c r="V67" s="39" t="str">
        <f t="shared" si="103"/>
        <v/>
      </c>
      <c r="W67" s="39" t="str">
        <f t="shared" si="103"/>
        <v/>
      </c>
      <c r="X67" s="39" t="str">
        <f t="shared" si="103"/>
        <v/>
      </c>
      <c r="Y67" s="39" t="str">
        <f t="shared" si="103"/>
        <v/>
      </c>
      <c r="Z67" s="39" t="str">
        <f t="shared" si="103"/>
        <v/>
      </c>
      <c r="AA67" s="39" t="str">
        <f t="shared" si="103"/>
        <v/>
      </c>
      <c r="AB67" s="39" t="str">
        <f t="shared" si="103"/>
        <v/>
      </c>
      <c r="AC67" s="39" t="str">
        <f t="shared" si="103"/>
        <v/>
      </c>
      <c r="AD67" s="39" t="str">
        <f t="shared" si="103"/>
        <v/>
      </c>
      <c r="AE67" s="116"/>
      <c r="AF67" s="96">
        <f t="shared" si="69"/>
        <v>0</v>
      </c>
      <c r="AG67" s="277"/>
      <c r="AH67" s="277"/>
    </row>
    <row r="68" spans="1:34" ht="28.5" customHeight="1">
      <c r="A68" s="396"/>
      <c r="B68" s="406"/>
      <c r="C68" s="109" t="s">
        <v>108</v>
      </c>
      <c r="D68" s="101" t="s">
        <v>64</v>
      </c>
      <c r="E68" s="124" t="s">
        <v>4</v>
      </c>
      <c r="F68" s="39" t="str">
        <f t="shared" ref="F68:Q68" si="104">IF(AND(F22&gt;1.5,F22&lt;=3,F24&gt;1.5),SUM(F26:F37)-F39,"")</f>
        <v/>
      </c>
      <c r="G68" s="39" t="str">
        <f t="shared" si="104"/>
        <v/>
      </c>
      <c r="H68" s="39">
        <f t="shared" si="104"/>
        <v>85.763549660426449</v>
      </c>
      <c r="I68" s="39">
        <f t="shared" si="104"/>
        <v>88.994200160427511</v>
      </c>
      <c r="J68" s="39" t="str">
        <f t="shared" si="104"/>
        <v/>
      </c>
      <c r="K68" s="39">
        <f t="shared" si="104"/>
        <v>153.39703927588104</v>
      </c>
      <c r="L68" s="39">
        <f t="shared" si="104"/>
        <v>134.00351360820042</v>
      </c>
      <c r="M68" s="39">
        <f t="shared" si="104"/>
        <v>139.60030077893049</v>
      </c>
      <c r="N68" s="39">
        <f t="shared" si="104"/>
        <v>74.347293054863698</v>
      </c>
      <c r="O68" s="39" t="str">
        <f t="shared" si="104"/>
        <v/>
      </c>
      <c r="P68" s="39" t="str">
        <f t="shared" si="104"/>
        <v/>
      </c>
      <c r="Q68" s="39">
        <f t="shared" si="104"/>
        <v>129.27443807877179</v>
      </c>
      <c r="R68" s="39" t="s">
        <v>31</v>
      </c>
      <c r="S68" s="39">
        <f t="shared" ref="S68:AD68" si="105">IF(AND(S22&gt;1.5,S22&lt;=3,S24&gt;1.5),SUM(S26:S37)-S39,"")</f>
        <v>167.75867556827916</v>
      </c>
      <c r="T68" s="39">
        <f t="shared" si="105"/>
        <v>35.995479927433401</v>
      </c>
      <c r="U68" s="39" t="str">
        <f t="shared" si="105"/>
        <v/>
      </c>
      <c r="V68" s="39" t="str">
        <f t="shared" si="105"/>
        <v/>
      </c>
      <c r="W68" s="39" t="str">
        <f t="shared" si="105"/>
        <v/>
      </c>
      <c r="X68" s="39" t="str">
        <f t="shared" si="105"/>
        <v/>
      </c>
      <c r="Y68" s="39" t="str">
        <f t="shared" si="105"/>
        <v/>
      </c>
      <c r="Z68" s="39" t="str">
        <f t="shared" si="105"/>
        <v/>
      </c>
      <c r="AA68" s="39" t="str">
        <f t="shared" si="105"/>
        <v/>
      </c>
      <c r="AB68" s="39" t="str">
        <f t="shared" si="105"/>
        <v/>
      </c>
      <c r="AC68" s="39" t="str">
        <f t="shared" si="105"/>
        <v/>
      </c>
      <c r="AD68" s="39" t="str">
        <f t="shared" si="105"/>
        <v/>
      </c>
      <c r="AE68" s="116"/>
      <c r="AF68" s="96">
        <f t="shared" si="69"/>
        <v>1009.134490113214</v>
      </c>
      <c r="AG68" s="277"/>
      <c r="AH68" s="277"/>
    </row>
    <row r="69" spans="1:34" ht="22.5" hidden="1" customHeight="1">
      <c r="A69" s="396"/>
      <c r="B69" s="406"/>
      <c r="C69" s="107" t="s">
        <v>109</v>
      </c>
      <c r="D69" s="102" t="s">
        <v>67</v>
      </c>
      <c r="E69" s="128" t="s">
        <v>4</v>
      </c>
      <c r="F69" s="39" t="str">
        <f t="shared" ref="F69:Q69" si="106">IF(AND(F22&gt;3,F22&lt;=4.5,F24&lt;=0.8),SUM(F26:F37)-F39,"")</f>
        <v/>
      </c>
      <c r="G69" s="39" t="str">
        <f t="shared" si="106"/>
        <v/>
      </c>
      <c r="H69" s="39" t="str">
        <f t="shared" si="106"/>
        <v/>
      </c>
      <c r="I69" s="39" t="str">
        <f t="shared" si="106"/>
        <v/>
      </c>
      <c r="J69" s="39" t="str">
        <f t="shared" si="106"/>
        <v/>
      </c>
      <c r="K69" s="39" t="str">
        <f t="shared" si="106"/>
        <v/>
      </c>
      <c r="L69" s="39" t="str">
        <f t="shared" si="106"/>
        <v/>
      </c>
      <c r="M69" s="39" t="str">
        <f t="shared" si="106"/>
        <v/>
      </c>
      <c r="N69" s="39" t="str">
        <f t="shared" si="106"/>
        <v/>
      </c>
      <c r="O69" s="39" t="str">
        <f t="shared" si="106"/>
        <v/>
      </c>
      <c r="P69" s="39" t="str">
        <f t="shared" si="106"/>
        <v/>
      </c>
      <c r="Q69" s="39" t="str">
        <f t="shared" si="106"/>
        <v/>
      </c>
      <c r="R69" s="39" t="s">
        <v>31</v>
      </c>
      <c r="S69" s="39" t="str">
        <f t="shared" ref="S69:AD69" si="107">IF(AND(S22&gt;3,S22&lt;=4.5,S24&lt;=0.8),SUM(S26:S37)-S39,"")</f>
        <v/>
      </c>
      <c r="T69" s="39" t="str">
        <f t="shared" si="107"/>
        <v/>
      </c>
      <c r="U69" s="39" t="str">
        <f t="shared" si="107"/>
        <v/>
      </c>
      <c r="V69" s="39" t="str">
        <f t="shared" si="107"/>
        <v/>
      </c>
      <c r="W69" s="39" t="str">
        <f t="shared" si="107"/>
        <v/>
      </c>
      <c r="X69" s="39" t="str">
        <f t="shared" si="107"/>
        <v/>
      </c>
      <c r="Y69" s="39" t="str">
        <f t="shared" si="107"/>
        <v/>
      </c>
      <c r="Z69" s="39" t="str">
        <f t="shared" si="107"/>
        <v/>
      </c>
      <c r="AA69" s="39" t="str">
        <f t="shared" si="107"/>
        <v/>
      </c>
      <c r="AB69" s="39" t="str">
        <f t="shared" si="107"/>
        <v/>
      </c>
      <c r="AC69" s="39" t="str">
        <f t="shared" si="107"/>
        <v/>
      </c>
      <c r="AD69" s="39" t="str">
        <f t="shared" si="107"/>
        <v/>
      </c>
      <c r="AE69" s="116"/>
      <c r="AF69" s="96">
        <f t="shared" si="69"/>
        <v>0</v>
      </c>
      <c r="AG69" s="277"/>
      <c r="AH69" s="277"/>
    </row>
    <row r="70" spans="1:34" ht="22.5" hidden="1" customHeight="1">
      <c r="A70" s="396"/>
      <c r="B70" s="406"/>
      <c r="C70" s="110" t="s">
        <v>109</v>
      </c>
      <c r="D70" s="103" t="s">
        <v>70</v>
      </c>
      <c r="E70" s="135" t="s">
        <v>4</v>
      </c>
      <c r="F70" s="39" t="str">
        <f t="shared" ref="F70:Q70" si="108">IF(AND(F22&gt;3,F22&lt;=4.5,F24&gt;0.8,F24&lt;=1.5),SUM(F26:F37)-F39,"")</f>
        <v/>
      </c>
      <c r="G70" s="39" t="str">
        <f t="shared" si="108"/>
        <v/>
      </c>
      <c r="H70" s="39" t="str">
        <f t="shared" si="108"/>
        <v/>
      </c>
      <c r="I70" s="39" t="str">
        <f t="shared" si="108"/>
        <v/>
      </c>
      <c r="J70" s="39" t="str">
        <f t="shared" si="108"/>
        <v/>
      </c>
      <c r="K70" s="39" t="str">
        <f t="shared" si="108"/>
        <v/>
      </c>
      <c r="L70" s="39" t="str">
        <f t="shared" si="108"/>
        <v/>
      </c>
      <c r="M70" s="39" t="str">
        <f t="shared" si="108"/>
        <v/>
      </c>
      <c r="N70" s="39" t="str">
        <f t="shared" si="108"/>
        <v/>
      </c>
      <c r="O70" s="39" t="str">
        <f t="shared" si="108"/>
        <v/>
      </c>
      <c r="P70" s="39" t="str">
        <f t="shared" si="108"/>
        <v/>
      </c>
      <c r="Q70" s="39" t="str">
        <f t="shared" si="108"/>
        <v/>
      </c>
      <c r="R70" s="39" t="s">
        <v>31</v>
      </c>
      <c r="S70" s="39" t="str">
        <f t="shared" ref="S70:AD70" si="109">IF(AND(S22&gt;3,S22&lt;=4.5,S24&gt;0.8,S24&lt;=1.5),SUM(S26:S37)-S39,"")</f>
        <v/>
      </c>
      <c r="T70" s="39" t="str">
        <f t="shared" si="109"/>
        <v/>
      </c>
      <c r="U70" s="39" t="str">
        <f t="shared" si="109"/>
        <v/>
      </c>
      <c r="V70" s="39" t="str">
        <f t="shared" si="109"/>
        <v/>
      </c>
      <c r="W70" s="39" t="str">
        <f t="shared" si="109"/>
        <v/>
      </c>
      <c r="X70" s="39" t="str">
        <f t="shared" si="109"/>
        <v/>
      </c>
      <c r="Y70" s="39" t="str">
        <f t="shared" si="109"/>
        <v/>
      </c>
      <c r="Z70" s="39" t="str">
        <f t="shared" si="109"/>
        <v/>
      </c>
      <c r="AA70" s="39" t="str">
        <f t="shared" si="109"/>
        <v/>
      </c>
      <c r="AB70" s="39" t="str">
        <f t="shared" si="109"/>
        <v/>
      </c>
      <c r="AC70" s="39" t="str">
        <f t="shared" si="109"/>
        <v/>
      </c>
      <c r="AD70" s="39" t="str">
        <f t="shared" si="109"/>
        <v/>
      </c>
      <c r="AE70" s="116"/>
      <c r="AF70" s="96">
        <f t="shared" si="69"/>
        <v>0</v>
      </c>
      <c r="AG70" s="277"/>
      <c r="AH70" s="277"/>
    </row>
    <row r="71" spans="1:34" ht="22.5" hidden="1" customHeight="1">
      <c r="A71" s="396"/>
      <c r="B71" s="406"/>
      <c r="C71" s="110" t="s">
        <v>110</v>
      </c>
      <c r="D71" s="106" t="s">
        <v>74</v>
      </c>
      <c r="E71" s="135" t="s">
        <v>4</v>
      </c>
      <c r="F71" s="39" t="str">
        <f t="shared" ref="F71:Q71" si="110">IF(AND(F22&gt;3,F22&lt;=4.5,F24&gt;1.5),SUM(F26:F37)-F39,"")</f>
        <v/>
      </c>
      <c r="G71" s="39" t="str">
        <f t="shared" si="110"/>
        <v/>
      </c>
      <c r="H71" s="39" t="str">
        <f t="shared" si="110"/>
        <v/>
      </c>
      <c r="I71" s="39" t="str">
        <f t="shared" si="110"/>
        <v/>
      </c>
      <c r="J71" s="39" t="str">
        <f t="shared" si="110"/>
        <v/>
      </c>
      <c r="K71" s="39" t="str">
        <f t="shared" si="110"/>
        <v/>
      </c>
      <c r="L71" s="39" t="str">
        <f t="shared" si="110"/>
        <v/>
      </c>
      <c r="M71" s="39" t="str">
        <f t="shared" si="110"/>
        <v/>
      </c>
      <c r="N71" s="39" t="str">
        <f t="shared" si="110"/>
        <v/>
      </c>
      <c r="O71" s="39" t="str">
        <f t="shared" si="110"/>
        <v/>
      </c>
      <c r="P71" s="39" t="str">
        <f t="shared" si="110"/>
        <v/>
      </c>
      <c r="Q71" s="39" t="str">
        <f t="shared" si="110"/>
        <v/>
      </c>
      <c r="R71" s="39" t="s">
        <v>31</v>
      </c>
      <c r="S71" s="39" t="str">
        <f t="shared" ref="S71:AD71" si="111">IF(AND(S22&gt;3,S22&lt;=4.5,S24&gt;1.5),SUM(S26:S37)-S39,"")</f>
        <v/>
      </c>
      <c r="T71" s="39" t="str">
        <f t="shared" si="111"/>
        <v/>
      </c>
      <c r="U71" s="39" t="str">
        <f t="shared" si="111"/>
        <v/>
      </c>
      <c r="V71" s="39" t="str">
        <f t="shared" si="111"/>
        <v/>
      </c>
      <c r="W71" s="39" t="str">
        <f t="shared" si="111"/>
        <v/>
      </c>
      <c r="X71" s="39" t="str">
        <f t="shared" si="111"/>
        <v/>
      </c>
      <c r="Y71" s="39" t="str">
        <f t="shared" si="111"/>
        <v/>
      </c>
      <c r="Z71" s="39" t="str">
        <f t="shared" si="111"/>
        <v/>
      </c>
      <c r="AA71" s="39" t="str">
        <f t="shared" si="111"/>
        <v/>
      </c>
      <c r="AB71" s="39" t="str">
        <f t="shared" si="111"/>
        <v/>
      </c>
      <c r="AC71" s="39" t="str">
        <f t="shared" si="111"/>
        <v/>
      </c>
      <c r="AD71" s="39" t="str">
        <f t="shared" si="111"/>
        <v/>
      </c>
      <c r="AE71" s="116"/>
      <c r="AF71" s="96">
        <f t="shared" si="69"/>
        <v>0</v>
      </c>
      <c r="AG71" s="277"/>
      <c r="AH71" s="277"/>
    </row>
    <row r="72" spans="1:34" ht="22.5" hidden="1" customHeight="1">
      <c r="A72" s="396"/>
      <c r="B72" s="406"/>
      <c r="C72" s="110" t="s">
        <v>111</v>
      </c>
      <c r="D72" s="106" t="s">
        <v>78</v>
      </c>
      <c r="E72" s="135" t="s">
        <v>4</v>
      </c>
      <c r="F72" s="39" t="str">
        <f t="shared" ref="F72:Q72" si="112">IF(AND(F22&gt;4.5,F24&lt;=0.8),SUM(F26:F37)-F39,"")</f>
        <v/>
      </c>
      <c r="G72" s="39" t="str">
        <f t="shared" si="112"/>
        <v/>
      </c>
      <c r="H72" s="39" t="str">
        <f t="shared" si="112"/>
        <v/>
      </c>
      <c r="I72" s="39" t="str">
        <f t="shared" si="112"/>
        <v/>
      </c>
      <c r="J72" s="39" t="str">
        <f t="shared" si="112"/>
        <v/>
      </c>
      <c r="K72" s="39" t="str">
        <f t="shared" si="112"/>
        <v/>
      </c>
      <c r="L72" s="39" t="str">
        <f t="shared" si="112"/>
        <v/>
      </c>
      <c r="M72" s="39" t="str">
        <f t="shared" si="112"/>
        <v/>
      </c>
      <c r="N72" s="39" t="str">
        <f t="shared" si="112"/>
        <v/>
      </c>
      <c r="O72" s="39" t="str">
        <f t="shared" si="112"/>
        <v/>
      </c>
      <c r="P72" s="39" t="str">
        <f t="shared" si="112"/>
        <v/>
      </c>
      <c r="Q72" s="39" t="str">
        <f t="shared" si="112"/>
        <v/>
      </c>
      <c r="R72" s="39" t="s">
        <v>31</v>
      </c>
      <c r="S72" s="39" t="str">
        <f t="shared" ref="S72:AD72" si="113">IF(AND(S22&gt;4.5,S24&lt;=0.8),SUM(S26:S37)-S39,"")</f>
        <v/>
      </c>
      <c r="T72" s="39" t="str">
        <f t="shared" si="113"/>
        <v/>
      </c>
      <c r="U72" s="39" t="str">
        <f t="shared" si="113"/>
        <v/>
      </c>
      <c r="V72" s="39" t="str">
        <f t="shared" si="113"/>
        <v/>
      </c>
      <c r="W72" s="39" t="str">
        <f t="shared" si="113"/>
        <v/>
      </c>
      <c r="X72" s="39" t="str">
        <f t="shared" si="113"/>
        <v/>
      </c>
      <c r="Y72" s="39" t="str">
        <f t="shared" si="113"/>
        <v/>
      </c>
      <c r="Z72" s="39" t="str">
        <f t="shared" si="113"/>
        <v/>
      </c>
      <c r="AA72" s="39" t="str">
        <f t="shared" si="113"/>
        <v/>
      </c>
      <c r="AB72" s="39" t="str">
        <f t="shared" si="113"/>
        <v/>
      </c>
      <c r="AC72" s="39" t="str">
        <f t="shared" si="113"/>
        <v/>
      </c>
      <c r="AD72" s="39" t="str">
        <f t="shared" si="113"/>
        <v/>
      </c>
      <c r="AE72" s="116"/>
      <c r="AF72" s="96">
        <f t="shared" si="69"/>
        <v>0</v>
      </c>
      <c r="AG72" s="277"/>
      <c r="AH72" s="277"/>
    </row>
    <row r="73" spans="1:34" ht="22.5" hidden="1" customHeight="1">
      <c r="A73" s="396"/>
      <c r="B73" s="406"/>
      <c r="C73" s="110" t="s">
        <v>111</v>
      </c>
      <c r="D73" s="106" t="s">
        <v>80</v>
      </c>
      <c r="E73" s="135" t="s">
        <v>4</v>
      </c>
      <c r="F73" s="39" t="str">
        <f t="shared" ref="F73:Q73" si="114">IF(AND(F22&gt;4.5,F24&gt;0.8,F24&lt;=1.5),SUM(F26:F37)-F39,"")</f>
        <v/>
      </c>
      <c r="G73" s="39" t="str">
        <f t="shared" si="114"/>
        <v/>
      </c>
      <c r="H73" s="39" t="str">
        <f t="shared" si="114"/>
        <v/>
      </c>
      <c r="I73" s="39" t="str">
        <f t="shared" si="114"/>
        <v/>
      </c>
      <c r="J73" s="39" t="str">
        <f t="shared" si="114"/>
        <v/>
      </c>
      <c r="K73" s="39" t="str">
        <f t="shared" si="114"/>
        <v/>
      </c>
      <c r="L73" s="39" t="str">
        <f t="shared" si="114"/>
        <v/>
      </c>
      <c r="M73" s="39" t="str">
        <f t="shared" si="114"/>
        <v/>
      </c>
      <c r="N73" s="39" t="str">
        <f t="shared" si="114"/>
        <v/>
      </c>
      <c r="O73" s="39" t="str">
        <f t="shared" si="114"/>
        <v/>
      </c>
      <c r="P73" s="39" t="str">
        <f t="shared" si="114"/>
        <v/>
      </c>
      <c r="Q73" s="39" t="str">
        <f t="shared" si="114"/>
        <v/>
      </c>
      <c r="R73" s="39" t="s">
        <v>31</v>
      </c>
      <c r="S73" s="39" t="str">
        <f t="shared" ref="S73:AD73" si="115">IF(AND(S22&gt;4.5,S24&gt;0.8,S24&lt;=1.5),SUM(S26:S37)-S39,"")</f>
        <v/>
      </c>
      <c r="T73" s="39" t="str">
        <f t="shared" si="115"/>
        <v/>
      </c>
      <c r="U73" s="39" t="str">
        <f t="shared" si="115"/>
        <v/>
      </c>
      <c r="V73" s="39" t="str">
        <f t="shared" si="115"/>
        <v/>
      </c>
      <c r="W73" s="39" t="str">
        <f t="shared" si="115"/>
        <v/>
      </c>
      <c r="X73" s="39" t="str">
        <f t="shared" si="115"/>
        <v/>
      </c>
      <c r="Y73" s="39" t="str">
        <f t="shared" si="115"/>
        <v/>
      </c>
      <c r="Z73" s="39" t="str">
        <f t="shared" si="115"/>
        <v/>
      </c>
      <c r="AA73" s="39" t="str">
        <f t="shared" si="115"/>
        <v/>
      </c>
      <c r="AB73" s="39" t="str">
        <f t="shared" si="115"/>
        <v/>
      </c>
      <c r="AC73" s="39" t="str">
        <f t="shared" si="115"/>
        <v/>
      </c>
      <c r="AD73" s="39" t="str">
        <f t="shared" si="115"/>
        <v/>
      </c>
      <c r="AE73" s="116"/>
      <c r="AF73" s="96">
        <f t="shared" si="69"/>
        <v>0</v>
      </c>
      <c r="AG73" s="277"/>
      <c r="AH73" s="277"/>
    </row>
    <row r="74" spans="1:34" ht="22.5" hidden="1" customHeight="1">
      <c r="A74" s="396"/>
      <c r="B74" s="406"/>
      <c r="C74" s="109" t="s">
        <v>112</v>
      </c>
      <c r="D74" s="101" t="s">
        <v>81</v>
      </c>
      <c r="E74" s="124" t="s">
        <v>4</v>
      </c>
      <c r="F74" s="39" t="str">
        <f t="shared" ref="F74:Q74" si="116">IF(AND(F22&gt;4.5,F24&gt;1.5),SUM(F26:F37)-F39,"")</f>
        <v/>
      </c>
      <c r="G74" s="39" t="str">
        <f t="shared" si="116"/>
        <v/>
      </c>
      <c r="H74" s="39" t="str">
        <f t="shared" si="116"/>
        <v/>
      </c>
      <c r="I74" s="39" t="str">
        <f t="shared" si="116"/>
        <v/>
      </c>
      <c r="J74" s="39" t="str">
        <f t="shared" si="116"/>
        <v/>
      </c>
      <c r="K74" s="39" t="str">
        <f t="shared" si="116"/>
        <v/>
      </c>
      <c r="L74" s="39" t="str">
        <f t="shared" si="116"/>
        <v/>
      </c>
      <c r="M74" s="39" t="str">
        <f t="shared" si="116"/>
        <v/>
      </c>
      <c r="N74" s="39" t="str">
        <f t="shared" si="116"/>
        <v/>
      </c>
      <c r="O74" s="39" t="str">
        <f t="shared" si="116"/>
        <v/>
      </c>
      <c r="P74" s="39" t="str">
        <f t="shared" si="116"/>
        <v/>
      </c>
      <c r="Q74" s="39" t="str">
        <f t="shared" si="116"/>
        <v/>
      </c>
      <c r="R74" s="39" t="s">
        <v>31</v>
      </c>
      <c r="S74" s="39" t="str">
        <f t="shared" ref="S74:AD74" si="117">IF(AND(S22&gt;4.5,S24&gt;1.5),SUM(S26:S37)-S39,"")</f>
        <v/>
      </c>
      <c r="T74" s="39" t="str">
        <f t="shared" si="117"/>
        <v/>
      </c>
      <c r="U74" s="39" t="str">
        <f t="shared" si="117"/>
        <v/>
      </c>
      <c r="V74" s="39" t="str">
        <f t="shared" si="117"/>
        <v/>
      </c>
      <c r="W74" s="39" t="str">
        <f t="shared" si="117"/>
        <v/>
      </c>
      <c r="X74" s="39" t="str">
        <f t="shared" si="117"/>
        <v/>
      </c>
      <c r="Y74" s="39" t="str">
        <f t="shared" si="117"/>
        <v/>
      </c>
      <c r="Z74" s="39" t="str">
        <f t="shared" si="117"/>
        <v/>
      </c>
      <c r="AA74" s="39" t="str">
        <f t="shared" si="117"/>
        <v/>
      </c>
      <c r="AB74" s="39" t="str">
        <f t="shared" si="117"/>
        <v/>
      </c>
      <c r="AC74" s="39" t="str">
        <f t="shared" si="117"/>
        <v/>
      </c>
      <c r="AD74" s="39" t="str">
        <f t="shared" si="117"/>
        <v/>
      </c>
      <c r="AE74" s="116"/>
      <c r="AF74" s="144">
        <f t="shared" si="69"/>
        <v>0</v>
      </c>
      <c r="AG74" s="277"/>
      <c r="AH74" s="277"/>
    </row>
    <row r="75" spans="1:34" ht="15" customHeight="1">
      <c r="A75" s="396"/>
      <c r="B75" s="390" t="s">
        <v>364</v>
      </c>
      <c r="C75" s="390"/>
      <c r="D75" s="390"/>
      <c r="E75" s="129" t="s">
        <v>113</v>
      </c>
      <c r="F75" s="39">
        <f t="shared" ref="F75:Q75" si="118">VLOOKUP(F4,$AK$18:$AL$34,2,FALSE)*F2*F3*30</f>
        <v>10.5</v>
      </c>
      <c r="G75" s="39">
        <f t="shared" si="118"/>
        <v>30.999999999999996</v>
      </c>
      <c r="H75" s="39">
        <f t="shared" si="118"/>
        <v>21</v>
      </c>
      <c r="I75" s="39">
        <f t="shared" si="118"/>
        <v>21</v>
      </c>
      <c r="J75" s="39">
        <f t="shared" si="118"/>
        <v>22.5</v>
      </c>
      <c r="K75" s="39">
        <f t="shared" si="118"/>
        <v>49.725000000000001</v>
      </c>
      <c r="L75" s="39">
        <f t="shared" si="118"/>
        <v>47.774999999999999</v>
      </c>
      <c r="M75" s="39">
        <f t="shared" si="118"/>
        <v>55.575000000000003</v>
      </c>
      <c r="N75" s="39">
        <f t="shared" si="118"/>
        <v>25.349999999999998</v>
      </c>
      <c r="O75" s="39">
        <f t="shared" si="118"/>
        <v>25</v>
      </c>
      <c r="P75" s="39">
        <f t="shared" si="118"/>
        <v>10.5</v>
      </c>
      <c r="Q75" s="39">
        <f t="shared" si="118"/>
        <v>34</v>
      </c>
      <c r="R75" s="39">
        <f t="shared" ref="R75" si="119">VLOOKUP(R4,$AK$18:$AL$34,2,FALSE)*R2*R3*30</f>
        <v>31.467899999999997</v>
      </c>
      <c r="S75" s="39">
        <f t="shared" ref="S75:AB75" si="120">VLOOKUP(S4,$AK$18:$AL$34,2,FALSE)*S2*S3*30</f>
        <v>35.099999999999994</v>
      </c>
      <c r="T75" s="39">
        <f t="shared" si="120"/>
        <v>12.674999999999999</v>
      </c>
      <c r="U75" s="39">
        <f t="shared" si="120"/>
        <v>0</v>
      </c>
      <c r="V75" s="39">
        <f t="shared" si="120"/>
        <v>0</v>
      </c>
      <c r="W75" s="39">
        <f t="shared" si="120"/>
        <v>0</v>
      </c>
      <c r="X75" s="39">
        <f t="shared" si="120"/>
        <v>0</v>
      </c>
      <c r="Y75" s="39">
        <f t="shared" si="120"/>
        <v>0</v>
      </c>
      <c r="Z75" s="39">
        <f t="shared" si="120"/>
        <v>0</v>
      </c>
      <c r="AA75" s="39">
        <f t="shared" si="120"/>
        <v>0</v>
      </c>
      <c r="AB75" s="39">
        <f t="shared" si="120"/>
        <v>0</v>
      </c>
      <c r="AC75" s="39">
        <f>VLOOKUP(AC4,$AK$18:$AL$34,2,FALSE)*AC2*AC3*30</f>
        <v>0</v>
      </c>
      <c r="AD75" s="39">
        <f>VLOOKUP(AD4,$AK$18:$AL$34,2,FALSE)*AD2*AD3*30</f>
        <v>110.16000000000001</v>
      </c>
      <c r="AE75" s="116"/>
      <c r="AF75" s="146">
        <f>TRUNC(SUM(F75:AD75),1)</f>
        <v>543.29999999999995</v>
      </c>
      <c r="AG75" s="276"/>
      <c r="AH75" s="276"/>
    </row>
    <row r="76" spans="1:34" ht="21.75" customHeight="1">
      <c r="A76" s="396"/>
      <c r="B76" s="390" t="s">
        <v>378</v>
      </c>
      <c r="C76" s="390"/>
      <c r="D76" s="390"/>
      <c r="E76" s="129" t="s">
        <v>113</v>
      </c>
      <c r="F76" s="39">
        <f>TRUNC(VLOOKUP(F4,$AK$18:$AL$34,2,FALSE)*F2*F3*331,1)</f>
        <v>115.8</v>
      </c>
      <c r="G76" s="39">
        <f>TRUNC(VLOOKUP(G4,$AK$18:$AL$34,2,FALSE)*G2*G3*331,2)</f>
        <v>342.03</v>
      </c>
      <c r="H76" s="39">
        <f t="shared" ref="H76:M76" si="121">TRUNC(VLOOKUP(H4,$AK$18:$AL$34,2,FALSE)*H2*H3*331,1)</f>
        <v>231.7</v>
      </c>
      <c r="I76" s="39">
        <f t="shared" si="121"/>
        <v>231.7</v>
      </c>
      <c r="J76" s="39">
        <f t="shared" si="121"/>
        <v>248.2</v>
      </c>
      <c r="K76" s="39">
        <f t="shared" si="121"/>
        <v>548.6</v>
      </c>
      <c r="L76" s="39">
        <f t="shared" si="121"/>
        <v>527.1</v>
      </c>
      <c r="M76" s="39">
        <f t="shared" si="121"/>
        <v>613.1</v>
      </c>
      <c r="N76" s="39">
        <f t="shared" ref="N76:AC76" si="122">TRUNC(VLOOKUP(N4,$AK$18:$AL$34,2,FALSE)*N2*N3*331,2)</f>
        <v>279.69</v>
      </c>
      <c r="O76" s="39">
        <f t="shared" si="122"/>
        <v>275.83</v>
      </c>
      <c r="P76" s="39">
        <f t="shared" si="122"/>
        <v>115.85</v>
      </c>
      <c r="Q76" s="39">
        <f t="shared" si="122"/>
        <v>375.13</v>
      </c>
      <c r="R76" s="39">
        <f t="shared" si="122"/>
        <v>347.19</v>
      </c>
      <c r="S76" s="39">
        <f t="shared" si="122"/>
        <v>387.27</v>
      </c>
      <c r="T76" s="39">
        <f>TRUNC(VLOOKUP(T4,$AK$18:$AL$34,2,FALSE)*T2*T3*331,1)</f>
        <v>139.80000000000001</v>
      </c>
      <c r="U76" s="39">
        <f t="shared" si="122"/>
        <v>0</v>
      </c>
      <c r="V76" s="39">
        <f t="shared" si="122"/>
        <v>0</v>
      </c>
      <c r="W76" s="39">
        <f t="shared" si="122"/>
        <v>0</v>
      </c>
      <c r="X76" s="39">
        <f t="shared" si="122"/>
        <v>0</v>
      </c>
      <c r="Y76" s="39">
        <f t="shared" si="122"/>
        <v>0</v>
      </c>
      <c r="Z76" s="39">
        <f t="shared" si="122"/>
        <v>0</v>
      </c>
      <c r="AA76" s="39">
        <f t="shared" si="122"/>
        <v>0</v>
      </c>
      <c r="AB76" s="39">
        <f t="shared" si="122"/>
        <v>0</v>
      </c>
      <c r="AC76" s="39">
        <f t="shared" si="122"/>
        <v>0</v>
      </c>
      <c r="AD76" s="39">
        <f>TRUNC(VLOOKUP(AD4,$AK$18:$AL$34,2,FALSE)*AD2*AD3*331,2)</f>
        <v>1215.43</v>
      </c>
      <c r="AE76" s="378"/>
      <c r="AF76" s="146">
        <f>SUM(F76:AD76)-0.01</f>
        <v>5994.4100000000008</v>
      </c>
      <c r="AG76" s="276"/>
      <c r="AH76" s="276"/>
    </row>
    <row r="77" spans="1:34" ht="12.75" hidden="1">
      <c r="A77" s="397"/>
      <c r="B77" s="394" t="s">
        <v>114</v>
      </c>
      <c r="C77" s="394"/>
      <c r="D77" s="394"/>
      <c r="E77" s="131" t="s">
        <v>31</v>
      </c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4"/>
      <c r="AD77" s="114"/>
      <c r="AE77" s="117"/>
      <c r="AF77" s="147" t="s">
        <v>31</v>
      </c>
      <c r="AG77" s="278"/>
      <c r="AH77" s="278"/>
    </row>
    <row r="78" spans="1:34" ht="29.25" customHeight="1">
      <c r="B78" s="386" t="s">
        <v>2</v>
      </c>
      <c r="C78" s="386"/>
      <c r="D78" s="386"/>
    </row>
    <row r="79" spans="1:34">
      <c r="D79" s="32"/>
    </row>
  </sheetData>
  <mergeCells count="50">
    <mergeCell ref="B52:C56"/>
    <mergeCell ref="B57:C62"/>
    <mergeCell ref="B39:B43"/>
    <mergeCell ref="C43:D43"/>
    <mergeCell ref="B48:C49"/>
    <mergeCell ref="B44:C47"/>
    <mergeCell ref="AI31:AK31"/>
    <mergeCell ref="AJ37:AK37"/>
    <mergeCell ref="C7:D7"/>
    <mergeCell ref="B25:D25"/>
    <mergeCell ref="B15:D15"/>
    <mergeCell ref="C12:D12"/>
    <mergeCell ref="AH1:AH11"/>
    <mergeCell ref="AL16:AL17"/>
    <mergeCell ref="AK16:AK17"/>
    <mergeCell ref="AJ16:AJ17"/>
    <mergeCell ref="AI16:AI17"/>
    <mergeCell ref="AH16:AH28"/>
    <mergeCell ref="A1:A77"/>
    <mergeCell ref="B3:B14"/>
    <mergeCell ref="B26:B37"/>
    <mergeCell ref="B1:D1"/>
    <mergeCell ref="B2:D2"/>
    <mergeCell ref="B75:D75"/>
    <mergeCell ref="B77:D77"/>
    <mergeCell ref="C14:D14"/>
    <mergeCell ref="B63:B74"/>
    <mergeCell ref="C3:D3"/>
    <mergeCell ref="C4:D4"/>
    <mergeCell ref="C5:D5"/>
    <mergeCell ref="C8:D8"/>
    <mergeCell ref="C6:D6"/>
    <mergeCell ref="B19:D19"/>
    <mergeCell ref="C42:D42"/>
    <mergeCell ref="B78:D78"/>
    <mergeCell ref="C9:D9"/>
    <mergeCell ref="C13:D13"/>
    <mergeCell ref="C41:D41"/>
    <mergeCell ref="C10:D10"/>
    <mergeCell ref="C11:D11"/>
    <mergeCell ref="B16:C17"/>
    <mergeCell ref="B18:D18"/>
    <mergeCell ref="B20:D20"/>
    <mergeCell ref="B21:C22"/>
    <mergeCell ref="B23:C24"/>
    <mergeCell ref="C39:D39"/>
    <mergeCell ref="C40:D40"/>
    <mergeCell ref="B38:D38"/>
    <mergeCell ref="B50:C51"/>
    <mergeCell ref="B76:D76"/>
  </mergeCells>
  <phoneticPr fontId="14" type="noConversion"/>
  <conditionalFormatting sqref="F21:AE21">
    <cfRule type="expression" dxfId="0" priority="3">
      <formula>F23&gt;3.5</formula>
    </cfRule>
  </conditionalFormatting>
  <pageMargins left="0.59055118110236227" right="0.59055118110236227" top="0.59055118110236227" bottom="0.59055118110236227" header="0" footer="0"/>
  <pageSetup paperSize="8" scale="65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02"/>
  <sheetViews>
    <sheetView showGridLines="0" tabSelected="1" view="pageBreakPreview" zoomScale="85" zoomScaleNormal="100" zoomScaleSheetLayoutView="85" workbookViewId="0">
      <pane xSplit="3" ySplit="1" topLeftCell="D43" activePane="bottomRight" state="frozen"/>
      <selection activeCell="Q83" sqref="Q83"/>
      <selection pane="topRight" activeCell="Q83" sqref="Q83"/>
      <selection pane="bottomLeft" activeCell="Q83" sqref="Q83"/>
      <selection pane="bottomRight" activeCell="Q83" sqref="Q83"/>
    </sheetView>
  </sheetViews>
  <sheetFormatPr defaultColWidth="9" defaultRowHeight="12.75"/>
  <cols>
    <col min="1" max="1" width="6" style="22" customWidth="1"/>
    <col min="2" max="2" width="15.5703125" style="23" customWidth="1"/>
    <col min="3" max="3" width="22.5703125" style="23" customWidth="1"/>
    <col min="4" max="4" width="11.42578125" style="89" customWidth="1"/>
    <col min="5" max="5" width="12.7109375" style="89" customWidth="1"/>
    <col min="6" max="6" width="12.42578125" style="89" customWidth="1"/>
    <col min="7" max="7" width="11" style="89" customWidth="1"/>
    <col min="8" max="8" width="12.5703125" style="89" customWidth="1"/>
    <col min="9" max="9" width="13.5703125" style="89" customWidth="1"/>
    <col min="10" max="12" width="13" style="89" customWidth="1"/>
    <col min="13" max="13" width="15.42578125" style="89" customWidth="1"/>
    <col min="14" max="20" width="13.5703125" style="89" customWidth="1"/>
    <col min="21" max="21" width="13.42578125" style="93" customWidth="1"/>
    <col min="22" max="22" width="11" style="22" customWidth="1"/>
    <col min="23" max="26" width="9" style="22"/>
    <col min="27" max="27" width="8.28515625" style="22" customWidth="1"/>
    <col min="28" max="28" width="7.7109375" style="22" customWidth="1"/>
    <col min="29" max="29" width="6.140625" style="22" customWidth="1"/>
    <col min="30" max="242" width="9" style="22"/>
    <col min="243" max="243" width="9.28515625" style="22" customWidth="1"/>
    <col min="244" max="244" width="15.7109375" style="22" customWidth="1"/>
    <col min="245" max="245" width="29.28515625" style="22" customWidth="1"/>
    <col min="246" max="252" width="15.140625" style="22" customWidth="1"/>
    <col min="253" max="253" width="18.42578125" style="22" bestFit="1" customWidth="1"/>
    <col min="254" max="254" width="14.7109375" style="22" customWidth="1"/>
    <col min="255" max="255" width="11" style="22" customWidth="1"/>
    <col min="256" max="256" width="14.28515625" style="22" bestFit="1" customWidth="1"/>
    <col min="257" max="257" width="10.42578125" style="22" bestFit="1" customWidth="1"/>
    <col min="258" max="498" width="9" style="22"/>
    <col min="499" max="499" width="9.28515625" style="22" customWidth="1"/>
    <col min="500" max="500" width="15.7109375" style="22" customWidth="1"/>
    <col min="501" max="501" width="29.28515625" style="22" customWidth="1"/>
    <col min="502" max="508" width="15.140625" style="22" customWidth="1"/>
    <col min="509" max="509" width="18.42578125" style="22" bestFit="1" customWidth="1"/>
    <col min="510" max="510" width="14.7109375" style="22" customWidth="1"/>
    <col min="511" max="511" width="11" style="22" customWidth="1"/>
    <col min="512" max="512" width="14.28515625" style="22" bestFit="1" customWidth="1"/>
    <col min="513" max="513" width="10.42578125" style="22" bestFit="1" customWidth="1"/>
    <col min="514" max="754" width="9" style="22"/>
    <col min="755" max="755" width="9.28515625" style="22" customWidth="1"/>
    <col min="756" max="756" width="15.7109375" style="22" customWidth="1"/>
    <col min="757" max="757" width="29.28515625" style="22" customWidth="1"/>
    <col min="758" max="764" width="15.140625" style="22" customWidth="1"/>
    <col min="765" max="765" width="18.42578125" style="22" bestFit="1" customWidth="1"/>
    <col min="766" max="766" width="14.7109375" style="22" customWidth="1"/>
    <col min="767" max="767" width="11" style="22" customWidth="1"/>
    <col min="768" max="768" width="14.28515625" style="22" bestFit="1" customWidth="1"/>
    <col min="769" max="769" width="10.42578125" style="22" bestFit="1" customWidth="1"/>
    <col min="770" max="1010" width="9" style="22"/>
    <col min="1011" max="1011" width="9.28515625" style="22" customWidth="1"/>
    <col min="1012" max="1012" width="15.7109375" style="22" customWidth="1"/>
    <col min="1013" max="1013" width="29.28515625" style="22" customWidth="1"/>
    <col min="1014" max="1020" width="15.140625" style="22" customWidth="1"/>
    <col min="1021" max="1021" width="18.42578125" style="22" bestFit="1" customWidth="1"/>
    <col min="1022" max="1022" width="14.7109375" style="22" customWidth="1"/>
    <col min="1023" max="1023" width="11" style="22" customWidth="1"/>
    <col min="1024" max="1024" width="14.28515625" style="22" bestFit="1" customWidth="1"/>
    <col min="1025" max="1025" width="10.42578125" style="22" bestFit="1" customWidth="1"/>
    <col min="1026" max="1266" width="9" style="22"/>
    <col min="1267" max="1267" width="9.28515625" style="22" customWidth="1"/>
    <col min="1268" max="1268" width="15.7109375" style="22" customWidth="1"/>
    <col min="1269" max="1269" width="29.28515625" style="22" customWidth="1"/>
    <col min="1270" max="1276" width="15.140625" style="22" customWidth="1"/>
    <col min="1277" max="1277" width="18.42578125" style="22" bestFit="1" customWidth="1"/>
    <col min="1278" max="1278" width="14.7109375" style="22" customWidth="1"/>
    <col min="1279" max="1279" width="11" style="22" customWidth="1"/>
    <col min="1280" max="1280" width="14.28515625" style="22" bestFit="1" customWidth="1"/>
    <col min="1281" max="1281" width="10.42578125" style="22" bestFit="1" customWidth="1"/>
    <col min="1282" max="1522" width="9" style="22"/>
    <col min="1523" max="1523" width="9.28515625" style="22" customWidth="1"/>
    <col min="1524" max="1524" width="15.7109375" style="22" customWidth="1"/>
    <col min="1525" max="1525" width="29.28515625" style="22" customWidth="1"/>
    <col min="1526" max="1532" width="15.140625" style="22" customWidth="1"/>
    <col min="1533" max="1533" width="18.42578125" style="22" bestFit="1" customWidth="1"/>
    <col min="1534" max="1534" width="14.7109375" style="22" customWidth="1"/>
    <col min="1535" max="1535" width="11" style="22" customWidth="1"/>
    <col min="1536" max="1536" width="14.28515625" style="22" bestFit="1" customWidth="1"/>
    <col min="1537" max="1537" width="10.42578125" style="22" bestFit="1" customWidth="1"/>
    <col min="1538" max="1778" width="9" style="22"/>
    <col min="1779" max="1779" width="9.28515625" style="22" customWidth="1"/>
    <col min="1780" max="1780" width="15.7109375" style="22" customWidth="1"/>
    <col min="1781" max="1781" width="29.28515625" style="22" customWidth="1"/>
    <col min="1782" max="1788" width="15.140625" style="22" customWidth="1"/>
    <col min="1789" max="1789" width="18.42578125" style="22" bestFit="1" customWidth="1"/>
    <col min="1790" max="1790" width="14.7109375" style="22" customWidth="1"/>
    <col min="1791" max="1791" width="11" style="22" customWidth="1"/>
    <col min="1792" max="1792" width="14.28515625" style="22" bestFit="1" customWidth="1"/>
    <col min="1793" max="1793" width="10.42578125" style="22" bestFit="1" customWidth="1"/>
    <col min="1794" max="2034" width="9" style="22"/>
    <col min="2035" max="2035" width="9.28515625" style="22" customWidth="1"/>
    <col min="2036" max="2036" width="15.7109375" style="22" customWidth="1"/>
    <col min="2037" max="2037" width="29.28515625" style="22" customWidth="1"/>
    <col min="2038" max="2044" width="15.140625" style="22" customWidth="1"/>
    <col min="2045" max="2045" width="18.42578125" style="22" bestFit="1" customWidth="1"/>
    <col min="2046" max="2046" width="14.7109375" style="22" customWidth="1"/>
    <col min="2047" max="2047" width="11" style="22" customWidth="1"/>
    <col min="2048" max="2048" width="14.28515625" style="22" bestFit="1" customWidth="1"/>
    <col min="2049" max="2049" width="10.42578125" style="22" bestFit="1" customWidth="1"/>
    <col min="2050" max="2290" width="9" style="22"/>
    <col min="2291" max="2291" width="9.28515625" style="22" customWidth="1"/>
    <col min="2292" max="2292" width="15.7109375" style="22" customWidth="1"/>
    <col min="2293" max="2293" width="29.28515625" style="22" customWidth="1"/>
    <col min="2294" max="2300" width="15.140625" style="22" customWidth="1"/>
    <col min="2301" max="2301" width="18.42578125" style="22" bestFit="1" customWidth="1"/>
    <col min="2302" max="2302" width="14.7109375" style="22" customWidth="1"/>
    <col min="2303" max="2303" width="11" style="22" customWidth="1"/>
    <col min="2304" max="2304" width="14.28515625" style="22" bestFit="1" customWidth="1"/>
    <col min="2305" max="2305" width="10.42578125" style="22" bestFit="1" customWidth="1"/>
    <col min="2306" max="2546" width="9" style="22"/>
    <col min="2547" max="2547" width="9.28515625" style="22" customWidth="1"/>
    <col min="2548" max="2548" width="15.7109375" style="22" customWidth="1"/>
    <col min="2549" max="2549" width="29.28515625" style="22" customWidth="1"/>
    <col min="2550" max="2556" width="15.140625" style="22" customWidth="1"/>
    <col min="2557" max="2557" width="18.42578125" style="22" bestFit="1" customWidth="1"/>
    <col min="2558" max="2558" width="14.7109375" style="22" customWidth="1"/>
    <col min="2559" max="2559" width="11" style="22" customWidth="1"/>
    <col min="2560" max="2560" width="14.28515625" style="22" bestFit="1" customWidth="1"/>
    <col min="2561" max="2561" width="10.42578125" style="22" bestFit="1" customWidth="1"/>
    <col min="2562" max="2802" width="9" style="22"/>
    <col min="2803" max="2803" width="9.28515625" style="22" customWidth="1"/>
    <col min="2804" max="2804" width="15.7109375" style="22" customWidth="1"/>
    <col min="2805" max="2805" width="29.28515625" style="22" customWidth="1"/>
    <col min="2806" max="2812" width="15.140625" style="22" customWidth="1"/>
    <col min="2813" max="2813" width="18.42578125" style="22" bestFit="1" customWidth="1"/>
    <col min="2814" max="2814" width="14.7109375" style="22" customWidth="1"/>
    <col min="2815" max="2815" width="11" style="22" customWidth="1"/>
    <col min="2816" max="2816" width="14.28515625" style="22" bestFit="1" customWidth="1"/>
    <col min="2817" max="2817" width="10.42578125" style="22" bestFit="1" customWidth="1"/>
    <col min="2818" max="3058" width="9" style="22"/>
    <col min="3059" max="3059" width="9.28515625" style="22" customWidth="1"/>
    <col min="3060" max="3060" width="15.7109375" style="22" customWidth="1"/>
    <col min="3061" max="3061" width="29.28515625" style="22" customWidth="1"/>
    <col min="3062" max="3068" width="15.140625" style="22" customWidth="1"/>
    <col min="3069" max="3069" width="18.42578125" style="22" bestFit="1" customWidth="1"/>
    <col min="3070" max="3070" width="14.7109375" style="22" customWidth="1"/>
    <col min="3071" max="3071" width="11" style="22" customWidth="1"/>
    <col min="3072" max="3072" width="14.28515625" style="22" bestFit="1" customWidth="1"/>
    <col min="3073" max="3073" width="10.42578125" style="22" bestFit="1" customWidth="1"/>
    <col min="3074" max="3314" width="9" style="22"/>
    <col min="3315" max="3315" width="9.28515625" style="22" customWidth="1"/>
    <col min="3316" max="3316" width="15.7109375" style="22" customWidth="1"/>
    <col min="3317" max="3317" width="29.28515625" style="22" customWidth="1"/>
    <col min="3318" max="3324" width="15.140625" style="22" customWidth="1"/>
    <col min="3325" max="3325" width="18.42578125" style="22" bestFit="1" customWidth="1"/>
    <col min="3326" max="3326" width="14.7109375" style="22" customWidth="1"/>
    <col min="3327" max="3327" width="11" style="22" customWidth="1"/>
    <col min="3328" max="3328" width="14.28515625" style="22" bestFit="1" customWidth="1"/>
    <col min="3329" max="3329" width="10.42578125" style="22" bestFit="1" customWidth="1"/>
    <col min="3330" max="3570" width="9" style="22"/>
    <col min="3571" max="3571" width="9.28515625" style="22" customWidth="1"/>
    <col min="3572" max="3572" width="15.7109375" style="22" customWidth="1"/>
    <col min="3573" max="3573" width="29.28515625" style="22" customWidth="1"/>
    <col min="3574" max="3580" width="15.140625" style="22" customWidth="1"/>
    <col min="3581" max="3581" width="18.42578125" style="22" bestFit="1" customWidth="1"/>
    <col min="3582" max="3582" width="14.7109375" style="22" customWidth="1"/>
    <col min="3583" max="3583" width="11" style="22" customWidth="1"/>
    <col min="3584" max="3584" width="14.28515625" style="22" bestFit="1" customWidth="1"/>
    <col min="3585" max="3585" width="10.42578125" style="22" bestFit="1" customWidth="1"/>
    <col min="3586" max="3826" width="9" style="22"/>
    <col min="3827" max="3827" width="9.28515625" style="22" customWidth="1"/>
    <col min="3828" max="3828" width="15.7109375" style="22" customWidth="1"/>
    <col min="3829" max="3829" width="29.28515625" style="22" customWidth="1"/>
    <col min="3830" max="3836" width="15.140625" style="22" customWidth="1"/>
    <col min="3837" max="3837" width="18.42578125" style="22" bestFit="1" customWidth="1"/>
    <col min="3838" max="3838" width="14.7109375" style="22" customWidth="1"/>
    <col min="3839" max="3839" width="11" style="22" customWidth="1"/>
    <col min="3840" max="3840" width="14.28515625" style="22" bestFit="1" customWidth="1"/>
    <col min="3841" max="3841" width="10.42578125" style="22" bestFit="1" customWidth="1"/>
    <col min="3842" max="4082" width="9" style="22"/>
    <col min="4083" max="4083" width="9.28515625" style="22" customWidth="1"/>
    <col min="4084" max="4084" width="15.7109375" style="22" customWidth="1"/>
    <col min="4085" max="4085" width="29.28515625" style="22" customWidth="1"/>
    <col min="4086" max="4092" width="15.140625" style="22" customWidth="1"/>
    <col min="4093" max="4093" width="18.42578125" style="22" bestFit="1" customWidth="1"/>
    <col min="4094" max="4094" width="14.7109375" style="22" customWidth="1"/>
    <col min="4095" max="4095" width="11" style="22" customWidth="1"/>
    <col min="4096" max="4096" width="14.28515625" style="22" bestFit="1" customWidth="1"/>
    <col min="4097" max="4097" width="10.42578125" style="22" bestFit="1" customWidth="1"/>
    <col min="4098" max="4338" width="9" style="22"/>
    <col min="4339" max="4339" width="9.28515625" style="22" customWidth="1"/>
    <col min="4340" max="4340" width="15.7109375" style="22" customWidth="1"/>
    <col min="4341" max="4341" width="29.28515625" style="22" customWidth="1"/>
    <col min="4342" max="4348" width="15.140625" style="22" customWidth="1"/>
    <col min="4349" max="4349" width="18.42578125" style="22" bestFit="1" customWidth="1"/>
    <col min="4350" max="4350" width="14.7109375" style="22" customWidth="1"/>
    <col min="4351" max="4351" width="11" style="22" customWidth="1"/>
    <col min="4352" max="4352" width="14.28515625" style="22" bestFit="1" customWidth="1"/>
    <col min="4353" max="4353" width="10.42578125" style="22" bestFit="1" customWidth="1"/>
    <col min="4354" max="4594" width="9" style="22"/>
    <col min="4595" max="4595" width="9.28515625" style="22" customWidth="1"/>
    <col min="4596" max="4596" width="15.7109375" style="22" customWidth="1"/>
    <col min="4597" max="4597" width="29.28515625" style="22" customWidth="1"/>
    <col min="4598" max="4604" width="15.140625" style="22" customWidth="1"/>
    <col min="4605" max="4605" width="18.42578125" style="22" bestFit="1" customWidth="1"/>
    <col min="4606" max="4606" width="14.7109375" style="22" customWidth="1"/>
    <col min="4607" max="4607" width="11" style="22" customWidth="1"/>
    <col min="4608" max="4608" width="14.28515625" style="22" bestFit="1" customWidth="1"/>
    <col min="4609" max="4609" width="10.42578125" style="22" bestFit="1" customWidth="1"/>
    <col min="4610" max="4850" width="9" style="22"/>
    <col min="4851" max="4851" width="9.28515625" style="22" customWidth="1"/>
    <col min="4852" max="4852" width="15.7109375" style="22" customWidth="1"/>
    <col min="4853" max="4853" width="29.28515625" style="22" customWidth="1"/>
    <col min="4854" max="4860" width="15.140625" style="22" customWidth="1"/>
    <col min="4861" max="4861" width="18.42578125" style="22" bestFit="1" customWidth="1"/>
    <col min="4862" max="4862" width="14.7109375" style="22" customWidth="1"/>
    <col min="4863" max="4863" width="11" style="22" customWidth="1"/>
    <col min="4864" max="4864" width="14.28515625" style="22" bestFit="1" customWidth="1"/>
    <col min="4865" max="4865" width="10.42578125" style="22" bestFit="1" customWidth="1"/>
    <col min="4866" max="5106" width="9" style="22"/>
    <col min="5107" max="5107" width="9.28515625" style="22" customWidth="1"/>
    <col min="5108" max="5108" width="15.7109375" style="22" customWidth="1"/>
    <col min="5109" max="5109" width="29.28515625" style="22" customWidth="1"/>
    <col min="5110" max="5116" width="15.140625" style="22" customWidth="1"/>
    <col min="5117" max="5117" width="18.42578125" style="22" bestFit="1" customWidth="1"/>
    <col min="5118" max="5118" width="14.7109375" style="22" customWidth="1"/>
    <col min="5119" max="5119" width="11" style="22" customWidth="1"/>
    <col min="5120" max="5120" width="14.28515625" style="22" bestFit="1" customWidth="1"/>
    <col min="5121" max="5121" width="10.42578125" style="22" bestFit="1" customWidth="1"/>
    <col min="5122" max="5362" width="9" style="22"/>
    <col min="5363" max="5363" width="9.28515625" style="22" customWidth="1"/>
    <col min="5364" max="5364" width="15.7109375" style="22" customWidth="1"/>
    <col min="5365" max="5365" width="29.28515625" style="22" customWidth="1"/>
    <col min="5366" max="5372" width="15.140625" style="22" customWidth="1"/>
    <col min="5373" max="5373" width="18.42578125" style="22" bestFit="1" customWidth="1"/>
    <col min="5374" max="5374" width="14.7109375" style="22" customWidth="1"/>
    <col min="5375" max="5375" width="11" style="22" customWidth="1"/>
    <col min="5376" max="5376" width="14.28515625" style="22" bestFit="1" customWidth="1"/>
    <col min="5377" max="5377" width="10.42578125" style="22" bestFit="1" customWidth="1"/>
    <col min="5378" max="5618" width="9" style="22"/>
    <col min="5619" max="5619" width="9.28515625" style="22" customWidth="1"/>
    <col min="5620" max="5620" width="15.7109375" style="22" customWidth="1"/>
    <col min="5621" max="5621" width="29.28515625" style="22" customWidth="1"/>
    <col min="5622" max="5628" width="15.140625" style="22" customWidth="1"/>
    <col min="5629" max="5629" width="18.42578125" style="22" bestFit="1" customWidth="1"/>
    <col min="5630" max="5630" width="14.7109375" style="22" customWidth="1"/>
    <col min="5631" max="5631" width="11" style="22" customWidth="1"/>
    <col min="5632" max="5632" width="14.28515625" style="22" bestFit="1" customWidth="1"/>
    <col min="5633" max="5633" width="10.42578125" style="22" bestFit="1" customWidth="1"/>
    <col min="5634" max="5874" width="9" style="22"/>
    <col min="5875" max="5875" width="9.28515625" style="22" customWidth="1"/>
    <col min="5876" max="5876" width="15.7109375" style="22" customWidth="1"/>
    <col min="5877" max="5877" width="29.28515625" style="22" customWidth="1"/>
    <col min="5878" max="5884" width="15.140625" style="22" customWidth="1"/>
    <col min="5885" max="5885" width="18.42578125" style="22" bestFit="1" customWidth="1"/>
    <col min="5886" max="5886" width="14.7109375" style="22" customWidth="1"/>
    <col min="5887" max="5887" width="11" style="22" customWidth="1"/>
    <col min="5888" max="5888" width="14.28515625" style="22" bestFit="1" customWidth="1"/>
    <col min="5889" max="5889" width="10.42578125" style="22" bestFit="1" customWidth="1"/>
    <col min="5890" max="6130" width="9" style="22"/>
    <col min="6131" max="6131" width="9.28515625" style="22" customWidth="1"/>
    <col min="6132" max="6132" width="15.7109375" style="22" customWidth="1"/>
    <col min="6133" max="6133" width="29.28515625" style="22" customWidth="1"/>
    <col min="6134" max="6140" width="15.140625" style="22" customWidth="1"/>
    <col min="6141" max="6141" width="18.42578125" style="22" bestFit="1" customWidth="1"/>
    <col min="6142" max="6142" width="14.7109375" style="22" customWidth="1"/>
    <col min="6143" max="6143" width="11" style="22" customWidth="1"/>
    <col min="6144" max="6144" width="14.28515625" style="22" bestFit="1" customWidth="1"/>
    <col min="6145" max="6145" width="10.42578125" style="22" bestFit="1" customWidth="1"/>
    <col min="6146" max="6386" width="9" style="22"/>
    <col min="6387" max="6387" width="9.28515625" style="22" customWidth="1"/>
    <col min="6388" max="6388" width="15.7109375" style="22" customWidth="1"/>
    <col min="6389" max="6389" width="29.28515625" style="22" customWidth="1"/>
    <col min="6390" max="6396" width="15.140625" style="22" customWidth="1"/>
    <col min="6397" max="6397" width="18.42578125" style="22" bestFit="1" customWidth="1"/>
    <col min="6398" max="6398" width="14.7109375" style="22" customWidth="1"/>
    <col min="6399" max="6399" width="11" style="22" customWidth="1"/>
    <col min="6400" max="6400" width="14.28515625" style="22" bestFit="1" customWidth="1"/>
    <col min="6401" max="6401" width="10.42578125" style="22" bestFit="1" customWidth="1"/>
    <col min="6402" max="6642" width="9" style="22"/>
    <col min="6643" max="6643" width="9.28515625" style="22" customWidth="1"/>
    <col min="6644" max="6644" width="15.7109375" style="22" customWidth="1"/>
    <col min="6645" max="6645" width="29.28515625" style="22" customWidth="1"/>
    <col min="6646" max="6652" width="15.140625" style="22" customWidth="1"/>
    <col min="6653" max="6653" width="18.42578125" style="22" bestFit="1" customWidth="1"/>
    <col min="6654" max="6654" width="14.7109375" style="22" customWidth="1"/>
    <col min="6655" max="6655" width="11" style="22" customWidth="1"/>
    <col min="6656" max="6656" width="14.28515625" style="22" bestFit="1" customWidth="1"/>
    <col min="6657" max="6657" width="10.42578125" style="22" bestFit="1" customWidth="1"/>
    <col min="6658" max="6898" width="9" style="22"/>
    <col min="6899" max="6899" width="9.28515625" style="22" customWidth="1"/>
    <col min="6900" max="6900" width="15.7109375" style="22" customWidth="1"/>
    <col min="6901" max="6901" width="29.28515625" style="22" customWidth="1"/>
    <col min="6902" max="6908" width="15.140625" style="22" customWidth="1"/>
    <col min="6909" max="6909" width="18.42578125" style="22" bestFit="1" customWidth="1"/>
    <col min="6910" max="6910" width="14.7109375" style="22" customWidth="1"/>
    <col min="6911" max="6911" width="11" style="22" customWidth="1"/>
    <col min="6912" max="6912" width="14.28515625" style="22" bestFit="1" customWidth="1"/>
    <col min="6913" max="6913" width="10.42578125" style="22" bestFit="1" customWidth="1"/>
    <col min="6914" max="7154" width="9" style="22"/>
    <col min="7155" max="7155" width="9.28515625" style="22" customWidth="1"/>
    <col min="7156" max="7156" width="15.7109375" style="22" customWidth="1"/>
    <col min="7157" max="7157" width="29.28515625" style="22" customWidth="1"/>
    <col min="7158" max="7164" width="15.140625" style="22" customWidth="1"/>
    <col min="7165" max="7165" width="18.42578125" style="22" bestFit="1" customWidth="1"/>
    <col min="7166" max="7166" width="14.7109375" style="22" customWidth="1"/>
    <col min="7167" max="7167" width="11" style="22" customWidth="1"/>
    <col min="7168" max="7168" width="14.28515625" style="22" bestFit="1" customWidth="1"/>
    <col min="7169" max="7169" width="10.42578125" style="22" bestFit="1" customWidth="1"/>
    <col min="7170" max="7410" width="9" style="22"/>
    <col min="7411" max="7411" width="9.28515625" style="22" customWidth="1"/>
    <col min="7412" max="7412" width="15.7109375" style="22" customWidth="1"/>
    <col min="7413" max="7413" width="29.28515625" style="22" customWidth="1"/>
    <col min="7414" max="7420" width="15.140625" style="22" customWidth="1"/>
    <col min="7421" max="7421" width="18.42578125" style="22" bestFit="1" customWidth="1"/>
    <col min="7422" max="7422" width="14.7109375" style="22" customWidth="1"/>
    <col min="7423" max="7423" width="11" style="22" customWidth="1"/>
    <col min="7424" max="7424" width="14.28515625" style="22" bestFit="1" customWidth="1"/>
    <col min="7425" max="7425" width="10.42578125" style="22" bestFit="1" customWidth="1"/>
    <col min="7426" max="7666" width="9" style="22"/>
    <col min="7667" max="7667" width="9.28515625" style="22" customWidth="1"/>
    <col min="7668" max="7668" width="15.7109375" style="22" customWidth="1"/>
    <col min="7669" max="7669" width="29.28515625" style="22" customWidth="1"/>
    <col min="7670" max="7676" width="15.140625" style="22" customWidth="1"/>
    <col min="7677" max="7677" width="18.42578125" style="22" bestFit="1" customWidth="1"/>
    <col min="7678" max="7678" width="14.7109375" style="22" customWidth="1"/>
    <col min="7679" max="7679" width="11" style="22" customWidth="1"/>
    <col min="7680" max="7680" width="14.28515625" style="22" bestFit="1" customWidth="1"/>
    <col min="7681" max="7681" width="10.42578125" style="22" bestFit="1" customWidth="1"/>
    <col min="7682" max="7922" width="9" style="22"/>
    <col min="7923" max="7923" width="9.28515625" style="22" customWidth="1"/>
    <col min="7924" max="7924" width="15.7109375" style="22" customWidth="1"/>
    <col min="7925" max="7925" width="29.28515625" style="22" customWidth="1"/>
    <col min="7926" max="7932" width="15.140625" style="22" customWidth="1"/>
    <col min="7933" max="7933" width="18.42578125" style="22" bestFit="1" customWidth="1"/>
    <col min="7934" max="7934" width="14.7109375" style="22" customWidth="1"/>
    <col min="7935" max="7935" width="11" style="22" customWidth="1"/>
    <col min="7936" max="7936" width="14.28515625" style="22" bestFit="1" customWidth="1"/>
    <col min="7937" max="7937" width="10.42578125" style="22" bestFit="1" customWidth="1"/>
    <col min="7938" max="8178" width="9" style="22"/>
    <col min="8179" max="8179" width="9.28515625" style="22" customWidth="1"/>
    <col min="8180" max="8180" width="15.7109375" style="22" customWidth="1"/>
    <col min="8181" max="8181" width="29.28515625" style="22" customWidth="1"/>
    <col min="8182" max="8188" width="15.140625" style="22" customWidth="1"/>
    <col min="8189" max="8189" width="18.42578125" style="22" bestFit="1" customWidth="1"/>
    <col min="8190" max="8190" width="14.7109375" style="22" customWidth="1"/>
    <col min="8191" max="8191" width="11" style="22" customWidth="1"/>
    <col min="8192" max="8192" width="14.28515625" style="22" bestFit="1" customWidth="1"/>
    <col min="8193" max="8193" width="10.42578125" style="22" bestFit="1" customWidth="1"/>
    <col min="8194" max="8434" width="9" style="22"/>
    <col min="8435" max="8435" width="9.28515625" style="22" customWidth="1"/>
    <col min="8436" max="8436" width="15.7109375" style="22" customWidth="1"/>
    <col min="8437" max="8437" width="29.28515625" style="22" customWidth="1"/>
    <col min="8438" max="8444" width="15.140625" style="22" customWidth="1"/>
    <col min="8445" max="8445" width="18.42578125" style="22" bestFit="1" customWidth="1"/>
    <col min="8446" max="8446" width="14.7109375" style="22" customWidth="1"/>
    <col min="8447" max="8447" width="11" style="22" customWidth="1"/>
    <col min="8448" max="8448" width="14.28515625" style="22" bestFit="1" customWidth="1"/>
    <col min="8449" max="8449" width="10.42578125" style="22" bestFit="1" customWidth="1"/>
    <col min="8450" max="8690" width="9" style="22"/>
    <col min="8691" max="8691" width="9.28515625" style="22" customWidth="1"/>
    <col min="8692" max="8692" width="15.7109375" style="22" customWidth="1"/>
    <col min="8693" max="8693" width="29.28515625" style="22" customWidth="1"/>
    <col min="8694" max="8700" width="15.140625" style="22" customWidth="1"/>
    <col min="8701" max="8701" width="18.42578125" style="22" bestFit="1" customWidth="1"/>
    <col min="8702" max="8702" width="14.7109375" style="22" customWidth="1"/>
    <col min="8703" max="8703" width="11" style="22" customWidth="1"/>
    <col min="8704" max="8704" width="14.28515625" style="22" bestFit="1" customWidth="1"/>
    <col min="8705" max="8705" width="10.42578125" style="22" bestFit="1" customWidth="1"/>
    <col min="8706" max="8946" width="9" style="22"/>
    <col min="8947" max="8947" width="9.28515625" style="22" customWidth="1"/>
    <col min="8948" max="8948" width="15.7109375" style="22" customWidth="1"/>
    <col min="8949" max="8949" width="29.28515625" style="22" customWidth="1"/>
    <col min="8950" max="8956" width="15.140625" style="22" customWidth="1"/>
    <col min="8957" max="8957" width="18.42578125" style="22" bestFit="1" customWidth="1"/>
    <col min="8958" max="8958" width="14.7109375" style="22" customWidth="1"/>
    <col min="8959" max="8959" width="11" style="22" customWidth="1"/>
    <col min="8960" max="8960" width="14.28515625" style="22" bestFit="1" customWidth="1"/>
    <col min="8961" max="8961" width="10.42578125" style="22" bestFit="1" customWidth="1"/>
    <col min="8962" max="9202" width="9" style="22"/>
    <col min="9203" max="9203" width="9.28515625" style="22" customWidth="1"/>
    <col min="9204" max="9204" width="15.7109375" style="22" customWidth="1"/>
    <col min="9205" max="9205" width="29.28515625" style="22" customWidth="1"/>
    <col min="9206" max="9212" width="15.140625" style="22" customWidth="1"/>
    <col min="9213" max="9213" width="18.42578125" style="22" bestFit="1" customWidth="1"/>
    <col min="9214" max="9214" width="14.7109375" style="22" customWidth="1"/>
    <col min="9215" max="9215" width="11" style="22" customWidth="1"/>
    <col min="9216" max="9216" width="14.28515625" style="22" bestFit="1" customWidth="1"/>
    <col min="9217" max="9217" width="10.42578125" style="22" bestFit="1" customWidth="1"/>
    <col min="9218" max="9458" width="9" style="22"/>
    <col min="9459" max="9459" width="9.28515625" style="22" customWidth="1"/>
    <col min="9460" max="9460" width="15.7109375" style="22" customWidth="1"/>
    <col min="9461" max="9461" width="29.28515625" style="22" customWidth="1"/>
    <col min="9462" max="9468" width="15.140625" style="22" customWidth="1"/>
    <col min="9469" max="9469" width="18.42578125" style="22" bestFit="1" customWidth="1"/>
    <col min="9470" max="9470" width="14.7109375" style="22" customWidth="1"/>
    <col min="9471" max="9471" width="11" style="22" customWidth="1"/>
    <col min="9472" max="9472" width="14.28515625" style="22" bestFit="1" customWidth="1"/>
    <col min="9473" max="9473" width="10.42578125" style="22" bestFit="1" customWidth="1"/>
    <col min="9474" max="9714" width="9" style="22"/>
    <col min="9715" max="9715" width="9.28515625" style="22" customWidth="1"/>
    <col min="9716" max="9716" width="15.7109375" style="22" customWidth="1"/>
    <col min="9717" max="9717" width="29.28515625" style="22" customWidth="1"/>
    <col min="9718" max="9724" width="15.140625" style="22" customWidth="1"/>
    <col min="9725" max="9725" width="18.42578125" style="22" bestFit="1" customWidth="1"/>
    <col min="9726" max="9726" width="14.7109375" style="22" customWidth="1"/>
    <col min="9727" max="9727" width="11" style="22" customWidth="1"/>
    <col min="9728" max="9728" width="14.28515625" style="22" bestFit="1" customWidth="1"/>
    <col min="9729" max="9729" width="10.42578125" style="22" bestFit="1" customWidth="1"/>
    <col min="9730" max="9970" width="9" style="22"/>
    <col min="9971" max="9971" width="9.28515625" style="22" customWidth="1"/>
    <col min="9972" max="9972" width="15.7109375" style="22" customWidth="1"/>
    <col min="9973" max="9973" width="29.28515625" style="22" customWidth="1"/>
    <col min="9974" max="9980" width="15.140625" style="22" customWidth="1"/>
    <col min="9981" max="9981" width="18.42578125" style="22" bestFit="1" customWidth="1"/>
    <col min="9982" max="9982" width="14.7109375" style="22" customWidth="1"/>
    <col min="9983" max="9983" width="11" style="22" customWidth="1"/>
    <col min="9984" max="9984" width="14.28515625" style="22" bestFit="1" customWidth="1"/>
    <col min="9985" max="9985" width="10.42578125" style="22" bestFit="1" customWidth="1"/>
    <col min="9986" max="10226" width="9" style="22"/>
    <col min="10227" max="10227" width="9.28515625" style="22" customWidth="1"/>
    <col min="10228" max="10228" width="15.7109375" style="22" customWidth="1"/>
    <col min="10229" max="10229" width="29.28515625" style="22" customWidth="1"/>
    <col min="10230" max="10236" width="15.140625" style="22" customWidth="1"/>
    <col min="10237" max="10237" width="18.42578125" style="22" bestFit="1" customWidth="1"/>
    <col min="10238" max="10238" width="14.7109375" style="22" customWidth="1"/>
    <col min="10239" max="10239" width="11" style="22" customWidth="1"/>
    <col min="10240" max="10240" width="14.28515625" style="22" bestFit="1" customWidth="1"/>
    <col min="10241" max="10241" width="10.42578125" style="22" bestFit="1" customWidth="1"/>
    <col min="10242" max="10482" width="9" style="22"/>
    <col min="10483" max="10483" width="9.28515625" style="22" customWidth="1"/>
    <col min="10484" max="10484" width="15.7109375" style="22" customWidth="1"/>
    <col min="10485" max="10485" width="29.28515625" style="22" customWidth="1"/>
    <col min="10486" max="10492" width="15.140625" style="22" customWidth="1"/>
    <col min="10493" max="10493" width="18.42578125" style="22" bestFit="1" customWidth="1"/>
    <col min="10494" max="10494" width="14.7109375" style="22" customWidth="1"/>
    <col min="10495" max="10495" width="11" style="22" customWidth="1"/>
    <col min="10496" max="10496" width="14.28515625" style="22" bestFit="1" customWidth="1"/>
    <col min="10497" max="10497" width="10.42578125" style="22" bestFit="1" customWidth="1"/>
    <col min="10498" max="10738" width="9" style="22"/>
    <col min="10739" max="10739" width="9.28515625" style="22" customWidth="1"/>
    <col min="10740" max="10740" width="15.7109375" style="22" customWidth="1"/>
    <col min="10741" max="10741" width="29.28515625" style="22" customWidth="1"/>
    <col min="10742" max="10748" width="15.140625" style="22" customWidth="1"/>
    <col min="10749" max="10749" width="18.42578125" style="22" bestFit="1" customWidth="1"/>
    <col min="10750" max="10750" width="14.7109375" style="22" customWidth="1"/>
    <col min="10751" max="10751" width="11" style="22" customWidth="1"/>
    <col min="10752" max="10752" width="14.28515625" style="22" bestFit="1" customWidth="1"/>
    <col min="10753" max="10753" width="10.42578125" style="22" bestFit="1" customWidth="1"/>
    <col min="10754" max="10994" width="9" style="22"/>
    <col min="10995" max="10995" width="9.28515625" style="22" customWidth="1"/>
    <col min="10996" max="10996" width="15.7109375" style="22" customWidth="1"/>
    <col min="10997" max="10997" width="29.28515625" style="22" customWidth="1"/>
    <col min="10998" max="11004" width="15.140625" style="22" customWidth="1"/>
    <col min="11005" max="11005" width="18.42578125" style="22" bestFit="1" customWidth="1"/>
    <col min="11006" max="11006" width="14.7109375" style="22" customWidth="1"/>
    <col min="11007" max="11007" width="11" style="22" customWidth="1"/>
    <col min="11008" max="11008" width="14.28515625" style="22" bestFit="1" customWidth="1"/>
    <col min="11009" max="11009" width="10.42578125" style="22" bestFit="1" customWidth="1"/>
    <col min="11010" max="11250" width="9" style="22"/>
    <col min="11251" max="11251" width="9.28515625" style="22" customWidth="1"/>
    <col min="11252" max="11252" width="15.7109375" style="22" customWidth="1"/>
    <col min="11253" max="11253" width="29.28515625" style="22" customWidth="1"/>
    <col min="11254" max="11260" width="15.140625" style="22" customWidth="1"/>
    <col min="11261" max="11261" width="18.42578125" style="22" bestFit="1" customWidth="1"/>
    <col min="11262" max="11262" width="14.7109375" style="22" customWidth="1"/>
    <col min="11263" max="11263" width="11" style="22" customWidth="1"/>
    <col min="11264" max="11264" width="14.28515625" style="22" bestFit="1" customWidth="1"/>
    <col min="11265" max="11265" width="10.42578125" style="22" bestFit="1" customWidth="1"/>
    <col min="11266" max="11506" width="9" style="22"/>
    <col min="11507" max="11507" width="9.28515625" style="22" customWidth="1"/>
    <col min="11508" max="11508" width="15.7109375" style="22" customWidth="1"/>
    <col min="11509" max="11509" width="29.28515625" style="22" customWidth="1"/>
    <col min="11510" max="11516" width="15.140625" style="22" customWidth="1"/>
    <col min="11517" max="11517" width="18.42578125" style="22" bestFit="1" customWidth="1"/>
    <col min="11518" max="11518" width="14.7109375" style="22" customWidth="1"/>
    <col min="11519" max="11519" width="11" style="22" customWidth="1"/>
    <col min="11520" max="11520" width="14.28515625" style="22" bestFit="1" customWidth="1"/>
    <col min="11521" max="11521" width="10.42578125" style="22" bestFit="1" customWidth="1"/>
    <col min="11522" max="11762" width="9" style="22"/>
    <col min="11763" max="11763" width="9.28515625" style="22" customWidth="1"/>
    <col min="11764" max="11764" width="15.7109375" style="22" customWidth="1"/>
    <col min="11765" max="11765" width="29.28515625" style="22" customWidth="1"/>
    <col min="11766" max="11772" width="15.140625" style="22" customWidth="1"/>
    <col min="11773" max="11773" width="18.42578125" style="22" bestFit="1" customWidth="1"/>
    <col min="11774" max="11774" width="14.7109375" style="22" customWidth="1"/>
    <col min="11775" max="11775" width="11" style="22" customWidth="1"/>
    <col min="11776" max="11776" width="14.28515625" style="22" bestFit="1" customWidth="1"/>
    <col min="11777" max="11777" width="10.42578125" style="22" bestFit="1" customWidth="1"/>
    <col min="11778" max="12018" width="9" style="22"/>
    <col min="12019" max="12019" width="9.28515625" style="22" customWidth="1"/>
    <col min="12020" max="12020" width="15.7109375" style="22" customWidth="1"/>
    <col min="12021" max="12021" width="29.28515625" style="22" customWidth="1"/>
    <col min="12022" max="12028" width="15.140625" style="22" customWidth="1"/>
    <col min="12029" max="12029" width="18.42578125" style="22" bestFit="1" customWidth="1"/>
    <col min="12030" max="12030" width="14.7109375" style="22" customWidth="1"/>
    <col min="12031" max="12031" width="11" style="22" customWidth="1"/>
    <col min="12032" max="12032" width="14.28515625" style="22" bestFit="1" customWidth="1"/>
    <col min="12033" max="12033" width="10.42578125" style="22" bestFit="1" customWidth="1"/>
    <col min="12034" max="12274" width="9" style="22"/>
    <col min="12275" max="12275" width="9.28515625" style="22" customWidth="1"/>
    <col min="12276" max="12276" width="15.7109375" style="22" customWidth="1"/>
    <col min="12277" max="12277" width="29.28515625" style="22" customWidth="1"/>
    <col min="12278" max="12284" width="15.140625" style="22" customWidth="1"/>
    <col min="12285" max="12285" width="18.42578125" style="22" bestFit="1" customWidth="1"/>
    <col min="12286" max="12286" width="14.7109375" style="22" customWidth="1"/>
    <col min="12287" max="12287" width="11" style="22" customWidth="1"/>
    <col min="12288" max="12288" width="14.28515625" style="22" bestFit="1" customWidth="1"/>
    <col min="12289" max="12289" width="10.42578125" style="22" bestFit="1" customWidth="1"/>
    <col min="12290" max="12530" width="9" style="22"/>
    <col min="12531" max="12531" width="9.28515625" style="22" customWidth="1"/>
    <col min="12532" max="12532" width="15.7109375" style="22" customWidth="1"/>
    <col min="12533" max="12533" width="29.28515625" style="22" customWidth="1"/>
    <col min="12534" max="12540" width="15.140625" style="22" customWidth="1"/>
    <col min="12541" max="12541" width="18.42578125" style="22" bestFit="1" customWidth="1"/>
    <col min="12542" max="12542" width="14.7109375" style="22" customWidth="1"/>
    <col min="12543" max="12543" width="11" style="22" customWidth="1"/>
    <col min="12544" max="12544" width="14.28515625" style="22" bestFit="1" customWidth="1"/>
    <col min="12545" max="12545" width="10.42578125" style="22" bestFit="1" customWidth="1"/>
    <col min="12546" max="12786" width="9" style="22"/>
    <col min="12787" max="12787" width="9.28515625" style="22" customWidth="1"/>
    <col min="12788" max="12788" width="15.7109375" style="22" customWidth="1"/>
    <col min="12789" max="12789" width="29.28515625" style="22" customWidth="1"/>
    <col min="12790" max="12796" width="15.140625" style="22" customWidth="1"/>
    <col min="12797" max="12797" width="18.42578125" style="22" bestFit="1" customWidth="1"/>
    <col min="12798" max="12798" width="14.7109375" style="22" customWidth="1"/>
    <col min="12799" max="12799" width="11" style="22" customWidth="1"/>
    <col min="12800" max="12800" width="14.28515625" style="22" bestFit="1" customWidth="1"/>
    <col min="12801" max="12801" width="10.42578125" style="22" bestFit="1" customWidth="1"/>
    <col min="12802" max="13042" width="9" style="22"/>
    <col min="13043" max="13043" width="9.28515625" style="22" customWidth="1"/>
    <col min="13044" max="13044" width="15.7109375" style="22" customWidth="1"/>
    <col min="13045" max="13045" width="29.28515625" style="22" customWidth="1"/>
    <col min="13046" max="13052" width="15.140625" style="22" customWidth="1"/>
    <col min="13053" max="13053" width="18.42578125" style="22" bestFit="1" customWidth="1"/>
    <col min="13054" max="13054" width="14.7109375" style="22" customWidth="1"/>
    <col min="13055" max="13055" width="11" style="22" customWidth="1"/>
    <col min="13056" max="13056" width="14.28515625" style="22" bestFit="1" customWidth="1"/>
    <col min="13057" max="13057" width="10.42578125" style="22" bestFit="1" customWidth="1"/>
    <col min="13058" max="13298" width="9" style="22"/>
    <col min="13299" max="13299" width="9.28515625" style="22" customWidth="1"/>
    <col min="13300" max="13300" width="15.7109375" style="22" customWidth="1"/>
    <col min="13301" max="13301" width="29.28515625" style="22" customWidth="1"/>
    <col min="13302" max="13308" width="15.140625" style="22" customWidth="1"/>
    <col min="13309" max="13309" width="18.42578125" style="22" bestFit="1" customWidth="1"/>
    <col min="13310" max="13310" width="14.7109375" style="22" customWidth="1"/>
    <col min="13311" max="13311" width="11" style="22" customWidth="1"/>
    <col min="13312" max="13312" width="14.28515625" style="22" bestFit="1" customWidth="1"/>
    <col min="13313" max="13313" width="10.42578125" style="22" bestFit="1" customWidth="1"/>
    <col min="13314" max="13554" width="9" style="22"/>
    <col min="13555" max="13555" width="9.28515625" style="22" customWidth="1"/>
    <col min="13556" max="13556" width="15.7109375" style="22" customWidth="1"/>
    <col min="13557" max="13557" width="29.28515625" style="22" customWidth="1"/>
    <col min="13558" max="13564" width="15.140625" style="22" customWidth="1"/>
    <col min="13565" max="13565" width="18.42578125" style="22" bestFit="1" customWidth="1"/>
    <col min="13566" max="13566" width="14.7109375" style="22" customWidth="1"/>
    <col min="13567" max="13567" width="11" style="22" customWidth="1"/>
    <col min="13568" max="13568" width="14.28515625" style="22" bestFit="1" customWidth="1"/>
    <col min="13569" max="13569" width="10.42578125" style="22" bestFit="1" customWidth="1"/>
    <col min="13570" max="13810" width="9" style="22"/>
    <col min="13811" max="13811" width="9.28515625" style="22" customWidth="1"/>
    <col min="13812" max="13812" width="15.7109375" style="22" customWidth="1"/>
    <col min="13813" max="13813" width="29.28515625" style="22" customWidth="1"/>
    <col min="13814" max="13820" width="15.140625" style="22" customWidth="1"/>
    <col min="13821" max="13821" width="18.42578125" style="22" bestFit="1" customWidth="1"/>
    <col min="13822" max="13822" width="14.7109375" style="22" customWidth="1"/>
    <col min="13823" max="13823" width="11" style="22" customWidth="1"/>
    <col min="13824" max="13824" width="14.28515625" style="22" bestFit="1" customWidth="1"/>
    <col min="13825" max="13825" width="10.42578125" style="22" bestFit="1" customWidth="1"/>
    <col min="13826" max="14066" width="9" style="22"/>
    <col min="14067" max="14067" width="9.28515625" style="22" customWidth="1"/>
    <col min="14068" max="14068" width="15.7109375" style="22" customWidth="1"/>
    <col min="14069" max="14069" width="29.28515625" style="22" customWidth="1"/>
    <col min="14070" max="14076" width="15.140625" style="22" customWidth="1"/>
    <col min="14077" max="14077" width="18.42578125" style="22" bestFit="1" customWidth="1"/>
    <col min="14078" max="14078" width="14.7109375" style="22" customWidth="1"/>
    <col min="14079" max="14079" width="11" style="22" customWidth="1"/>
    <col min="14080" max="14080" width="14.28515625" style="22" bestFit="1" customWidth="1"/>
    <col min="14081" max="14081" width="10.42578125" style="22" bestFit="1" customWidth="1"/>
    <col min="14082" max="14322" width="9" style="22"/>
    <col min="14323" max="14323" width="9.28515625" style="22" customWidth="1"/>
    <col min="14324" max="14324" width="15.7109375" style="22" customWidth="1"/>
    <col min="14325" max="14325" width="29.28515625" style="22" customWidth="1"/>
    <col min="14326" max="14332" width="15.140625" style="22" customWidth="1"/>
    <col min="14333" max="14333" width="18.42578125" style="22" bestFit="1" customWidth="1"/>
    <col min="14334" max="14334" width="14.7109375" style="22" customWidth="1"/>
    <col min="14335" max="14335" width="11" style="22" customWidth="1"/>
    <col min="14336" max="14336" width="14.28515625" style="22" bestFit="1" customWidth="1"/>
    <col min="14337" max="14337" width="10.42578125" style="22" bestFit="1" customWidth="1"/>
    <col min="14338" max="14578" width="9" style="22"/>
    <col min="14579" max="14579" width="9.28515625" style="22" customWidth="1"/>
    <col min="14580" max="14580" width="15.7109375" style="22" customWidth="1"/>
    <col min="14581" max="14581" width="29.28515625" style="22" customWidth="1"/>
    <col min="14582" max="14588" width="15.140625" style="22" customWidth="1"/>
    <col min="14589" max="14589" width="18.42578125" style="22" bestFit="1" customWidth="1"/>
    <col min="14590" max="14590" width="14.7109375" style="22" customWidth="1"/>
    <col min="14591" max="14591" width="11" style="22" customWidth="1"/>
    <col min="14592" max="14592" width="14.28515625" style="22" bestFit="1" customWidth="1"/>
    <col min="14593" max="14593" width="10.42578125" style="22" bestFit="1" customWidth="1"/>
    <col min="14594" max="14834" width="9" style="22"/>
    <col min="14835" max="14835" width="9.28515625" style="22" customWidth="1"/>
    <col min="14836" max="14836" width="15.7109375" style="22" customWidth="1"/>
    <col min="14837" max="14837" width="29.28515625" style="22" customWidth="1"/>
    <col min="14838" max="14844" width="15.140625" style="22" customWidth="1"/>
    <col min="14845" max="14845" width="18.42578125" style="22" bestFit="1" customWidth="1"/>
    <col min="14846" max="14846" width="14.7109375" style="22" customWidth="1"/>
    <col min="14847" max="14847" width="11" style="22" customWidth="1"/>
    <col min="14848" max="14848" width="14.28515625" style="22" bestFit="1" customWidth="1"/>
    <col min="14849" max="14849" width="10.42578125" style="22" bestFit="1" customWidth="1"/>
    <col min="14850" max="15090" width="9" style="22"/>
    <col min="15091" max="15091" width="9.28515625" style="22" customWidth="1"/>
    <col min="15092" max="15092" width="15.7109375" style="22" customWidth="1"/>
    <col min="15093" max="15093" width="29.28515625" style="22" customWidth="1"/>
    <col min="15094" max="15100" width="15.140625" style="22" customWidth="1"/>
    <col min="15101" max="15101" width="18.42578125" style="22" bestFit="1" customWidth="1"/>
    <col min="15102" max="15102" width="14.7109375" style="22" customWidth="1"/>
    <col min="15103" max="15103" width="11" style="22" customWidth="1"/>
    <col min="15104" max="15104" width="14.28515625" style="22" bestFit="1" customWidth="1"/>
    <col min="15105" max="15105" width="10.42578125" style="22" bestFit="1" customWidth="1"/>
    <col min="15106" max="15346" width="9" style="22"/>
    <col min="15347" max="15347" width="9.28515625" style="22" customWidth="1"/>
    <col min="15348" max="15348" width="15.7109375" style="22" customWidth="1"/>
    <col min="15349" max="15349" width="29.28515625" style="22" customWidth="1"/>
    <col min="15350" max="15356" width="15.140625" style="22" customWidth="1"/>
    <col min="15357" max="15357" width="18.42578125" style="22" bestFit="1" customWidth="1"/>
    <col min="15358" max="15358" width="14.7109375" style="22" customWidth="1"/>
    <col min="15359" max="15359" width="11" style="22" customWidth="1"/>
    <col min="15360" max="15360" width="14.28515625" style="22" bestFit="1" customWidth="1"/>
    <col min="15361" max="15361" width="10.42578125" style="22" bestFit="1" customWidth="1"/>
    <col min="15362" max="15602" width="9" style="22"/>
    <col min="15603" max="15603" width="9.28515625" style="22" customWidth="1"/>
    <col min="15604" max="15604" width="15.7109375" style="22" customWidth="1"/>
    <col min="15605" max="15605" width="29.28515625" style="22" customWidth="1"/>
    <col min="15606" max="15612" width="15.140625" style="22" customWidth="1"/>
    <col min="15613" max="15613" width="18.42578125" style="22" bestFit="1" customWidth="1"/>
    <col min="15614" max="15614" width="14.7109375" style="22" customWidth="1"/>
    <col min="15615" max="15615" width="11" style="22" customWidth="1"/>
    <col min="15616" max="15616" width="14.28515625" style="22" bestFit="1" customWidth="1"/>
    <col min="15617" max="15617" width="10.42578125" style="22" bestFit="1" customWidth="1"/>
    <col min="15618" max="15858" width="9" style="22"/>
    <col min="15859" max="15859" width="9.28515625" style="22" customWidth="1"/>
    <col min="15860" max="15860" width="15.7109375" style="22" customWidth="1"/>
    <col min="15861" max="15861" width="29.28515625" style="22" customWidth="1"/>
    <col min="15862" max="15868" width="15.140625" style="22" customWidth="1"/>
    <col min="15869" max="15869" width="18.42578125" style="22" bestFit="1" customWidth="1"/>
    <col min="15870" max="15870" width="14.7109375" style="22" customWidth="1"/>
    <col min="15871" max="15871" width="11" style="22" customWidth="1"/>
    <col min="15872" max="15872" width="14.28515625" style="22" bestFit="1" customWidth="1"/>
    <col min="15873" max="15873" width="10.42578125" style="22" bestFit="1" customWidth="1"/>
    <col min="15874" max="16114" width="9" style="22"/>
    <col min="16115" max="16115" width="9.28515625" style="22" customWidth="1"/>
    <col min="16116" max="16116" width="15.7109375" style="22" customWidth="1"/>
    <col min="16117" max="16117" width="29.28515625" style="22" customWidth="1"/>
    <col min="16118" max="16124" width="15.140625" style="22" customWidth="1"/>
    <col min="16125" max="16125" width="18.42578125" style="22" bestFit="1" customWidth="1"/>
    <col min="16126" max="16126" width="14.7109375" style="22" customWidth="1"/>
    <col min="16127" max="16127" width="11" style="22" customWidth="1"/>
    <col min="16128" max="16128" width="14.28515625" style="22" bestFit="1" customWidth="1"/>
    <col min="16129" max="16129" width="10.42578125" style="22" bestFit="1" customWidth="1"/>
    <col min="16130" max="16384" width="9" style="22"/>
  </cols>
  <sheetData>
    <row r="1" spans="1:22" s="24" customFormat="1" ht="52.5" customHeight="1">
      <c r="A1" s="439" t="s">
        <v>115</v>
      </c>
      <c r="B1" s="440"/>
      <c r="C1" s="441"/>
      <c r="D1" s="215" t="s">
        <v>116</v>
      </c>
      <c r="E1" s="215" t="s">
        <v>117</v>
      </c>
      <c r="F1" s="215" t="s">
        <v>118</v>
      </c>
      <c r="G1" s="216" t="s">
        <v>119</v>
      </c>
      <c r="H1" s="216" t="s">
        <v>120</v>
      </c>
      <c r="I1" s="215" t="s">
        <v>121</v>
      </c>
      <c r="J1" s="216" t="s">
        <v>122</v>
      </c>
      <c r="K1" s="215" t="s">
        <v>123</v>
      </c>
      <c r="L1" s="216" t="s">
        <v>124</v>
      </c>
      <c r="M1" s="215" t="s">
        <v>125</v>
      </c>
      <c r="N1" s="216" t="s">
        <v>126</v>
      </c>
      <c r="O1" s="215" t="s">
        <v>127</v>
      </c>
      <c r="P1" s="216" t="s">
        <v>128</v>
      </c>
      <c r="Q1" s="216" t="s">
        <v>129</v>
      </c>
      <c r="R1" s="215" t="s">
        <v>130</v>
      </c>
      <c r="S1" s="216" t="s">
        <v>131</v>
      </c>
      <c r="T1" s="216" t="s">
        <v>353</v>
      </c>
      <c r="U1" s="217" t="s">
        <v>1</v>
      </c>
      <c r="V1" s="22"/>
    </row>
    <row r="2" spans="1:22" ht="14.25" customHeight="1">
      <c r="A2" s="452" t="s">
        <v>132</v>
      </c>
      <c r="B2" s="464" t="s">
        <v>133</v>
      </c>
      <c r="C2" s="464"/>
      <c r="D2" s="195">
        <f>6*20+2.62</f>
        <v>122.62</v>
      </c>
      <c r="E2" s="196">
        <v>3.2</v>
      </c>
      <c r="F2" s="196">
        <f>5*20+14.23-3</f>
        <v>111.23</v>
      </c>
      <c r="G2" s="196">
        <f>5*20+14.19</f>
        <v>114.19</v>
      </c>
      <c r="H2" s="196">
        <f>10*20+10.67-6*20-6.1+6*20+0.08-9.34</f>
        <v>195.31</v>
      </c>
      <c r="I2" s="196">
        <v>13</v>
      </c>
      <c r="J2" s="196">
        <f>4*20+1.77</f>
        <v>81.77</v>
      </c>
      <c r="K2" s="196">
        <v>79.650000000000006</v>
      </c>
      <c r="L2" s="196">
        <f>10*20+19.77</f>
        <v>219.77</v>
      </c>
      <c r="M2" s="196">
        <v>57.26</v>
      </c>
      <c r="N2" s="196">
        <f>13*20+8.71</f>
        <v>268.70999999999998</v>
      </c>
      <c r="O2" s="196">
        <v>5.5</v>
      </c>
      <c r="P2" s="196">
        <f>3*20+7.49</f>
        <v>67.489999999999995</v>
      </c>
      <c r="Q2" s="196">
        <f>4*20+19.34-3.1</f>
        <v>96.240000000000009</v>
      </c>
      <c r="R2" s="196">
        <v>20.7</v>
      </c>
      <c r="S2" s="196">
        <f>4*20+3.32</f>
        <v>83.32</v>
      </c>
      <c r="T2" s="196"/>
      <c r="U2" s="218">
        <f t="shared" ref="U2:U11" si="0">SUM(D2:T2)</f>
        <v>1539.9599999999998</v>
      </c>
    </row>
    <row r="3" spans="1:22" s="23" customFormat="1" ht="20.25" customHeight="1">
      <c r="A3" s="452"/>
      <c r="B3" s="456" t="s">
        <v>134</v>
      </c>
      <c r="C3" s="456"/>
      <c r="D3" s="197" t="s">
        <v>135</v>
      </c>
      <c r="E3" s="90" t="s">
        <v>135</v>
      </c>
      <c r="F3" s="90" t="s">
        <v>135</v>
      </c>
      <c r="G3" s="90" t="s">
        <v>135</v>
      </c>
      <c r="H3" s="90" t="s">
        <v>135</v>
      </c>
      <c r="I3" s="90" t="s">
        <v>135</v>
      </c>
      <c r="J3" s="90" t="s">
        <v>135</v>
      </c>
      <c r="K3" s="90" t="s">
        <v>135</v>
      </c>
      <c r="L3" s="90" t="s">
        <v>135</v>
      </c>
      <c r="M3" s="90" t="s">
        <v>135</v>
      </c>
      <c r="N3" s="90" t="s">
        <v>135</v>
      </c>
      <c r="O3" s="90" t="s">
        <v>135</v>
      </c>
      <c r="P3" s="90" t="s">
        <v>135</v>
      </c>
      <c r="Q3" s="90" t="s">
        <v>135</v>
      </c>
      <c r="R3" s="90" t="s">
        <v>135</v>
      </c>
      <c r="S3" s="90" t="s">
        <v>135</v>
      </c>
      <c r="T3" s="90" t="s">
        <v>135</v>
      </c>
      <c r="U3" s="219">
        <f t="shared" si="0"/>
        <v>0</v>
      </c>
      <c r="V3" s="30"/>
    </row>
    <row r="4" spans="1:22" s="23" customFormat="1" ht="14.25" customHeight="1">
      <c r="A4" s="452"/>
      <c r="B4" s="456" t="s">
        <v>136</v>
      </c>
      <c r="C4" s="456"/>
      <c r="D4" s="198">
        <v>5.4</v>
      </c>
      <c r="E4" s="199" t="s">
        <v>137</v>
      </c>
      <c r="F4" s="198">
        <v>5.4</v>
      </c>
      <c r="G4" s="198">
        <v>7.4</v>
      </c>
      <c r="H4" s="198">
        <v>7.4</v>
      </c>
      <c r="I4" s="199" t="s">
        <v>137</v>
      </c>
      <c r="J4" s="198">
        <v>5.4</v>
      </c>
      <c r="K4" s="199" t="s">
        <v>137</v>
      </c>
      <c r="L4" s="198">
        <v>5.4</v>
      </c>
      <c r="M4" s="199" t="s">
        <v>137</v>
      </c>
      <c r="N4" s="198">
        <v>5.4</v>
      </c>
      <c r="O4" s="199" t="s">
        <v>137</v>
      </c>
      <c r="P4" s="198">
        <v>6.4</v>
      </c>
      <c r="Q4" s="198">
        <v>6.4</v>
      </c>
      <c r="R4" s="199" t="s">
        <v>137</v>
      </c>
      <c r="S4" s="199">
        <v>5.4</v>
      </c>
      <c r="T4" s="199"/>
      <c r="U4" s="219">
        <f>SUM(D4:T4)</f>
        <v>59.999999999999993</v>
      </c>
    </row>
    <row r="5" spans="1:22" s="23" customFormat="1" ht="14.25" customHeight="1">
      <c r="A5" s="452"/>
      <c r="B5" s="466" t="s">
        <v>138</v>
      </c>
      <c r="C5" s="466"/>
      <c r="D5" s="200"/>
      <c r="E5" s="201">
        <v>2</v>
      </c>
      <c r="F5" s="201">
        <v>2</v>
      </c>
      <c r="G5" s="201">
        <v>2</v>
      </c>
      <c r="H5" s="201">
        <v>4</v>
      </c>
      <c r="I5" s="201">
        <v>2</v>
      </c>
      <c r="J5" s="201"/>
      <c r="K5" s="201">
        <v>3</v>
      </c>
      <c r="L5" s="201"/>
      <c r="M5" s="201">
        <v>2</v>
      </c>
      <c r="N5" s="201">
        <v>2</v>
      </c>
      <c r="O5" s="201">
        <v>2</v>
      </c>
      <c r="P5" s="201"/>
      <c r="Q5" s="201">
        <v>2</v>
      </c>
      <c r="R5" s="201"/>
      <c r="S5" s="201"/>
      <c r="T5" s="201"/>
      <c r="U5" s="219">
        <f t="shared" si="0"/>
        <v>23</v>
      </c>
    </row>
    <row r="6" spans="1:22" s="23" customFormat="1" ht="14.25" customHeight="1">
      <c r="A6" s="452"/>
      <c r="B6" s="456" t="s">
        <v>139</v>
      </c>
      <c r="C6" s="456"/>
      <c r="D6" s="202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1"/>
      <c r="U6" s="219">
        <f t="shared" si="0"/>
        <v>0</v>
      </c>
    </row>
    <row r="7" spans="1:22" s="23" customFormat="1" ht="14.25" customHeight="1">
      <c r="A7" s="452"/>
      <c r="B7" s="456" t="s">
        <v>140</v>
      </c>
      <c r="C7" s="456"/>
      <c r="D7" s="204"/>
      <c r="E7" s="91">
        <v>3</v>
      </c>
      <c r="F7" s="91">
        <v>5</v>
      </c>
      <c r="G7" s="91">
        <v>5</v>
      </c>
      <c r="H7" s="91">
        <v>5</v>
      </c>
      <c r="I7" s="91" t="s">
        <v>141</v>
      </c>
      <c r="J7" s="91"/>
      <c r="K7" s="91" t="s">
        <v>142</v>
      </c>
      <c r="L7" s="91"/>
      <c r="M7" s="91" t="s">
        <v>143</v>
      </c>
      <c r="N7" s="91">
        <v>5</v>
      </c>
      <c r="O7" s="91">
        <v>3</v>
      </c>
      <c r="P7" s="91"/>
      <c r="Q7" s="91">
        <v>3</v>
      </c>
      <c r="R7" s="91"/>
      <c r="S7" s="91"/>
      <c r="T7" s="313"/>
      <c r="U7" s="219">
        <f t="shared" si="0"/>
        <v>29</v>
      </c>
    </row>
    <row r="8" spans="1:22" s="23" customFormat="1" ht="14.25" customHeight="1">
      <c r="A8" s="452"/>
      <c r="B8" s="456" t="s">
        <v>144</v>
      </c>
      <c r="C8" s="456"/>
      <c r="D8" s="205"/>
      <c r="E8" s="206"/>
      <c r="F8" s="206"/>
      <c r="G8" s="206"/>
      <c r="H8" s="206"/>
      <c r="I8" s="206"/>
      <c r="J8" s="206"/>
      <c r="K8" s="206"/>
      <c r="L8" s="206"/>
      <c r="M8" s="91"/>
      <c r="N8" s="206"/>
      <c r="O8" s="206"/>
      <c r="P8" s="206"/>
      <c r="Q8" s="206"/>
      <c r="R8" s="206"/>
      <c r="S8" s="206"/>
      <c r="T8" s="253"/>
      <c r="U8" s="219">
        <f t="shared" si="0"/>
        <v>0</v>
      </c>
      <c r="V8" s="22"/>
    </row>
    <row r="9" spans="1:22" s="23" customFormat="1" ht="14.25" customHeight="1">
      <c r="A9" s="452"/>
      <c r="B9" s="456" t="s">
        <v>145</v>
      </c>
      <c r="C9" s="456"/>
      <c r="D9" s="207"/>
      <c r="E9" s="208"/>
      <c r="F9" s="208">
        <f>0.05375*2*F7*2*F7</f>
        <v>5.375</v>
      </c>
      <c r="G9" s="208">
        <f t="shared" ref="G9:H9" si="1">0.05375*2*G7*2*G7</f>
        <v>5.375</v>
      </c>
      <c r="H9" s="208">
        <f t="shared" si="1"/>
        <v>5.375</v>
      </c>
      <c r="I9" s="208"/>
      <c r="J9" s="208"/>
      <c r="K9" s="208"/>
      <c r="L9" s="208"/>
      <c r="M9" s="208"/>
      <c r="N9" s="208">
        <f t="shared" ref="N9" si="2">0.05375*2*N7*2*N7</f>
        <v>5.375</v>
      </c>
      <c r="O9" s="208"/>
      <c r="P9" s="208"/>
      <c r="Q9" s="208">
        <f>0.05375*2*Q7*2*Q7</f>
        <v>1.9350000000000001</v>
      </c>
      <c r="R9" s="208"/>
      <c r="S9" s="208"/>
      <c r="T9" s="258"/>
      <c r="U9" s="219">
        <f t="shared" si="0"/>
        <v>23.434999999999999</v>
      </c>
      <c r="V9" s="22"/>
    </row>
    <row r="10" spans="1:22" s="23" customFormat="1" ht="14.25" customHeight="1">
      <c r="A10" s="452"/>
      <c r="B10" s="456" t="s">
        <v>146</v>
      </c>
      <c r="C10" s="456"/>
      <c r="D10" s="205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53"/>
      <c r="U10" s="219">
        <f t="shared" si="0"/>
        <v>0</v>
      </c>
      <c r="V10" s="22"/>
    </row>
    <row r="11" spans="1:22" ht="14.25" customHeight="1">
      <c r="A11" s="453"/>
      <c r="B11" s="465" t="s">
        <v>147</v>
      </c>
      <c r="C11" s="465"/>
      <c r="D11" s="209"/>
      <c r="E11" s="210"/>
      <c r="F11" s="209">
        <f t="shared" ref="F11" si="3">F5*F9+F10*F8</f>
        <v>10.75</v>
      </c>
      <c r="G11" s="209">
        <f t="shared" ref="G11:N11" si="4">G5*G9+G10*G8</f>
        <v>10.75</v>
      </c>
      <c r="H11" s="209">
        <f t="shared" si="4"/>
        <v>21.5</v>
      </c>
      <c r="I11" s="210"/>
      <c r="J11" s="209"/>
      <c r="K11" s="210"/>
      <c r="L11" s="209"/>
      <c r="M11" s="210"/>
      <c r="N11" s="209">
        <f t="shared" si="4"/>
        <v>10.75</v>
      </c>
      <c r="O11" s="210"/>
      <c r="P11" s="209"/>
      <c r="Q11" s="209">
        <f>Q5*Q9+Q10*Q8</f>
        <v>3.87</v>
      </c>
      <c r="R11" s="210"/>
      <c r="S11" s="209"/>
      <c r="T11" s="209"/>
      <c r="U11" s="219">
        <f t="shared" si="0"/>
        <v>57.62</v>
      </c>
    </row>
    <row r="12" spans="1:22" ht="14.25" customHeight="1">
      <c r="A12" s="457" t="s">
        <v>355</v>
      </c>
      <c r="B12" s="458"/>
      <c r="C12" s="459"/>
      <c r="D12" s="324">
        <f>D14*2</f>
        <v>12.88</v>
      </c>
      <c r="E12" s="324">
        <f>D14</f>
        <v>6.44</v>
      </c>
      <c r="F12" s="324">
        <f t="shared" ref="F12:S12" si="5">F14*2</f>
        <v>12.88</v>
      </c>
      <c r="G12" s="324">
        <f t="shared" si="5"/>
        <v>16.880000000000003</v>
      </c>
      <c r="H12" s="324">
        <f t="shared" si="5"/>
        <v>16.880000000000003</v>
      </c>
      <c r="I12" s="324">
        <f>H14</f>
        <v>8.4400000000000013</v>
      </c>
      <c r="J12" s="324">
        <f t="shared" si="5"/>
        <v>12.88</v>
      </c>
      <c r="K12" s="324">
        <f>J14</f>
        <v>6.44</v>
      </c>
      <c r="L12" s="324">
        <f t="shared" si="5"/>
        <v>12.88</v>
      </c>
      <c r="M12" s="324">
        <f>L14</f>
        <v>6.44</v>
      </c>
      <c r="N12" s="324">
        <f t="shared" si="5"/>
        <v>12.88</v>
      </c>
      <c r="O12" s="324">
        <f>N14</f>
        <v>6.44</v>
      </c>
      <c r="P12" s="324">
        <f t="shared" si="5"/>
        <v>14.88</v>
      </c>
      <c r="Q12" s="324">
        <f t="shared" si="5"/>
        <v>14.88</v>
      </c>
      <c r="R12" s="324">
        <f>Q14</f>
        <v>7.44</v>
      </c>
      <c r="S12" s="324">
        <f t="shared" si="5"/>
        <v>12.88</v>
      </c>
      <c r="T12" s="324"/>
      <c r="U12" s="325">
        <f>SUM(D12:S12)</f>
        <v>182.43999999999997</v>
      </c>
    </row>
    <row r="13" spans="1:22" ht="14.25" customHeight="1">
      <c r="A13" s="457" t="s">
        <v>356</v>
      </c>
      <c r="B13" s="458"/>
      <c r="C13" s="459"/>
      <c r="D13" s="324">
        <f>D12</f>
        <v>12.88</v>
      </c>
      <c r="E13" s="324">
        <f t="shared" ref="E13:S13" si="6">E12</f>
        <v>6.44</v>
      </c>
      <c r="F13" s="324">
        <f t="shared" si="6"/>
        <v>12.88</v>
      </c>
      <c r="G13" s="324">
        <f t="shared" si="6"/>
        <v>16.880000000000003</v>
      </c>
      <c r="H13" s="324">
        <f t="shared" si="6"/>
        <v>16.880000000000003</v>
      </c>
      <c r="I13" s="324">
        <f t="shared" si="6"/>
        <v>8.4400000000000013</v>
      </c>
      <c r="J13" s="324">
        <f t="shared" si="6"/>
        <v>12.88</v>
      </c>
      <c r="K13" s="324">
        <f t="shared" si="6"/>
        <v>6.44</v>
      </c>
      <c r="L13" s="324">
        <f t="shared" si="6"/>
        <v>12.88</v>
      </c>
      <c r="M13" s="324">
        <f t="shared" si="6"/>
        <v>6.44</v>
      </c>
      <c r="N13" s="324">
        <f t="shared" si="6"/>
        <v>12.88</v>
      </c>
      <c r="O13" s="324">
        <f t="shared" si="6"/>
        <v>6.44</v>
      </c>
      <c r="P13" s="324">
        <f t="shared" si="6"/>
        <v>14.88</v>
      </c>
      <c r="Q13" s="324">
        <f t="shared" si="6"/>
        <v>14.88</v>
      </c>
      <c r="R13" s="324">
        <f t="shared" si="6"/>
        <v>7.44</v>
      </c>
      <c r="S13" s="324">
        <f t="shared" si="6"/>
        <v>12.88</v>
      </c>
      <c r="T13" s="324"/>
      <c r="U13" s="325">
        <f>SUM(D13:S13)</f>
        <v>182.43999999999997</v>
      </c>
    </row>
    <row r="14" spans="1:22" ht="14.25" customHeight="1">
      <c r="A14" s="448" t="s">
        <v>148</v>
      </c>
      <c r="B14" s="454" t="s">
        <v>149</v>
      </c>
      <c r="C14" s="222" t="s">
        <v>150</v>
      </c>
      <c r="D14" s="233">
        <f>IF(D3="SIMPLES",D4+0.52+0.22,D4+0.52*2)</f>
        <v>6.44</v>
      </c>
      <c r="E14" s="234" t="s">
        <v>137</v>
      </c>
      <c r="F14" s="235">
        <f t="shared" ref="F14:H14" si="7">IF(F3="SIMPLES",F4+0.52+0.22,F4+0.52*2)</f>
        <v>6.44</v>
      </c>
      <c r="G14" s="235">
        <f t="shared" si="7"/>
        <v>8.4400000000000013</v>
      </c>
      <c r="H14" s="235">
        <f t="shared" si="7"/>
        <v>8.4400000000000013</v>
      </c>
      <c r="I14" s="234" t="s">
        <v>137</v>
      </c>
      <c r="J14" s="235">
        <f t="shared" ref="J14:N14" si="8">IF(J3="SIMPLES",J4+0.52+0.22,J4+0.52*2)</f>
        <v>6.44</v>
      </c>
      <c r="K14" s="234" t="s">
        <v>137</v>
      </c>
      <c r="L14" s="235">
        <f>IF(L3="SIMPLES",L4+0.52+0.22,L4+0.52*2)</f>
        <v>6.44</v>
      </c>
      <c r="M14" s="234" t="s">
        <v>137</v>
      </c>
      <c r="N14" s="235">
        <f t="shared" si="8"/>
        <v>6.44</v>
      </c>
      <c r="O14" s="234" t="s">
        <v>137</v>
      </c>
      <c r="P14" s="235">
        <f>IF(P3="SIMPLES",P4+0.52+0.22,P4+0.52*2)</f>
        <v>7.44</v>
      </c>
      <c r="Q14" s="235">
        <f t="shared" ref="Q14" si="9">IF(Q3="SIMPLES",Q4+0.52+0.22,Q4+0.52*2)</f>
        <v>7.44</v>
      </c>
      <c r="R14" s="234" t="s">
        <v>137</v>
      </c>
      <c r="S14" s="235">
        <f t="shared" ref="S14" si="10">IF(S3="SIMPLES",S4+0.52+0.22,S4+0.52*2)</f>
        <v>6.44</v>
      </c>
      <c r="T14" s="235"/>
      <c r="U14" s="219">
        <f t="shared" ref="U14:U44" si="11">SUM(D14:T14)</f>
        <v>70.399999999999991</v>
      </c>
    </row>
    <row r="15" spans="1:22" ht="14.45" customHeight="1">
      <c r="A15" s="449"/>
      <c r="B15" s="454"/>
      <c r="C15" s="223" t="s">
        <v>151</v>
      </c>
      <c r="D15" s="236">
        <f t="shared" ref="D15:H15" si="12">D14*D2+D11</f>
        <v>789.67280000000005</v>
      </c>
      <c r="E15" s="237">
        <f>19.91</f>
        <v>19.91</v>
      </c>
      <c r="F15" s="236">
        <f>F14*F2+F11</f>
        <v>727.07120000000009</v>
      </c>
      <c r="G15" s="236">
        <f t="shared" si="12"/>
        <v>974.51360000000011</v>
      </c>
      <c r="H15" s="236">
        <f t="shared" si="12"/>
        <v>1669.9164000000003</v>
      </c>
      <c r="I15" s="237">
        <v>106.04</v>
      </c>
      <c r="J15" s="236">
        <f t="shared" ref="J15:N15" si="13">J14*J2+J11</f>
        <v>526.59879999999998</v>
      </c>
      <c r="K15" s="237">
        <v>933.9</v>
      </c>
      <c r="L15" s="236">
        <f>L14*L2+L11</f>
        <v>1415.3188000000002</v>
      </c>
      <c r="M15" s="383">
        <v>804.58</v>
      </c>
      <c r="N15" s="236">
        <f t="shared" si="13"/>
        <v>1741.2423999999999</v>
      </c>
      <c r="O15" s="237">
        <v>51.51</v>
      </c>
      <c r="P15" s="236">
        <f t="shared" ref="P15:Q15" si="14">P14*P2+P11</f>
        <v>502.12559999999996</v>
      </c>
      <c r="Q15" s="236">
        <f t="shared" si="14"/>
        <v>719.89560000000006</v>
      </c>
      <c r="R15" s="237">
        <v>161</v>
      </c>
      <c r="S15" s="236">
        <f t="shared" ref="S15" si="15">S14*S2+S11</f>
        <v>536.58079999999995</v>
      </c>
      <c r="T15" s="314"/>
      <c r="U15" s="219">
        <f t="shared" si="11"/>
        <v>11679.875999999998</v>
      </c>
    </row>
    <row r="16" spans="1:22" ht="14.45" hidden="1" customHeight="1">
      <c r="A16" s="449"/>
      <c r="B16" s="454" t="s">
        <v>152</v>
      </c>
      <c r="C16" s="221" t="s">
        <v>97</v>
      </c>
      <c r="D16" s="233" t="s">
        <v>153</v>
      </c>
      <c r="E16" s="235" t="s">
        <v>153</v>
      </c>
      <c r="F16" s="235" t="s">
        <v>153</v>
      </c>
      <c r="G16" s="235" t="s">
        <v>153</v>
      </c>
      <c r="H16" s="235" t="s">
        <v>153</v>
      </c>
      <c r="I16" s="235" t="s">
        <v>153</v>
      </c>
      <c r="J16" s="235" t="s">
        <v>153</v>
      </c>
      <c r="K16" s="235" t="s">
        <v>153</v>
      </c>
      <c r="L16" s="235" t="s">
        <v>153</v>
      </c>
      <c r="M16" s="235" t="s">
        <v>153</v>
      </c>
      <c r="N16" s="235" t="s">
        <v>153</v>
      </c>
      <c r="O16" s="235" t="s">
        <v>153</v>
      </c>
      <c r="P16" s="235" t="s">
        <v>153</v>
      </c>
      <c r="Q16" s="235" t="s">
        <v>153</v>
      </c>
      <c r="R16" s="235" t="s">
        <v>153</v>
      </c>
      <c r="S16" s="235" t="s">
        <v>153</v>
      </c>
      <c r="T16" s="315"/>
      <c r="U16" s="219">
        <f t="shared" si="11"/>
        <v>0</v>
      </c>
    </row>
    <row r="17" spans="1:21" ht="14.45" hidden="1" customHeight="1">
      <c r="A17" s="449"/>
      <c r="B17" s="454"/>
      <c r="C17" s="221" t="s">
        <v>151</v>
      </c>
      <c r="D17" s="238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315"/>
      <c r="U17" s="219">
        <f t="shared" si="11"/>
        <v>0</v>
      </c>
    </row>
    <row r="18" spans="1:21" ht="20.25" hidden="1" customHeight="1">
      <c r="A18" s="449"/>
      <c r="B18" s="454"/>
      <c r="C18" s="221" t="s">
        <v>154</v>
      </c>
      <c r="D18" s="238"/>
      <c r="E18" s="239"/>
      <c r="F18" s="239"/>
      <c r="G18" s="239"/>
      <c r="H18" s="239"/>
      <c r="I18" s="239"/>
      <c r="J18" s="239"/>
      <c r="K18" s="239"/>
      <c r="L18" s="239"/>
      <c r="M18" s="239"/>
      <c r="N18" s="239"/>
      <c r="O18" s="239"/>
      <c r="P18" s="239"/>
      <c r="Q18" s="239"/>
      <c r="R18" s="239"/>
      <c r="S18" s="239"/>
      <c r="T18" s="315"/>
      <c r="U18" s="219">
        <f t="shared" si="11"/>
        <v>0</v>
      </c>
    </row>
    <row r="19" spans="1:21" ht="15" customHeight="1">
      <c r="A19" s="449"/>
      <c r="B19" s="454" t="s">
        <v>155</v>
      </c>
      <c r="C19" s="222" t="s">
        <v>156</v>
      </c>
      <c r="D19" s="240" t="s">
        <v>137</v>
      </c>
      <c r="E19" s="239">
        <v>0.3</v>
      </c>
      <c r="F19" s="234" t="s">
        <v>137</v>
      </c>
      <c r="G19" s="234" t="s">
        <v>137</v>
      </c>
      <c r="H19" s="241" t="s">
        <v>137</v>
      </c>
      <c r="I19" s="241" t="s">
        <v>137</v>
      </c>
      <c r="J19" s="234" t="s">
        <v>137</v>
      </c>
      <c r="K19" s="234" t="s">
        <v>137</v>
      </c>
      <c r="L19" s="234" t="s">
        <v>137</v>
      </c>
      <c r="M19" s="241" t="s">
        <v>137</v>
      </c>
      <c r="N19" s="234" t="s">
        <v>137</v>
      </c>
      <c r="O19" s="239">
        <v>0.3</v>
      </c>
      <c r="P19" s="234" t="s">
        <v>137</v>
      </c>
      <c r="Q19" s="234" t="s">
        <v>137</v>
      </c>
      <c r="R19" s="234" t="s">
        <v>137</v>
      </c>
      <c r="S19" s="234" t="s">
        <v>137</v>
      </c>
      <c r="T19" s="316"/>
      <c r="U19" s="219">
        <f t="shared" si="11"/>
        <v>0.6</v>
      </c>
    </row>
    <row r="20" spans="1:21" ht="15" customHeight="1">
      <c r="A20" s="449"/>
      <c r="B20" s="454"/>
      <c r="C20" s="224" t="s">
        <v>157</v>
      </c>
      <c r="D20" s="242">
        <v>107.97</v>
      </c>
      <c r="E20" s="243">
        <f>E15*E19</f>
        <v>5.9729999999999999</v>
      </c>
      <c r="F20" s="243">
        <v>16.53</v>
      </c>
      <c r="G20" s="243">
        <v>69.58</v>
      </c>
      <c r="H20" s="382">
        <v>165.79</v>
      </c>
      <c r="I20" s="243"/>
      <c r="J20" s="243">
        <v>51.66</v>
      </c>
      <c r="K20" s="243"/>
      <c r="L20" s="243">
        <v>91.73</v>
      </c>
      <c r="M20" s="243"/>
      <c r="N20" s="243">
        <v>1014.07</v>
      </c>
      <c r="O20" s="243">
        <f>O15*O19</f>
        <v>15.452999999999999</v>
      </c>
      <c r="P20" s="382">
        <v>221.48</v>
      </c>
      <c r="Q20" s="243">
        <v>570.84</v>
      </c>
      <c r="R20" s="243"/>
      <c r="S20" s="243">
        <v>131.15</v>
      </c>
      <c r="T20" s="317"/>
      <c r="U20" s="219">
        <f t="shared" si="11"/>
        <v>2462.2260000000001</v>
      </c>
    </row>
    <row r="21" spans="1:21" ht="21.75" customHeight="1">
      <c r="A21" s="449"/>
      <c r="B21" s="454"/>
      <c r="C21" s="223" t="s">
        <v>357</v>
      </c>
      <c r="D21" s="236">
        <f>D20*1.3</f>
        <v>140.36099999999999</v>
      </c>
      <c r="E21" s="237">
        <f t="shared" ref="E21" si="16">E20*1.3</f>
        <v>7.7648999999999999</v>
      </c>
      <c r="F21" s="236">
        <f t="shared" ref="F21:O21" si="17">F20*1.3</f>
        <v>21.489000000000001</v>
      </c>
      <c r="G21" s="236">
        <f t="shared" si="17"/>
        <v>90.454000000000008</v>
      </c>
      <c r="H21" s="236">
        <f>H20*1.3</f>
        <v>215.52699999999999</v>
      </c>
      <c r="I21" s="237">
        <f>I20*1.3</f>
        <v>0</v>
      </c>
      <c r="J21" s="236">
        <f t="shared" si="17"/>
        <v>67.158000000000001</v>
      </c>
      <c r="K21" s="237">
        <f t="shared" ref="K21" si="18">K20*1.3</f>
        <v>0</v>
      </c>
      <c r="L21" s="236">
        <f t="shared" si="17"/>
        <v>119.24900000000001</v>
      </c>
      <c r="M21" s="237">
        <f t="shared" si="17"/>
        <v>0</v>
      </c>
      <c r="N21" s="236">
        <f t="shared" si="17"/>
        <v>1318.2910000000002</v>
      </c>
      <c r="O21" s="237">
        <f t="shared" si="17"/>
        <v>20.088899999999999</v>
      </c>
      <c r="P21" s="236">
        <f t="shared" ref="P21:R21" si="19">P20*1.3</f>
        <v>287.92399999999998</v>
      </c>
      <c r="Q21" s="236">
        <f t="shared" si="19"/>
        <v>742.0920000000001</v>
      </c>
      <c r="R21" s="237">
        <f t="shared" si="19"/>
        <v>0</v>
      </c>
      <c r="S21" s="236">
        <f>S20*1.3</f>
        <v>170.495</v>
      </c>
      <c r="T21" s="314"/>
      <c r="U21" s="219">
        <f t="shared" si="11"/>
        <v>3200.8938000000003</v>
      </c>
    </row>
    <row r="22" spans="1:21" ht="15" customHeight="1">
      <c r="A22" s="449"/>
      <c r="B22" s="454" t="s">
        <v>158</v>
      </c>
      <c r="C22" s="222" t="s">
        <v>159</v>
      </c>
      <c r="D22" s="244">
        <v>53.79</v>
      </c>
      <c r="E22" s="245"/>
      <c r="F22" s="245">
        <v>152.33000000000001</v>
      </c>
      <c r="G22" s="245">
        <v>47.55</v>
      </c>
      <c r="H22" s="245">
        <v>262.83999999999997</v>
      </c>
      <c r="I22" s="245"/>
      <c r="J22" s="245">
        <v>268.79000000000002</v>
      </c>
      <c r="K22" s="245"/>
      <c r="L22" s="245">
        <v>189.83</v>
      </c>
      <c r="M22" s="245"/>
      <c r="N22" s="245">
        <v>0</v>
      </c>
      <c r="O22" s="245"/>
      <c r="P22" s="245">
        <v>7.01</v>
      </c>
      <c r="Q22" s="245">
        <v>0</v>
      </c>
      <c r="R22" s="245"/>
      <c r="S22" s="245">
        <v>13.55</v>
      </c>
      <c r="T22" s="245"/>
      <c r="U22" s="219">
        <f t="shared" si="11"/>
        <v>995.68999999999994</v>
      </c>
    </row>
    <row r="23" spans="1:21" ht="20.25" customHeight="1">
      <c r="A23" s="449"/>
      <c r="B23" s="454"/>
      <c r="C23" s="224" t="s">
        <v>160</v>
      </c>
      <c r="D23" s="246">
        <v>0.3</v>
      </c>
      <c r="E23" s="247">
        <v>0.3</v>
      </c>
      <c r="F23" s="247">
        <v>0.3</v>
      </c>
      <c r="G23" s="247">
        <v>0.3</v>
      </c>
      <c r="H23" s="247">
        <v>0.3</v>
      </c>
      <c r="I23" s="247">
        <v>0.3</v>
      </c>
      <c r="J23" s="247">
        <v>0.3</v>
      </c>
      <c r="K23" s="247">
        <v>0.3</v>
      </c>
      <c r="L23" s="247">
        <v>0.3</v>
      </c>
      <c r="M23" s="247">
        <v>0.3</v>
      </c>
      <c r="N23" s="247">
        <v>0.3</v>
      </c>
      <c r="O23" s="247">
        <v>0.3</v>
      </c>
      <c r="P23" s="247">
        <v>0.3</v>
      </c>
      <c r="Q23" s="247">
        <v>0.3</v>
      </c>
      <c r="R23" s="247">
        <v>0.3</v>
      </c>
      <c r="S23" s="247">
        <v>0.3</v>
      </c>
      <c r="T23" s="318"/>
      <c r="U23" s="219">
        <f t="shared" si="11"/>
        <v>4.7999999999999989</v>
      </c>
    </row>
    <row r="24" spans="1:21" ht="22.5" customHeight="1">
      <c r="A24" s="450"/>
      <c r="B24" s="454"/>
      <c r="C24" s="223" t="s">
        <v>358</v>
      </c>
      <c r="D24" s="236">
        <f>D22*(1+D23)</f>
        <v>69.927000000000007</v>
      </c>
      <c r="E24" s="237">
        <f t="shared" ref="E24" si="20">E22*(1+E23)</f>
        <v>0</v>
      </c>
      <c r="F24" s="236">
        <f t="shared" ref="F24" si="21">F22*(1+F23)</f>
        <v>198.02900000000002</v>
      </c>
      <c r="G24" s="236">
        <f t="shared" ref="G24:S24" si="22">G22*(1+G23)</f>
        <v>61.814999999999998</v>
      </c>
      <c r="H24" s="236">
        <f t="shared" si="22"/>
        <v>341.69200000000001</v>
      </c>
      <c r="I24" s="237">
        <f t="shared" si="22"/>
        <v>0</v>
      </c>
      <c r="J24" s="236">
        <f t="shared" si="22"/>
        <v>349.42700000000002</v>
      </c>
      <c r="K24" s="237">
        <f t="shared" ref="K24" si="23">K22*(1+K23)</f>
        <v>0</v>
      </c>
      <c r="L24" s="236">
        <f t="shared" si="22"/>
        <v>246.77900000000002</v>
      </c>
      <c r="M24" s="237">
        <f t="shared" si="22"/>
        <v>0</v>
      </c>
      <c r="N24" s="236">
        <f t="shared" si="22"/>
        <v>0</v>
      </c>
      <c r="O24" s="237">
        <f t="shared" si="22"/>
        <v>0</v>
      </c>
      <c r="P24" s="236">
        <f t="shared" ref="P24:R24" si="24">P22*(1+P23)</f>
        <v>9.1129999999999995</v>
      </c>
      <c r="Q24" s="236">
        <f t="shared" si="24"/>
        <v>0</v>
      </c>
      <c r="R24" s="237">
        <f t="shared" si="24"/>
        <v>0</v>
      </c>
      <c r="S24" s="236">
        <f t="shared" si="22"/>
        <v>17.615000000000002</v>
      </c>
      <c r="T24" s="314"/>
      <c r="U24" s="219">
        <f t="shared" si="11"/>
        <v>1294.3970000000002</v>
      </c>
    </row>
    <row r="25" spans="1:21" ht="14.25" hidden="1" customHeight="1">
      <c r="A25" s="451" t="s">
        <v>161</v>
      </c>
      <c r="B25" s="455" t="s">
        <v>162</v>
      </c>
      <c r="C25" s="211" t="s">
        <v>97</v>
      </c>
      <c r="D25" s="248" t="s">
        <v>163</v>
      </c>
      <c r="E25" s="249" t="s">
        <v>163</v>
      </c>
      <c r="F25" s="250" t="s">
        <v>163</v>
      </c>
      <c r="G25" s="250" t="s">
        <v>163</v>
      </c>
      <c r="H25" s="250" t="s">
        <v>163</v>
      </c>
      <c r="I25" s="249" t="s">
        <v>163</v>
      </c>
      <c r="J25" s="250" t="s">
        <v>163</v>
      </c>
      <c r="K25" s="249" t="s">
        <v>163</v>
      </c>
      <c r="L25" s="250" t="s">
        <v>163</v>
      </c>
      <c r="M25" s="249" t="s">
        <v>163</v>
      </c>
      <c r="N25" s="250" t="s">
        <v>163</v>
      </c>
      <c r="O25" s="249" t="s">
        <v>163</v>
      </c>
      <c r="P25" s="250" t="s">
        <v>163</v>
      </c>
      <c r="Q25" s="250" t="s">
        <v>163</v>
      </c>
      <c r="R25" s="249" t="s">
        <v>163</v>
      </c>
      <c r="S25" s="250" t="s">
        <v>163</v>
      </c>
      <c r="T25" s="250"/>
      <c r="U25" s="219">
        <f t="shared" si="11"/>
        <v>0</v>
      </c>
    </row>
    <row r="26" spans="1:21" ht="14.45" hidden="1" customHeight="1">
      <c r="A26" s="452"/>
      <c r="B26" s="455"/>
      <c r="C26" s="212" t="s">
        <v>164</v>
      </c>
      <c r="D26" s="204"/>
      <c r="E26" s="91"/>
      <c r="F26" s="91"/>
      <c r="G26" s="115"/>
      <c r="H26" s="115"/>
      <c r="I26" s="91"/>
      <c r="J26" s="115"/>
      <c r="K26" s="91"/>
      <c r="L26" s="91"/>
      <c r="M26" s="91"/>
      <c r="N26" s="91"/>
      <c r="O26" s="91"/>
      <c r="P26" s="91"/>
      <c r="Q26" s="91"/>
      <c r="R26" s="91"/>
      <c r="S26" s="91"/>
      <c r="T26" s="313"/>
      <c r="U26" s="219">
        <f t="shared" si="11"/>
        <v>0</v>
      </c>
    </row>
    <row r="27" spans="1:21" ht="14.45" hidden="1" customHeight="1">
      <c r="A27" s="452"/>
      <c r="B27" s="455"/>
      <c r="C27" s="212" t="s">
        <v>165</v>
      </c>
      <c r="D27" s="204">
        <v>0.3</v>
      </c>
      <c r="E27" s="115">
        <v>0.3</v>
      </c>
      <c r="F27" s="91">
        <v>0.3</v>
      </c>
      <c r="G27" s="91">
        <v>0.3</v>
      </c>
      <c r="H27" s="91">
        <v>0.3</v>
      </c>
      <c r="I27" s="115">
        <v>0.3</v>
      </c>
      <c r="J27" s="91">
        <v>0.3</v>
      </c>
      <c r="K27" s="115">
        <v>0.3</v>
      </c>
      <c r="L27" s="91">
        <v>0.3</v>
      </c>
      <c r="M27" s="115">
        <v>0.3</v>
      </c>
      <c r="N27" s="91">
        <v>0.3</v>
      </c>
      <c r="O27" s="115">
        <v>0.3</v>
      </c>
      <c r="P27" s="91">
        <v>0.3</v>
      </c>
      <c r="Q27" s="91">
        <v>0.3</v>
      </c>
      <c r="R27" s="115">
        <v>0.3</v>
      </c>
      <c r="S27" s="91">
        <v>0.3</v>
      </c>
      <c r="T27" s="91"/>
      <c r="U27" s="219">
        <f t="shared" si="11"/>
        <v>4.7999999999999989</v>
      </c>
    </row>
    <row r="28" spans="1:21" ht="14.45" hidden="1" customHeight="1">
      <c r="A28" s="452"/>
      <c r="B28" s="455"/>
      <c r="C28" s="212" t="s">
        <v>150</v>
      </c>
      <c r="D28" s="206">
        <f>D14</f>
        <v>6.44</v>
      </c>
      <c r="E28" s="251" t="str">
        <f t="shared" ref="E28" si="25">E14</f>
        <v>VÁRIAVEL</v>
      </c>
      <c r="F28" s="206">
        <f t="shared" ref="F28:S28" si="26">F14</f>
        <v>6.44</v>
      </c>
      <c r="G28" s="206">
        <f t="shared" si="26"/>
        <v>8.4400000000000013</v>
      </c>
      <c r="H28" s="206">
        <f t="shared" si="26"/>
        <v>8.4400000000000013</v>
      </c>
      <c r="I28" s="251" t="str">
        <f t="shared" si="26"/>
        <v>VÁRIAVEL</v>
      </c>
      <c r="J28" s="206">
        <f t="shared" si="26"/>
        <v>6.44</v>
      </c>
      <c r="K28" s="251" t="str">
        <f t="shared" ref="K28" si="27">K14</f>
        <v>VÁRIAVEL</v>
      </c>
      <c r="L28" s="206">
        <f t="shared" si="26"/>
        <v>6.44</v>
      </c>
      <c r="M28" s="251" t="str">
        <f t="shared" si="26"/>
        <v>VÁRIAVEL</v>
      </c>
      <c r="N28" s="206">
        <f t="shared" si="26"/>
        <v>6.44</v>
      </c>
      <c r="O28" s="251" t="str">
        <f t="shared" si="26"/>
        <v>VÁRIAVEL</v>
      </c>
      <c r="P28" s="206">
        <f t="shared" ref="P28:R28" si="28">P14</f>
        <v>7.44</v>
      </c>
      <c r="Q28" s="206">
        <f t="shared" si="28"/>
        <v>7.44</v>
      </c>
      <c r="R28" s="251" t="str">
        <f t="shared" si="28"/>
        <v>VÁRIAVEL</v>
      </c>
      <c r="S28" s="206">
        <f t="shared" si="26"/>
        <v>6.44</v>
      </c>
      <c r="T28" s="253"/>
      <c r="U28" s="219">
        <f t="shared" si="11"/>
        <v>70.399999999999991</v>
      </c>
    </row>
    <row r="29" spans="1:21" ht="14.45" hidden="1" customHeight="1">
      <c r="A29" s="452"/>
      <c r="B29" s="455"/>
      <c r="C29" s="212" t="s">
        <v>154</v>
      </c>
      <c r="D29" s="205">
        <f>D2*D28*D26/100+D11*D26/100</f>
        <v>0</v>
      </c>
      <c r="E29" s="206">
        <f>E15*E26/100</f>
        <v>0</v>
      </c>
      <c r="F29" s="206">
        <f>F2*F28*F26/100+F11*F26/100</f>
        <v>0</v>
      </c>
      <c r="G29" s="206">
        <f>G2*G28*G26/100+G11*G26/100</f>
        <v>0</v>
      </c>
      <c r="H29" s="206">
        <f>H2*H28*H26/100+H11*H26/100</f>
        <v>0</v>
      </c>
      <c r="I29" s="206">
        <f>I15*I26/100</f>
        <v>0</v>
      </c>
      <c r="J29" s="206">
        <f t="shared" ref="J29:S29" si="29">J2*J28*J26/100+J11*J26/100</f>
        <v>0</v>
      </c>
      <c r="K29" s="206">
        <f>K15*K26/100</f>
        <v>0</v>
      </c>
      <c r="L29" s="206">
        <f>L2*L28*L26/100+L11*L26/100</f>
        <v>0</v>
      </c>
      <c r="M29" s="206">
        <f>M15*M26/100</f>
        <v>0</v>
      </c>
      <c r="N29" s="206">
        <f t="shared" si="29"/>
        <v>0</v>
      </c>
      <c r="O29" s="206">
        <f>O15*O26/100</f>
        <v>0</v>
      </c>
      <c r="P29" s="206">
        <f>P2*P28*P26/100+P11*P26/100</f>
        <v>0</v>
      </c>
      <c r="Q29" s="206">
        <f t="shared" si="29"/>
        <v>0</v>
      </c>
      <c r="R29" s="206">
        <f>R15*R26/100</f>
        <v>0</v>
      </c>
      <c r="S29" s="206">
        <f t="shared" si="29"/>
        <v>0</v>
      </c>
      <c r="T29" s="206"/>
      <c r="U29" s="219">
        <f t="shared" si="11"/>
        <v>0</v>
      </c>
    </row>
    <row r="30" spans="1:21" ht="12.75" hidden="1" customHeight="1">
      <c r="A30" s="452"/>
      <c r="B30" s="455"/>
      <c r="C30" s="229" t="s">
        <v>166</v>
      </c>
      <c r="D30" s="209">
        <f>D29*(1+D27)</f>
        <v>0</v>
      </c>
      <c r="E30" s="209">
        <f>E29*(1+E27)</f>
        <v>0</v>
      </c>
      <c r="F30" s="209">
        <f t="shared" ref="F30:S30" si="30">F29*(1+F27)</f>
        <v>0</v>
      </c>
      <c r="G30" s="209">
        <f t="shared" si="30"/>
        <v>0</v>
      </c>
      <c r="H30" s="209">
        <f>H29*(1+H27)</f>
        <v>0</v>
      </c>
      <c r="I30" s="209">
        <f>I29*(1+I27)</f>
        <v>0</v>
      </c>
      <c r="J30" s="209">
        <f t="shared" si="30"/>
        <v>0</v>
      </c>
      <c r="K30" s="209">
        <f>K29*(1+K27)</f>
        <v>0</v>
      </c>
      <c r="L30" s="209">
        <f t="shared" si="30"/>
        <v>0</v>
      </c>
      <c r="M30" s="209">
        <f>M29*(1+M27)</f>
        <v>0</v>
      </c>
      <c r="N30" s="209">
        <f t="shared" si="30"/>
        <v>0</v>
      </c>
      <c r="O30" s="209">
        <f>O29*(1+O27)</f>
        <v>0</v>
      </c>
      <c r="P30" s="209">
        <f t="shared" si="30"/>
        <v>0</v>
      </c>
      <c r="Q30" s="209">
        <f t="shared" si="30"/>
        <v>0</v>
      </c>
      <c r="R30" s="209">
        <f>R29*(1+R27)</f>
        <v>0</v>
      </c>
      <c r="S30" s="209">
        <f t="shared" si="30"/>
        <v>0</v>
      </c>
      <c r="T30" s="319"/>
      <c r="U30" s="219">
        <f t="shared" si="11"/>
        <v>0</v>
      </c>
    </row>
    <row r="31" spans="1:21" ht="14.45" customHeight="1">
      <c r="A31" s="452"/>
      <c r="B31" s="460" t="s">
        <v>167</v>
      </c>
      <c r="C31" s="211" t="s">
        <v>97</v>
      </c>
      <c r="D31" s="249" t="s">
        <v>354</v>
      </c>
      <c r="E31" s="249" t="s">
        <v>354</v>
      </c>
      <c r="F31" s="249" t="s">
        <v>354</v>
      </c>
      <c r="G31" s="249" t="s">
        <v>354</v>
      </c>
      <c r="H31" s="249" t="s">
        <v>354</v>
      </c>
      <c r="I31" s="249" t="s">
        <v>354</v>
      </c>
      <c r="J31" s="249" t="s">
        <v>354</v>
      </c>
      <c r="K31" s="249" t="s">
        <v>354</v>
      </c>
      <c r="L31" s="249" t="s">
        <v>354</v>
      </c>
      <c r="M31" s="249" t="s">
        <v>354</v>
      </c>
      <c r="N31" s="249" t="s">
        <v>354</v>
      </c>
      <c r="O31" s="249" t="s">
        <v>354</v>
      </c>
      <c r="P31" s="249" t="s">
        <v>354</v>
      </c>
      <c r="Q31" s="249" t="s">
        <v>354</v>
      </c>
      <c r="R31" s="249" t="s">
        <v>354</v>
      </c>
      <c r="S31" s="249" t="s">
        <v>354</v>
      </c>
      <c r="T31" s="249"/>
      <c r="U31" s="219">
        <f t="shared" si="11"/>
        <v>0</v>
      </c>
    </row>
    <row r="32" spans="1:21" ht="14.45" customHeight="1">
      <c r="A32" s="452"/>
      <c r="B32" s="461"/>
      <c r="C32" s="212" t="s">
        <v>164</v>
      </c>
      <c r="D32" s="204">
        <v>20</v>
      </c>
      <c r="E32" s="91">
        <v>20</v>
      </c>
      <c r="F32" s="91">
        <v>20</v>
      </c>
      <c r="G32" s="91">
        <v>20</v>
      </c>
      <c r="H32" s="91">
        <v>20</v>
      </c>
      <c r="I32" s="91">
        <v>20</v>
      </c>
      <c r="J32" s="91">
        <v>20</v>
      </c>
      <c r="K32" s="91">
        <v>20</v>
      </c>
      <c r="L32" s="91">
        <v>20</v>
      </c>
      <c r="M32" s="91">
        <v>20</v>
      </c>
      <c r="N32" s="91">
        <v>20</v>
      </c>
      <c r="O32" s="91">
        <v>20</v>
      </c>
      <c r="P32" s="91">
        <v>20</v>
      </c>
      <c r="Q32" s="91">
        <v>20</v>
      </c>
      <c r="R32" s="91">
        <v>20</v>
      </c>
      <c r="S32" s="91">
        <v>20</v>
      </c>
      <c r="T32" s="313"/>
      <c r="U32" s="219">
        <f t="shared" si="11"/>
        <v>320</v>
      </c>
    </row>
    <row r="33" spans="1:21" ht="14.45" customHeight="1">
      <c r="A33" s="452"/>
      <c r="B33" s="461"/>
      <c r="C33" s="212" t="s">
        <v>165</v>
      </c>
      <c r="D33" s="204">
        <v>0.3</v>
      </c>
      <c r="E33" s="91">
        <v>0.3</v>
      </c>
      <c r="F33" s="91">
        <v>0.3</v>
      </c>
      <c r="G33" s="91">
        <v>0.3</v>
      </c>
      <c r="H33" s="91">
        <v>0.3</v>
      </c>
      <c r="I33" s="91">
        <v>0.3</v>
      </c>
      <c r="J33" s="91">
        <v>0.3</v>
      </c>
      <c r="K33" s="91">
        <v>0.3</v>
      </c>
      <c r="L33" s="91">
        <v>0.3</v>
      </c>
      <c r="M33" s="91">
        <v>0.3</v>
      </c>
      <c r="N33" s="91">
        <v>0.3</v>
      </c>
      <c r="O33" s="91">
        <v>0.3</v>
      </c>
      <c r="P33" s="91">
        <v>0.3</v>
      </c>
      <c r="Q33" s="91">
        <v>0.3</v>
      </c>
      <c r="R33" s="91">
        <v>0.3</v>
      </c>
      <c r="S33" s="91">
        <v>0.3</v>
      </c>
      <c r="T33" s="313"/>
      <c r="U33" s="219">
        <f t="shared" si="11"/>
        <v>4.7999999999999989</v>
      </c>
    </row>
    <row r="34" spans="1:21" ht="14.45" customHeight="1">
      <c r="A34" s="452"/>
      <c r="B34" s="461"/>
      <c r="C34" s="212" t="s">
        <v>150</v>
      </c>
      <c r="D34" s="205">
        <f>D14</f>
        <v>6.44</v>
      </c>
      <c r="E34" s="206" t="str">
        <f t="shared" ref="E34:H34" si="31">E14</f>
        <v>VÁRIAVEL</v>
      </c>
      <c r="F34" s="206">
        <f t="shared" si="31"/>
        <v>6.44</v>
      </c>
      <c r="G34" s="206">
        <f t="shared" si="31"/>
        <v>8.4400000000000013</v>
      </c>
      <c r="H34" s="206">
        <f t="shared" si="31"/>
        <v>8.4400000000000013</v>
      </c>
      <c r="I34" s="206" t="str">
        <f t="shared" ref="I34" si="32">I14</f>
        <v>VÁRIAVEL</v>
      </c>
      <c r="J34" s="206">
        <f t="shared" ref="J34:O34" si="33">J14</f>
        <v>6.44</v>
      </c>
      <c r="K34" s="206" t="str">
        <f t="shared" ref="K34" si="34">K14</f>
        <v>VÁRIAVEL</v>
      </c>
      <c r="L34" s="206">
        <f t="shared" si="33"/>
        <v>6.44</v>
      </c>
      <c r="M34" s="206" t="str">
        <f t="shared" si="33"/>
        <v>VÁRIAVEL</v>
      </c>
      <c r="N34" s="206">
        <f t="shared" si="33"/>
        <v>6.44</v>
      </c>
      <c r="O34" s="206" t="str">
        <f t="shared" si="33"/>
        <v>VÁRIAVEL</v>
      </c>
      <c r="P34" s="206">
        <f t="shared" ref="P34:R34" si="35">P14</f>
        <v>7.44</v>
      </c>
      <c r="Q34" s="206">
        <f t="shared" si="35"/>
        <v>7.44</v>
      </c>
      <c r="R34" s="206" t="str">
        <f t="shared" si="35"/>
        <v>VÁRIAVEL</v>
      </c>
      <c r="S34" s="206">
        <f t="shared" ref="S34" si="36">S14</f>
        <v>6.44</v>
      </c>
      <c r="T34" s="253"/>
      <c r="U34" s="219">
        <f t="shared" si="11"/>
        <v>70.399999999999991</v>
      </c>
    </row>
    <row r="35" spans="1:21" ht="14.45" customHeight="1">
      <c r="A35" s="452"/>
      <c r="B35" s="461"/>
      <c r="C35" s="212" t="s">
        <v>154</v>
      </c>
      <c r="D35" s="205">
        <f>D2*D34*D32/100+D11*D32/100</f>
        <v>157.93456000000003</v>
      </c>
      <c r="E35" s="206">
        <f>E15*E32/100</f>
        <v>3.9819999999999998</v>
      </c>
      <c r="F35" s="206">
        <f>F2*F34*F32/100+F11*F32/100</f>
        <v>145.41424000000004</v>
      </c>
      <c r="G35" s="206">
        <f>G2*G34*G32/100+G11*G32/100</f>
        <v>194.90272000000002</v>
      </c>
      <c r="H35" s="206">
        <f>H2*H34*H32/100+H11*H32/100</f>
        <v>333.98328000000009</v>
      </c>
      <c r="I35" s="206">
        <f>I15*I32/100</f>
        <v>21.208000000000002</v>
      </c>
      <c r="J35" s="206">
        <f>J2*J34*J32/100+J11*J32/100</f>
        <v>105.31975999999999</v>
      </c>
      <c r="K35" s="206">
        <f>K15*K32/100</f>
        <v>186.78</v>
      </c>
      <c r="L35" s="206">
        <f>L2*L34*L32/100+L11*L32/100</f>
        <v>283.06376000000006</v>
      </c>
      <c r="M35" s="206">
        <f>M15*M32/100</f>
        <v>160.916</v>
      </c>
      <c r="N35" s="206">
        <f t="shared" ref="N35" si="37">N2*N34*N32/100+N11*N32/100</f>
        <v>348.24847999999997</v>
      </c>
      <c r="O35" s="206">
        <f>O15*O32/100</f>
        <v>10.302</v>
      </c>
      <c r="P35" s="206">
        <f>P2*P34*P32/100+P11*P32/100</f>
        <v>100.42511999999999</v>
      </c>
      <c r="Q35" s="206">
        <f t="shared" ref="Q35" si="38">Q2*Q34*Q32/100+Q11*Q32/100</f>
        <v>143.97911999999999</v>
      </c>
      <c r="R35" s="206">
        <f>R15*R32/100</f>
        <v>32.200000000000003</v>
      </c>
      <c r="S35" s="206">
        <f>S2*S34*S32/100+S11*S32/100</f>
        <v>107.31615999999998</v>
      </c>
      <c r="T35" s="253"/>
      <c r="U35" s="219">
        <f t="shared" si="11"/>
        <v>2335.9751999999994</v>
      </c>
    </row>
    <row r="36" spans="1:21" ht="12.75" customHeight="1">
      <c r="A36" s="452"/>
      <c r="B36" s="461"/>
      <c r="C36" s="212" t="s">
        <v>166</v>
      </c>
      <c r="D36" s="206">
        <f t="shared" ref="D36:G36" si="39">D35*(1+D33)</f>
        <v>205.31492800000004</v>
      </c>
      <c r="E36" s="251">
        <f>E35*(1+E33)</f>
        <v>5.1765999999999996</v>
      </c>
      <c r="F36" s="206">
        <f t="shared" si="39"/>
        <v>189.03851200000005</v>
      </c>
      <c r="G36" s="206">
        <f t="shared" si="39"/>
        <v>253.37353600000003</v>
      </c>
      <c r="H36" s="206">
        <f>H35*(1+H33)</f>
        <v>434.17826400000013</v>
      </c>
      <c r="I36" s="251">
        <f>I35*(1+I33)</f>
        <v>27.570400000000003</v>
      </c>
      <c r="J36" s="206">
        <f t="shared" ref="J36:N36" si="40">J35*(1+J33)</f>
        <v>136.91568799999999</v>
      </c>
      <c r="K36" s="251">
        <f t="shared" ref="K36" si="41">K35*(1+K33)</f>
        <v>242.81400000000002</v>
      </c>
      <c r="L36" s="206">
        <f t="shared" si="40"/>
        <v>367.98288800000012</v>
      </c>
      <c r="M36" s="251">
        <f t="shared" si="40"/>
        <v>209.1908</v>
      </c>
      <c r="N36" s="206">
        <f t="shared" si="40"/>
        <v>452.72302399999995</v>
      </c>
      <c r="O36" s="251">
        <f>O35*(1+O33)</f>
        <v>13.3926</v>
      </c>
      <c r="P36" s="206">
        <f t="shared" ref="P36:Q36" si="42">P35*(1+P33)</f>
        <v>130.55265599999998</v>
      </c>
      <c r="Q36" s="206">
        <f t="shared" si="42"/>
        <v>187.172856</v>
      </c>
      <c r="R36" s="251">
        <f>R35*(1+R33)</f>
        <v>41.860000000000007</v>
      </c>
      <c r="S36" s="206">
        <f>S35*(1+S33)</f>
        <v>139.51100799999998</v>
      </c>
      <c r="T36" s="206"/>
      <c r="U36" s="219">
        <f>SUM(D36:T36)</f>
        <v>3036.7677600000006</v>
      </c>
    </row>
    <row r="37" spans="1:21" ht="23.25" customHeight="1">
      <c r="A37" s="452"/>
      <c r="B37" s="462"/>
      <c r="C37" s="214" t="s">
        <v>359</v>
      </c>
      <c r="D37" s="210">
        <f>D36*30</f>
        <v>6159.4478400000007</v>
      </c>
      <c r="E37" s="210">
        <f>E36*30</f>
        <v>155.298</v>
      </c>
      <c r="F37" s="210">
        <f>F36*30</f>
        <v>5671.1553600000016</v>
      </c>
      <c r="G37" s="210">
        <f t="shared" ref="G37" si="43">G36*30</f>
        <v>7601.2060800000008</v>
      </c>
      <c r="H37" s="210">
        <f>H36*30</f>
        <v>13025.347920000004</v>
      </c>
      <c r="I37" s="210">
        <f>I36*30</f>
        <v>827.11200000000008</v>
      </c>
      <c r="J37" s="209">
        <f t="shared" ref="J37:R37" si="44">J36*30</f>
        <v>4107.4706399999995</v>
      </c>
      <c r="K37" s="209">
        <f t="shared" si="44"/>
        <v>7284.420000000001</v>
      </c>
      <c r="L37" s="209">
        <f t="shared" si="44"/>
        <v>11039.486640000003</v>
      </c>
      <c r="M37" s="209">
        <f t="shared" si="44"/>
        <v>6275.7240000000002</v>
      </c>
      <c r="N37" s="209">
        <f t="shared" si="44"/>
        <v>13581.690719999999</v>
      </c>
      <c r="O37" s="209">
        <f t="shared" si="44"/>
        <v>401.77800000000002</v>
      </c>
      <c r="P37" s="209">
        <f t="shared" si="44"/>
        <v>3916.5796799999994</v>
      </c>
      <c r="Q37" s="209">
        <f t="shared" si="44"/>
        <v>5615.1856799999996</v>
      </c>
      <c r="R37" s="209">
        <f t="shared" si="44"/>
        <v>1255.8000000000002</v>
      </c>
      <c r="S37" s="209">
        <f>S36*30</f>
        <v>4185.3302399999993</v>
      </c>
      <c r="T37" s="209"/>
      <c r="U37" s="325">
        <f>SUM(D37:T37)+0.19</f>
        <v>91103.222800000003</v>
      </c>
    </row>
    <row r="38" spans="1:21" ht="14.25" customHeight="1">
      <c r="A38" s="452"/>
      <c r="B38" s="460" t="s">
        <v>168</v>
      </c>
      <c r="C38" s="213" t="s">
        <v>150</v>
      </c>
      <c r="D38" s="252">
        <f>D4</f>
        <v>5.4</v>
      </c>
      <c r="E38" s="253"/>
      <c r="F38" s="253">
        <f>F4</f>
        <v>5.4</v>
      </c>
      <c r="G38" s="253">
        <f>G4</f>
        <v>7.4</v>
      </c>
      <c r="H38" s="253">
        <f>H4</f>
        <v>7.4</v>
      </c>
      <c r="I38" s="253"/>
      <c r="J38" s="253">
        <f>J4</f>
        <v>5.4</v>
      </c>
      <c r="K38" s="253"/>
      <c r="L38" s="253">
        <f>L4</f>
        <v>5.4</v>
      </c>
      <c r="M38" s="253"/>
      <c r="N38" s="253">
        <f>N4</f>
        <v>5.4</v>
      </c>
      <c r="O38" s="253"/>
      <c r="P38" s="253">
        <f>P4</f>
        <v>6.4</v>
      </c>
      <c r="Q38" s="253">
        <f>Q4</f>
        <v>6.4</v>
      </c>
      <c r="R38" s="253"/>
      <c r="S38" s="253">
        <f>S4</f>
        <v>5.4</v>
      </c>
      <c r="T38" s="253"/>
      <c r="U38" s="219">
        <f t="shared" si="11"/>
        <v>59.999999999999993</v>
      </c>
    </row>
    <row r="39" spans="1:21" ht="14.25" customHeight="1">
      <c r="A39" s="452"/>
      <c r="B39" s="461"/>
      <c r="C39" s="212" t="s">
        <v>169</v>
      </c>
      <c r="D39" s="254">
        <f>D2*D38+D11</f>
        <v>662.14800000000002</v>
      </c>
      <c r="E39" s="198">
        <f>E15</f>
        <v>19.91</v>
      </c>
      <c r="F39" s="198">
        <f>F2*F38+F11</f>
        <v>611.39200000000005</v>
      </c>
      <c r="G39" s="198">
        <f>G2*G38+G11</f>
        <v>855.75599999999997</v>
      </c>
      <c r="H39" s="198">
        <f>H2*H38+H11</f>
        <v>1466.7940000000001</v>
      </c>
      <c r="I39" s="198">
        <f>I15</f>
        <v>106.04</v>
      </c>
      <c r="J39" s="198">
        <f>J2*J38+J11</f>
        <v>441.55799999999999</v>
      </c>
      <c r="K39" s="198">
        <f>K15</f>
        <v>933.9</v>
      </c>
      <c r="L39" s="198">
        <f>L2*L38+L11</f>
        <v>1186.758</v>
      </c>
      <c r="M39" s="198">
        <f>M15</f>
        <v>804.58</v>
      </c>
      <c r="N39" s="198">
        <f>N2*N38+N11</f>
        <v>1461.7839999999999</v>
      </c>
      <c r="O39" s="198">
        <f>O15</f>
        <v>51.51</v>
      </c>
      <c r="P39" s="198">
        <f>P2*P38+P11</f>
        <v>431.93599999999998</v>
      </c>
      <c r="Q39" s="198">
        <f>Q2*Q38+Q11</f>
        <v>619.80600000000015</v>
      </c>
      <c r="R39" s="198">
        <f>R15</f>
        <v>161</v>
      </c>
      <c r="S39" s="198">
        <f>S2*S38+S11</f>
        <v>449.928</v>
      </c>
      <c r="T39" s="196"/>
      <c r="U39" s="219">
        <f t="shared" si="11"/>
        <v>10264.799999999999</v>
      </c>
    </row>
    <row r="40" spans="1:21" ht="22.5" customHeight="1">
      <c r="A40" s="452"/>
      <c r="B40" s="461"/>
      <c r="C40" s="212" t="s">
        <v>170</v>
      </c>
      <c r="D40" s="208">
        <f>0.0012*D39</f>
        <v>0.7945776</v>
      </c>
      <c r="E40" s="326">
        <f t="shared" ref="E40" si="45">0.0012*E39</f>
        <v>2.3891999999999997E-2</v>
      </c>
      <c r="F40" s="208">
        <f t="shared" ref="F40" si="46">0.0012*F39</f>
        <v>0.73367039999999994</v>
      </c>
      <c r="G40" s="208">
        <f t="shared" ref="G40:N40" si="47">0.0012*G39</f>
        <v>1.0269071999999999</v>
      </c>
      <c r="H40" s="208">
        <f t="shared" si="47"/>
        <v>1.7601528</v>
      </c>
      <c r="I40" s="326">
        <f t="shared" si="47"/>
        <v>0.127248</v>
      </c>
      <c r="J40" s="208">
        <f t="shared" si="47"/>
        <v>0.52986959999999994</v>
      </c>
      <c r="K40" s="326">
        <f t="shared" ref="K40" si="48">0.0012*K39</f>
        <v>1.1206799999999999</v>
      </c>
      <c r="L40" s="208">
        <f t="shared" si="47"/>
        <v>1.4241096</v>
      </c>
      <c r="M40" s="326">
        <f t="shared" si="47"/>
        <v>0.96549599999999991</v>
      </c>
      <c r="N40" s="208">
        <f t="shared" si="47"/>
        <v>1.7541407999999996</v>
      </c>
      <c r="O40" s="326">
        <f>0.0012*O39</f>
        <v>6.1811999999999992E-2</v>
      </c>
      <c r="P40" s="208">
        <f t="shared" ref="P40:Q40" si="49">0.0012*P39</f>
        <v>0.51832319999999998</v>
      </c>
      <c r="Q40" s="208">
        <f t="shared" si="49"/>
        <v>0.74376720000000007</v>
      </c>
      <c r="R40" s="326">
        <f>0.0012*R39</f>
        <v>0.19319999999999998</v>
      </c>
      <c r="S40" s="208">
        <f>0.0012*S39</f>
        <v>0.53991359999999999</v>
      </c>
      <c r="T40" s="208"/>
      <c r="U40" s="220">
        <f t="shared" si="11"/>
        <v>12.317759999999998</v>
      </c>
    </row>
    <row r="41" spans="1:21" ht="22.5" customHeight="1">
      <c r="A41" s="452"/>
      <c r="B41" s="461"/>
      <c r="C41" s="212" t="s">
        <v>361</v>
      </c>
      <c r="D41" s="326">
        <f>D40*30</f>
        <v>23.837327999999999</v>
      </c>
      <c r="E41" s="326">
        <f t="shared" ref="E41:S41" si="50">E40*30</f>
        <v>0.71675999999999984</v>
      </c>
      <c r="F41" s="326">
        <f t="shared" si="50"/>
        <v>22.010111999999999</v>
      </c>
      <c r="G41" s="326">
        <f t="shared" si="50"/>
        <v>30.807215999999997</v>
      </c>
      <c r="H41" s="326">
        <f t="shared" si="50"/>
        <v>52.804583999999998</v>
      </c>
      <c r="I41" s="326">
        <f t="shared" si="50"/>
        <v>3.8174399999999999</v>
      </c>
      <c r="J41" s="326">
        <f t="shared" si="50"/>
        <v>15.896087999999999</v>
      </c>
      <c r="K41" s="326">
        <f t="shared" si="50"/>
        <v>33.620399999999997</v>
      </c>
      <c r="L41" s="326">
        <f t="shared" si="50"/>
        <v>42.723287999999997</v>
      </c>
      <c r="M41" s="326">
        <f t="shared" si="50"/>
        <v>28.964879999999997</v>
      </c>
      <c r="N41" s="326">
        <f t="shared" si="50"/>
        <v>52.624223999999991</v>
      </c>
      <c r="O41" s="326">
        <f t="shared" si="50"/>
        <v>1.8543599999999998</v>
      </c>
      <c r="P41" s="326">
        <f t="shared" si="50"/>
        <v>15.549695999999999</v>
      </c>
      <c r="Q41" s="326">
        <f t="shared" si="50"/>
        <v>22.313016000000001</v>
      </c>
      <c r="R41" s="326">
        <f t="shared" si="50"/>
        <v>5.7959999999999994</v>
      </c>
      <c r="S41" s="326">
        <f t="shared" si="50"/>
        <v>16.197407999999999</v>
      </c>
      <c r="T41" s="326"/>
      <c r="U41" s="220">
        <f t="shared" si="11"/>
        <v>369.5327999999999</v>
      </c>
    </row>
    <row r="42" spans="1:21" ht="22.5" customHeight="1">
      <c r="A42" s="452"/>
      <c r="B42" s="462"/>
      <c r="C42" s="229" t="s">
        <v>360</v>
      </c>
      <c r="D42" s="327">
        <f>D40*331</f>
        <v>263.0051856</v>
      </c>
      <c r="E42" s="256">
        <f t="shared" ref="E42:S42" si="51">E40*331</f>
        <v>7.9082519999999992</v>
      </c>
      <c r="F42" s="256">
        <f t="shared" si="51"/>
        <v>242.8449024</v>
      </c>
      <c r="G42" s="256">
        <f t="shared" si="51"/>
        <v>339.90628319999996</v>
      </c>
      <c r="H42" s="256">
        <f t="shared" si="51"/>
        <v>582.61057679999999</v>
      </c>
      <c r="I42" s="328">
        <f t="shared" si="51"/>
        <v>42.119087999999998</v>
      </c>
      <c r="J42" s="328">
        <f t="shared" si="51"/>
        <v>175.38683759999998</v>
      </c>
      <c r="K42" s="328">
        <f t="shared" si="51"/>
        <v>370.94507999999996</v>
      </c>
      <c r="L42" s="328">
        <f t="shared" si="51"/>
        <v>471.3802776</v>
      </c>
      <c r="M42" s="328">
        <f t="shared" si="51"/>
        <v>319.57917599999996</v>
      </c>
      <c r="N42" s="328">
        <f t="shared" si="51"/>
        <v>580.62060479999991</v>
      </c>
      <c r="O42" s="328">
        <f t="shared" si="51"/>
        <v>20.459771999999997</v>
      </c>
      <c r="P42" s="328">
        <f t="shared" si="51"/>
        <v>171.56497919999998</v>
      </c>
      <c r="Q42" s="328">
        <f t="shared" si="51"/>
        <v>246.18694320000003</v>
      </c>
      <c r="R42" s="328">
        <f t="shared" si="51"/>
        <v>63.949199999999998</v>
      </c>
      <c r="S42" s="328">
        <f t="shared" si="51"/>
        <v>178.71140159999999</v>
      </c>
      <c r="T42" s="320"/>
      <c r="U42" s="325">
        <f t="shared" si="11"/>
        <v>4077.1785600000003</v>
      </c>
    </row>
    <row r="43" spans="1:21" ht="13.5" customHeight="1">
      <c r="A43" s="452"/>
      <c r="B43" s="460" t="s">
        <v>171</v>
      </c>
      <c r="C43" s="213" t="s">
        <v>150</v>
      </c>
      <c r="D43" s="257">
        <f t="shared" ref="D43:S43" si="52">D4</f>
        <v>5.4</v>
      </c>
      <c r="E43" s="258" t="str">
        <f t="shared" si="52"/>
        <v>VÁRIAVEL</v>
      </c>
      <c r="F43" s="258">
        <f t="shared" si="52"/>
        <v>5.4</v>
      </c>
      <c r="G43" s="258">
        <f t="shared" si="52"/>
        <v>7.4</v>
      </c>
      <c r="H43" s="258">
        <f t="shared" si="52"/>
        <v>7.4</v>
      </c>
      <c r="I43" s="258" t="str">
        <f t="shared" si="52"/>
        <v>VÁRIAVEL</v>
      </c>
      <c r="J43" s="258">
        <f t="shared" si="52"/>
        <v>5.4</v>
      </c>
      <c r="K43" s="258" t="str">
        <f t="shared" si="52"/>
        <v>VÁRIAVEL</v>
      </c>
      <c r="L43" s="258">
        <f t="shared" si="52"/>
        <v>5.4</v>
      </c>
      <c r="M43" s="258" t="str">
        <f t="shared" si="52"/>
        <v>VÁRIAVEL</v>
      </c>
      <c r="N43" s="258">
        <f t="shared" si="52"/>
        <v>5.4</v>
      </c>
      <c r="O43" s="258" t="str">
        <f t="shared" si="52"/>
        <v>VÁRIAVEL</v>
      </c>
      <c r="P43" s="258">
        <f t="shared" si="52"/>
        <v>6.4</v>
      </c>
      <c r="Q43" s="258">
        <f t="shared" si="52"/>
        <v>6.4</v>
      </c>
      <c r="R43" s="258" t="str">
        <f t="shared" si="52"/>
        <v>VÁRIAVEL</v>
      </c>
      <c r="S43" s="258">
        <f t="shared" si="52"/>
        <v>5.4</v>
      </c>
      <c r="T43" s="258"/>
      <c r="U43" s="219">
        <f t="shared" si="11"/>
        <v>59.999999999999993</v>
      </c>
    </row>
    <row r="44" spans="1:21" ht="13.5" customHeight="1">
      <c r="A44" s="452"/>
      <c r="B44" s="461"/>
      <c r="C44" s="212" t="s">
        <v>169</v>
      </c>
      <c r="D44" s="198">
        <f t="shared" ref="D44:R44" si="53">D39</f>
        <v>662.14800000000002</v>
      </c>
      <c r="E44" s="198">
        <f t="shared" si="53"/>
        <v>19.91</v>
      </c>
      <c r="F44" s="198">
        <f t="shared" si="53"/>
        <v>611.39200000000005</v>
      </c>
      <c r="G44" s="198">
        <f t="shared" si="53"/>
        <v>855.75599999999997</v>
      </c>
      <c r="H44" s="198">
        <f t="shared" si="53"/>
        <v>1466.7940000000001</v>
      </c>
      <c r="I44" s="198">
        <f t="shared" si="53"/>
        <v>106.04</v>
      </c>
      <c r="J44" s="198">
        <f t="shared" si="53"/>
        <v>441.55799999999999</v>
      </c>
      <c r="K44" s="198">
        <f t="shared" si="53"/>
        <v>933.9</v>
      </c>
      <c r="L44" s="198">
        <f t="shared" si="53"/>
        <v>1186.758</v>
      </c>
      <c r="M44" s="198">
        <f t="shared" si="53"/>
        <v>804.58</v>
      </c>
      <c r="N44" s="198">
        <f t="shared" si="53"/>
        <v>1461.7839999999999</v>
      </c>
      <c r="O44" s="198">
        <f t="shared" si="53"/>
        <v>51.51</v>
      </c>
      <c r="P44" s="198">
        <f t="shared" si="53"/>
        <v>431.93599999999998</v>
      </c>
      <c r="Q44" s="198">
        <f t="shared" si="53"/>
        <v>619.80600000000015</v>
      </c>
      <c r="R44" s="198">
        <f t="shared" si="53"/>
        <v>161</v>
      </c>
      <c r="S44" s="198">
        <f>S39</f>
        <v>449.928</v>
      </c>
      <c r="T44" s="196"/>
      <c r="U44" s="219">
        <f t="shared" si="11"/>
        <v>10264.799999999999</v>
      </c>
    </row>
    <row r="45" spans="1:21" ht="13.5" customHeight="1">
      <c r="A45" s="452"/>
      <c r="B45" s="461"/>
      <c r="C45" s="212" t="s">
        <v>376</v>
      </c>
      <c r="D45" s="208">
        <f>TRUNC(D44*0.03*2.5548,2)</f>
        <v>50.74</v>
      </c>
      <c r="E45" s="208">
        <f t="shared" ref="E45:R45" si="54">TRUNC(E44*0.03*2.5548,2)</f>
        <v>1.52</v>
      </c>
      <c r="F45" s="208">
        <f t="shared" si="54"/>
        <v>46.85</v>
      </c>
      <c r="G45" s="208">
        <f t="shared" si="54"/>
        <v>65.58</v>
      </c>
      <c r="H45" s="208">
        <f t="shared" si="54"/>
        <v>112.42</v>
      </c>
      <c r="I45" s="208">
        <f t="shared" si="54"/>
        <v>8.1199999999999992</v>
      </c>
      <c r="J45" s="208">
        <f t="shared" si="54"/>
        <v>33.840000000000003</v>
      </c>
      <c r="K45" s="208">
        <f t="shared" si="54"/>
        <v>71.569999999999993</v>
      </c>
      <c r="L45" s="208">
        <f t="shared" si="54"/>
        <v>90.95</v>
      </c>
      <c r="M45" s="208">
        <f t="shared" si="54"/>
        <v>61.66</v>
      </c>
      <c r="N45" s="208">
        <f t="shared" si="54"/>
        <v>112.03</v>
      </c>
      <c r="O45" s="208">
        <f t="shared" si="54"/>
        <v>3.94</v>
      </c>
      <c r="P45" s="208">
        <f t="shared" si="54"/>
        <v>33.1</v>
      </c>
      <c r="Q45" s="208">
        <f t="shared" si="54"/>
        <v>47.5</v>
      </c>
      <c r="R45" s="208">
        <f t="shared" si="54"/>
        <v>12.33</v>
      </c>
      <c r="S45" s="208">
        <f>TRUNC(S44*0.03*2.5548,2)</f>
        <v>34.479999999999997</v>
      </c>
      <c r="T45" s="208"/>
      <c r="U45" s="385">
        <f>SUM(D45:T45)+0.1054</f>
        <v>786.73540000000014</v>
      </c>
    </row>
    <row r="46" spans="1:21" ht="24" customHeight="1">
      <c r="A46" s="452"/>
      <c r="B46" s="462"/>
      <c r="C46" s="214" t="s">
        <v>377</v>
      </c>
      <c r="D46" s="256">
        <f>D45*30</f>
        <v>1522.2</v>
      </c>
      <c r="E46" s="256">
        <f t="shared" ref="E46:S46" si="55">E45*30</f>
        <v>45.6</v>
      </c>
      <c r="F46" s="256">
        <f t="shared" si="55"/>
        <v>1405.5</v>
      </c>
      <c r="G46" s="256">
        <f t="shared" si="55"/>
        <v>1967.3999999999999</v>
      </c>
      <c r="H46" s="256">
        <f t="shared" si="55"/>
        <v>3372.6</v>
      </c>
      <c r="I46" s="256">
        <f>I45*30</f>
        <v>243.59999999999997</v>
      </c>
      <c r="J46" s="256">
        <f t="shared" si="55"/>
        <v>1015.2</v>
      </c>
      <c r="K46" s="256">
        <f t="shared" si="55"/>
        <v>2147.1</v>
      </c>
      <c r="L46" s="256">
        <f t="shared" si="55"/>
        <v>2728.5</v>
      </c>
      <c r="M46" s="256">
        <f t="shared" si="55"/>
        <v>1849.8</v>
      </c>
      <c r="N46" s="256">
        <f t="shared" si="55"/>
        <v>3360.9</v>
      </c>
      <c r="O46" s="256">
        <f t="shared" si="55"/>
        <v>118.2</v>
      </c>
      <c r="P46" s="256">
        <f t="shared" si="55"/>
        <v>993</v>
      </c>
      <c r="Q46" s="256">
        <f t="shared" si="55"/>
        <v>1425</v>
      </c>
      <c r="R46" s="256">
        <f t="shared" si="55"/>
        <v>369.9</v>
      </c>
      <c r="S46" s="256">
        <f t="shared" si="55"/>
        <v>1034.3999999999999</v>
      </c>
      <c r="T46" s="255"/>
      <c r="U46" s="325">
        <f>TRUNC(U45*30,2)-0.01</f>
        <v>23602.050000000003</v>
      </c>
    </row>
    <row r="47" spans="1:21" ht="14.25" customHeight="1">
      <c r="A47" s="452"/>
      <c r="B47" s="455" t="s">
        <v>172</v>
      </c>
      <c r="C47" s="213" t="s">
        <v>173</v>
      </c>
      <c r="D47" s="252">
        <f>124.14+44.19+75.74</f>
        <v>244.07</v>
      </c>
      <c r="E47" s="253">
        <f>4.48+4.81</f>
        <v>9.2899999999999991</v>
      </c>
      <c r="F47" s="253">
        <f>114.53+113.63</f>
        <v>228.16</v>
      </c>
      <c r="G47" s="253">
        <f>117.1+117</f>
        <v>234.1</v>
      </c>
      <c r="H47" s="253">
        <f>114.61+113.35+88.27+88.45</f>
        <v>404.67999999999995</v>
      </c>
      <c r="I47" s="253">
        <f>17.31+10.68</f>
        <v>27.99</v>
      </c>
      <c r="J47" s="253">
        <f>77.56+86</f>
        <v>163.56</v>
      </c>
      <c r="K47" s="253">
        <f>102.13+77.36</f>
        <v>179.49</v>
      </c>
      <c r="L47" s="253">
        <f>21+98+167.18+82.49</f>
        <v>368.67</v>
      </c>
      <c r="M47" s="253">
        <f>59.86+73.35</f>
        <v>133.20999999999998</v>
      </c>
      <c r="N47" s="253">
        <f>269.88+1.74+123.59+118.2</f>
        <v>513.41000000000008</v>
      </c>
      <c r="O47" s="253">
        <f>8.27+6.2</f>
        <v>14.469999999999999</v>
      </c>
      <c r="P47" s="253">
        <f>60.62+66</f>
        <v>126.62</v>
      </c>
      <c r="Q47" s="253">
        <f>99+97</f>
        <v>196</v>
      </c>
      <c r="R47" s="253">
        <f>21+20</f>
        <v>41</v>
      </c>
      <c r="S47" s="253">
        <f>83.5+83.5</f>
        <v>167</v>
      </c>
      <c r="T47" s="253"/>
      <c r="U47" s="219">
        <f>SUM(D47:T47)</f>
        <v>3051.72</v>
      </c>
    </row>
    <row r="48" spans="1:21" ht="14.45" customHeight="1">
      <c r="A48" s="452"/>
      <c r="B48" s="455"/>
      <c r="C48" s="212" t="s">
        <v>174</v>
      </c>
      <c r="D48" s="205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53"/>
      <c r="U48" s="219">
        <f>SUM(D48:S48)</f>
        <v>0</v>
      </c>
    </row>
    <row r="49" spans="1:21" ht="14.45" customHeight="1">
      <c r="A49" s="452"/>
      <c r="B49" s="455"/>
      <c r="C49" s="231" t="s">
        <v>175</v>
      </c>
      <c r="D49" s="205"/>
      <c r="E49" s="206">
        <v>5</v>
      </c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>
        <v>7</v>
      </c>
      <c r="Q49" s="206"/>
      <c r="R49" s="206"/>
      <c r="S49" s="206"/>
      <c r="T49" s="253"/>
      <c r="U49" s="219">
        <f>SUM(D49:S49)</f>
        <v>12</v>
      </c>
    </row>
    <row r="50" spans="1:21" ht="21.75" customHeight="1">
      <c r="A50" s="453"/>
      <c r="B50" s="455"/>
      <c r="C50" s="232" t="s">
        <v>362</v>
      </c>
      <c r="D50" s="209">
        <f t="shared" ref="D50:R50" si="56">(0.0615*0.5872*D47+0.0285*0.5872*D48+0.033*0.5872*D49)*1.3*30</f>
        <v>343.74799274399999</v>
      </c>
      <c r="E50" s="209">
        <f t="shared" si="56"/>
        <v>16.862660568000003</v>
      </c>
      <c r="F50" s="209">
        <f t="shared" si="56"/>
        <v>321.34036147200004</v>
      </c>
      <c r="G50" s="209">
        <f t="shared" si="56"/>
        <v>329.70625272000001</v>
      </c>
      <c r="H50" s="209">
        <f t="shared" si="56"/>
        <v>569.95098825599996</v>
      </c>
      <c r="I50" s="209">
        <f t="shared" si="56"/>
        <v>39.421093608</v>
      </c>
      <c r="J50" s="209">
        <f t="shared" si="56"/>
        <v>230.35777315200002</v>
      </c>
      <c r="K50" s="209">
        <f t="shared" si="56"/>
        <v>252.79357240799999</v>
      </c>
      <c r="L50" s="209">
        <f t="shared" si="56"/>
        <v>519.23453306400006</v>
      </c>
      <c r="M50" s="209">
        <f t="shared" si="56"/>
        <v>187.61285743199997</v>
      </c>
      <c r="N50" s="209">
        <f t="shared" si="56"/>
        <v>723.0862332720003</v>
      </c>
      <c r="O50" s="209">
        <f t="shared" si="56"/>
        <v>20.379536424000001</v>
      </c>
      <c r="P50" s="209">
        <f t="shared" si="56"/>
        <v>183.62159150400001</v>
      </c>
      <c r="Q50" s="209">
        <f t="shared" si="56"/>
        <v>276.04624319999999</v>
      </c>
      <c r="R50" s="209">
        <f t="shared" si="56"/>
        <v>57.744367199999999</v>
      </c>
      <c r="S50" s="209">
        <f>(0.0615*0.5872*S47+0.0285*0.5872*S48+0.033*0.5872*S49)*1.3*30</f>
        <v>235.20266640000003</v>
      </c>
      <c r="T50" s="319"/>
      <c r="U50" s="230">
        <f>SUM(D50:S50)</f>
        <v>4307.1087234240013</v>
      </c>
    </row>
    <row r="51" spans="1:21" ht="21.75" customHeight="1">
      <c r="A51" s="448" t="s">
        <v>369</v>
      </c>
      <c r="B51" s="442" t="s">
        <v>370</v>
      </c>
      <c r="C51" s="222" t="s">
        <v>177</v>
      </c>
      <c r="D51" s="259" t="s">
        <v>31</v>
      </c>
      <c r="E51" s="259" t="s">
        <v>31</v>
      </c>
      <c r="F51" s="259" t="s">
        <v>31</v>
      </c>
      <c r="G51" s="259" t="s">
        <v>31</v>
      </c>
      <c r="H51" s="259" t="s">
        <v>31</v>
      </c>
      <c r="I51" s="259" t="s">
        <v>31</v>
      </c>
      <c r="J51" s="259" t="s">
        <v>31</v>
      </c>
      <c r="K51" s="259" t="s">
        <v>31</v>
      </c>
      <c r="L51" s="259" t="s">
        <v>31</v>
      </c>
      <c r="M51" s="259" t="s">
        <v>31</v>
      </c>
      <c r="N51" s="259" t="s">
        <v>31</v>
      </c>
      <c r="O51" s="259" t="s">
        <v>31</v>
      </c>
      <c r="P51" s="259" t="s">
        <v>31</v>
      </c>
      <c r="Q51" s="259" t="s">
        <v>31</v>
      </c>
      <c r="R51" s="259" t="s">
        <v>31</v>
      </c>
      <c r="S51" s="259" t="s">
        <v>31</v>
      </c>
      <c r="T51" s="323">
        <v>112</v>
      </c>
      <c r="U51" s="225">
        <f>SUM(T51:T51)</f>
        <v>112</v>
      </c>
    </row>
    <row r="52" spans="1:21" ht="21.75" customHeight="1">
      <c r="A52" s="449"/>
      <c r="B52" s="443"/>
      <c r="C52" s="224" t="s">
        <v>169</v>
      </c>
      <c r="D52" s="260" t="s">
        <v>31</v>
      </c>
      <c r="E52" s="260" t="s">
        <v>31</v>
      </c>
      <c r="F52" s="260" t="s">
        <v>31</v>
      </c>
      <c r="G52" s="260" t="s">
        <v>31</v>
      </c>
      <c r="H52" s="260" t="s">
        <v>31</v>
      </c>
      <c r="I52" s="260" t="s">
        <v>31</v>
      </c>
      <c r="J52" s="260" t="s">
        <v>31</v>
      </c>
      <c r="K52" s="260" t="s">
        <v>31</v>
      </c>
      <c r="L52" s="260" t="s">
        <v>31</v>
      </c>
      <c r="M52" s="260" t="s">
        <v>31</v>
      </c>
      <c r="N52" s="260" t="s">
        <v>31</v>
      </c>
      <c r="O52" s="260" t="s">
        <v>31</v>
      </c>
      <c r="P52" s="260" t="s">
        <v>31</v>
      </c>
      <c r="Q52" s="260" t="s">
        <v>31</v>
      </c>
      <c r="R52" s="260" t="s">
        <v>31</v>
      </c>
      <c r="S52" s="260" t="s">
        <v>31</v>
      </c>
      <c r="T52" s="260">
        <v>470.87</v>
      </c>
      <c r="U52" s="225">
        <f>SUM(T52:T52)</f>
        <v>470.87</v>
      </c>
    </row>
    <row r="53" spans="1:21" ht="21.75" customHeight="1">
      <c r="A53" s="449"/>
      <c r="B53" s="444"/>
      <c r="C53" s="224" t="s">
        <v>178</v>
      </c>
      <c r="D53" s="332" t="s">
        <v>31</v>
      </c>
      <c r="E53" s="332" t="s">
        <v>31</v>
      </c>
      <c r="F53" s="332" t="s">
        <v>31</v>
      </c>
      <c r="G53" s="332" t="s">
        <v>31</v>
      </c>
      <c r="H53" s="332" t="s">
        <v>31</v>
      </c>
      <c r="I53" s="332" t="s">
        <v>31</v>
      </c>
      <c r="J53" s="332" t="s">
        <v>31</v>
      </c>
      <c r="K53" s="332" t="s">
        <v>31</v>
      </c>
      <c r="L53" s="332" t="s">
        <v>31</v>
      </c>
      <c r="M53" s="332" t="s">
        <v>31</v>
      </c>
      <c r="N53" s="332" t="s">
        <v>31</v>
      </c>
      <c r="O53" s="332" t="s">
        <v>31</v>
      </c>
      <c r="P53" s="332" t="s">
        <v>31</v>
      </c>
      <c r="Q53" s="332" t="s">
        <v>31</v>
      </c>
      <c r="R53" s="332" t="s">
        <v>31</v>
      </c>
      <c r="S53" s="332" t="s">
        <v>31</v>
      </c>
      <c r="T53" s="332">
        <f>T52*0.18</f>
        <v>84.756599999999992</v>
      </c>
      <c r="U53" s="334">
        <f>SUM(T53:T53)</f>
        <v>84.756599999999992</v>
      </c>
    </row>
    <row r="54" spans="1:21" ht="19.5" customHeight="1">
      <c r="A54" s="449"/>
      <c r="B54" s="469" t="s">
        <v>371</v>
      </c>
      <c r="C54" s="224" t="s">
        <v>133</v>
      </c>
      <c r="D54" s="329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>
        <v>74.290000000000006</v>
      </c>
      <c r="U54" s="334">
        <f>SUM(D54:T54)</f>
        <v>74.290000000000006</v>
      </c>
    </row>
    <row r="55" spans="1:21" ht="19.5" customHeight="1">
      <c r="A55" s="449"/>
      <c r="B55" s="467"/>
      <c r="C55" s="223" t="s">
        <v>178</v>
      </c>
      <c r="D55" s="329"/>
      <c r="E55" s="330"/>
      <c r="F55" s="330"/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81">
        <f>0.0615*T54</f>
        <v>4.568835</v>
      </c>
      <c r="U55" s="334">
        <f>SUM(D55:T55)</f>
        <v>4.568835</v>
      </c>
    </row>
    <row r="56" spans="1:21" ht="21.75" customHeight="1">
      <c r="A56" s="449"/>
      <c r="B56" s="467" t="s">
        <v>363</v>
      </c>
      <c r="C56" s="468"/>
      <c r="D56" s="338" t="s">
        <v>31</v>
      </c>
      <c r="E56" s="236" t="s">
        <v>31</v>
      </c>
      <c r="F56" s="236" t="s">
        <v>31</v>
      </c>
      <c r="G56" s="236" t="s">
        <v>31</v>
      </c>
      <c r="H56" s="236" t="s">
        <v>31</v>
      </c>
      <c r="I56" s="236" t="s">
        <v>31</v>
      </c>
      <c r="J56" s="236" t="s">
        <v>31</v>
      </c>
      <c r="K56" s="236" t="s">
        <v>31</v>
      </c>
      <c r="L56" s="236" t="s">
        <v>31</v>
      </c>
      <c r="M56" s="236" t="s">
        <v>31</v>
      </c>
      <c r="N56" s="236" t="s">
        <v>31</v>
      </c>
      <c r="O56" s="236" t="s">
        <v>31</v>
      </c>
      <c r="P56" s="236" t="s">
        <v>31</v>
      </c>
      <c r="Q56" s="236" t="s">
        <v>31</v>
      </c>
      <c r="R56" s="236" t="s">
        <v>31</v>
      </c>
      <c r="S56" s="236" t="s">
        <v>31</v>
      </c>
      <c r="T56" s="236">
        <f>(T55)*5*1.3</f>
        <v>29.6974275</v>
      </c>
      <c r="U56" s="340">
        <f>SUM(D56:T56)</f>
        <v>29.6974275</v>
      </c>
    </row>
    <row r="57" spans="1:21" ht="14.25" customHeight="1">
      <c r="A57" s="448" t="s">
        <v>176</v>
      </c>
      <c r="B57" s="442" t="s">
        <v>179</v>
      </c>
      <c r="C57" s="335" t="s">
        <v>169</v>
      </c>
      <c r="D57" s="336" t="s">
        <v>31</v>
      </c>
      <c r="E57" s="337" t="s">
        <v>31</v>
      </c>
      <c r="F57" s="337" t="s">
        <v>31</v>
      </c>
      <c r="G57" s="337" t="s">
        <v>31</v>
      </c>
      <c r="H57" s="337" t="s">
        <v>31</v>
      </c>
      <c r="I57" s="337" t="s">
        <v>31</v>
      </c>
      <c r="J57" s="337" t="s">
        <v>31</v>
      </c>
      <c r="K57" s="337" t="s">
        <v>31</v>
      </c>
      <c r="L57" s="337" t="s">
        <v>31</v>
      </c>
      <c r="M57" s="337" t="s">
        <v>31</v>
      </c>
      <c r="N57" s="337" t="s">
        <v>31</v>
      </c>
      <c r="O57" s="337" t="s">
        <v>31</v>
      </c>
      <c r="P57" s="337" t="s">
        <v>31</v>
      </c>
      <c r="Q57" s="337" t="s">
        <v>31</v>
      </c>
      <c r="R57" s="337" t="s">
        <v>31</v>
      </c>
      <c r="S57" s="337" t="s">
        <v>31</v>
      </c>
      <c r="T57" s="337">
        <v>470.87</v>
      </c>
      <c r="U57" s="225">
        <f t="shared" ref="U57:U74" si="57">SUM(T57:T57)</f>
        <v>470.87</v>
      </c>
    </row>
    <row r="58" spans="1:21" ht="14.25" customHeight="1">
      <c r="A58" s="449"/>
      <c r="B58" s="443"/>
      <c r="C58" s="224" t="s">
        <v>154</v>
      </c>
      <c r="D58" s="238" t="s">
        <v>31</v>
      </c>
      <c r="E58" s="239" t="s">
        <v>31</v>
      </c>
      <c r="F58" s="239" t="s">
        <v>31</v>
      </c>
      <c r="G58" s="239" t="s">
        <v>31</v>
      </c>
      <c r="H58" s="239" t="s">
        <v>31</v>
      </c>
      <c r="I58" s="239" t="s">
        <v>31</v>
      </c>
      <c r="J58" s="239" t="s">
        <v>31</v>
      </c>
      <c r="K58" s="239" t="s">
        <v>31</v>
      </c>
      <c r="L58" s="239" t="s">
        <v>31</v>
      </c>
      <c r="M58" s="239" t="s">
        <v>31</v>
      </c>
      <c r="N58" s="239" t="s">
        <v>31</v>
      </c>
      <c r="O58" s="239" t="s">
        <v>31</v>
      </c>
      <c r="P58" s="239" t="s">
        <v>31</v>
      </c>
      <c r="Q58" s="239" t="s">
        <v>31</v>
      </c>
      <c r="R58" s="239" t="s">
        <v>31</v>
      </c>
      <c r="S58" s="239" t="s">
        <v>31</v>
      </c>
      <c r="T58" s="239">
        <f>T57*15/100</f>
        <v>70.630499999999998</v>
      </c>
      <c r="U58" s="225">
        <f t="shared" si="57"/>
        <v>70.630499999999998</v>
      </c>
    </row>
    <row r="59" spans="1:21" ht="14.25" customHeight="1">
      <c r="A59" s="449"/>
      <c r="B59" s="443"/>
      <c r="C59" s="226" t="s">
        <v>180</v>
      </c>
      <c r="D59" s="330" t="s">
        <v>31</v>
      </c>
      <c r="E59" s="346" t="s">
        <v>31</v>
      </c>
      <c r="F59" s="346" t="s">
        <v>31</v>
      </c>
      <c r="G59" s="346" t="s">
        <v>31</v>
      </c>
      <c r="H59" s="346" t="s">
        <v>31</v>
      </c>
      <c r="I59" s="346" t="s">
        <v>31</v>
      </c>
      <c r="J59" s="346" t="s">
        <v>31</v>
      </c>
      <c r="K59" s="346" t="s">
        <v>31</v>
      </c>
      <c r="L59" s="346" t="s">
        <v>31</v>
      </c>
      <c r="M59" s="346" t="s">
        <v>31</v>
      </c>
      <c r="N59" s="346" t="s">
        <v>31</v>
      </c>
      <c r="O59" s="346" t="s">
        <v>31</v>
      </c>
      <c r="P59" s="346" t="s">
        <v>31</v>
      </c>
      <c r="Q59" s="346" t="s">
        <v>31</v>
      </c>
      <c r="R59" s="346" t="s">
        <v>31</v>
      </c>
      <c r="S59" s="346" t="s">
        <v>31</v>
      </c>
      <c r="T59" s="346">
        <f>T58*1.3</f>
        <v>91.819649999999996</v>
      </c>
      <c r="U59" s="333">
        <f t="shared" si="57"/>
        <v>91.819649999999996</v>
      </c>
    </row>
    <row r="60" spans="1:21" ht="22.5" customHeight="1">
      <c r="A60" s="449"/>
      <c r="B60" s="444"/>
      <c r="C60" s="331" t="s">
        <v>359</v>
      </c>
      <c r="D60" s="338" t="s">
        <v>31</v>
      </c>
      <c r="E60" s="347" t="s">
        <v>31</v>
      </c>
      <c r="F60" s="347" t="s">
        <v>31</v>
      </c>
      <c r="G60" s="347" t="s">
        <v>31</v>
      </c>
      <c r="H60" s="347" t="s">
        <v>31</v>
      </c>
      <c r="I60" s="347" t="s">
        <v>31</v>
      </c>
      <c r="J60" s="347" t="s">
        <v>31</v>
      </c>
      <c r="K60" s="347" t="s">
        <v>31</v>
      </c>
      <c r="L60" s="347" t="s">
        <v>31</v>
      </c>
      <c r="M60" s="347" t="s">
        <v>31</v>
      </c>
      <c r="N60" s="347" t="s">
        <v>31</v>
      </c>
      <c r="O60" s="347" t="s">
        <v>31</v>
      </c>
      <c r="P60" s="347" t="s">
        <v>31</v>
      </c>
      <c r="Q60" s="347" t="s">
        <v>31</v>
      </c>
      <c r="R60" s="347" t="s">
        <v>31</v>
      </c>
      <c r="S60" s="347" t="s">
        <v>31</v>
      </c>
      <c r="T60" s="347">
        <f>T59*30</f>
        <v>2754.5895</v>
      </c>
      <c r="U60" s="339">
        <f t="shared" si="57"/>
        <v>2754.5895</v>
      </c>
    </row>
    <row r="61" spans="1:21" ht="14.25" hidden="1" customHeight="1">
      <c r="A61" s="449"/>
      <c r="B61" s="454" t="s">
        <v>181</v>
      </c>
      <c r="C61" s="335" t="s">
        <v>150</v>
      </c>
      <c r="D61" s="233"/>
      <c r="E61" s="235"/>
      <c r="F61" s="235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333">
        <f t="shared" si="57"/>
        <v>0</v>
      </c>
    </row>
    <row r="62" spans="1:21" ht="14.25" hidden="1" customHeight="1">
      <c r="A62" s="449"/>
      <c r="B62" s="454"/>
      <c r="C62" s="224" t="s">
        <v>169</v>
      </c>
      <c r="D62" s="238"/>
      <c r="E62" s="239"/>
      <c r="F62" s="239"/>
      <c r="G62" s="239"/>
      <c r="H62" s="239"/>
      <c r="I62" s="239"/>
      <c r="J62" s="239"/>
      <c r="K62" s="239"/>
      <c r="L62" s="239"/>
      <c r="M62" s="239"/>
      <c r="N62" s="239"/>
      <c r="O62" s="239"/>
      <c r="P62" s="239"/>
      <c r="Q62" s="239"/>
      <c r="R62" s="239"/>
      <c r="S62" s="239"/>
      <c r="T62" s="239"/>
      <c r="U62" s="333">
        <f t="shared" si="57"/>
        <v>0</v>
      </c>
    </row>
    <row r="63" spans="1:21" ht="14.25" hidden="1" customHeight="1">
      <c r="A63" s="449"/>
      <c r="B63" s="454"/>
      <c r="C63" s="224" t="s">
        <v>182</v>
      </c>
      <c r="D63" s="238"/>
      <c r="E63" s="239"/>
      <c r="F63" s="239"/>
      <c r="G63" s="239"/>
      <c r="H63" s="239"/>
      <c r="I63" s="239"/>
      <c r="J63" s="239"/>
      <c r="K63" s="239"/>
      <c r="L63" s="239"/>
      <c r="M63" s="239"/>
      <c r="N63" s="239"/>
      <c r="O63" s="239"/>
      <c r="P63" s="239"/>
      <c r="Q63" s="239"/>
      <c r="R63" s="239"/>
      <c r="S63" s="239"/>
      <c r="T63" s="239"/>
      <c r="U63" s="333">
        <f t="shared" si="57"/>
        <v>0</v>
      </c>
    </row>
    <row r="64" spans="1:21" ht="14.25" hidden="1" customHeight="1">
      <c r="A64" s="449"/>
      <c r="B64" s="454"/>
      <c r="C64" s="223" t="s">
        <v>183</v>
      </c>
      <c r="D64" s="238"/>
      <c r="E64" s="239"/>
      <c r="F64" s="239"/>
      <c r="G64" s="239"/>
      <c r="H64" s="239"/>
      <c r="I64" s="239"/>
      <c r="J64" s="239"/>
      <c r="K64" s="239"/>
      <c r="L64" s="239"/>
      <c r="M64" s="239"/>
      <c r="N64" s="239"/>
      <c r="O64" s="239"/>
      <c r="P64" s="239"/>
      <c r="Q64" s="239"/>
      <c r="R64" s="239"/>
      <c r="S64" s="239"/>
      <c r="T64" s="239"/>
      <c r="U64" s="333">
        <f t="shared" si="57"/>
        <v>0</v>
      </c>
    </row>
    <row r="65" spans="1:21" ht="14.25" hidden="1" customHeight="1">
      <c r="A65" s="449"/>
      <c r="B65" s="454" t="s">
        <v>184</v>
      </c>
      <c r="C65" s="222" t="s">
        <v>150</v>
      </c>
      <c r="D65" s="238"/>
      <c r="E65" s="239"/>
      <c r="F65" s="239"/>
      <c r="G65" s="239"/>
      <c r="H65" s="239"/>
      <c r="I65" s="239"/>
      <c r="J65" s="239"/>
      <c r="K65" s="239"/>
      <c r="L65" s="239"/>
      <c r="M65" s="239"/>
      <c r="N65" s="239"/>
      <c r="O65" s="239"/>
      <c r="P65" s="239"/>
      <c r="Q65" s="239"/>
      <c r="R65" s="239"/>
      <c r="S65" s="239"/>
      <c r="T65" s="239"/>
      <c r="U65" s="333">
        <f t="shared" si="57"/>
        <v>0</v>
      </c>
    </row>
    <row r="66" spans="1:21" ht="14.25" hidden="1" customHeight="1">
      <c r="A66" s="449"/>
      <c r="B66" s="454"/>
      <c r="C66" s="224" t="s">
        <v>169</v>
      </c>
      <c r="D66" s="238"/>
      <c r="E66" s="239"/>
      <c r="F66" s="239"/>
      <c r="G66" s="239"/>
      <c r="H66" s="239"/>
      <c r="I66" s="239"/>
      <c r="J66" s="239"/>
      <c r="K66" s="239"/>
      <c r="L66" s="239"/>
      <c r="M66" s="239"/>
      <c r="N66" s="239"/>
      <c r="O66" s="239"/>
      <c r="P66" s="239"/>
      <c r="Q66" s="239"/>
      <c r="R66" s="239"/>
      <c r="S66" s="239"/>
      <c r="T66" s="239"/>
      <c r="U66" s="333">
        <f t="shared" si="57"/>
        <v>0</v>
      </c>
    </row>
    <row r="67" spans="1:21" ht="14.25" hidden="1" customHeight="1">
      <c r="A67" s="449"/>
      <c r="B67" s="454"/>
      <c r="C67" s="224" t="s">
        <v>182</v>
      </c>
      <c r="D67" s="238"/>
      <c r="E67" s="239"/>
      <c r="F67" s="239"/>
      <c r="G67" s="239"/>
      <c r="H67" s="239"/>
      <c r="I67" s="239"/>
      <c r="J67" s="239"/>
      <c r="K67" s="239"/>
      <c r="L67" s="239"/>
      <c r="M67" s="239"/>
      <c r="N67" s="239"/>
      <c r="O67" s="239"/>
      <c r="P67" s="239"/>
      <c r="Q67" s="239"/>
      <c r="R67" s="239"/>
      <c r="S67" s="239"/>
      <c r="T67" s="239"/>
      <c r="U67" s="333">
        <f t="shared" si="57"/>
        <v>0</v>
      </c>
    </row>
    <row r="68" spans="1:21" ht="28.5" customHeight="1">
      <c r="A68" s="449"/>
      <c r="B68" s="454"/>
      <c r="C68" s="223" t="s">
        <v>183</v>
      </c>
      <c r="D68" s="236"/>
      <c r="E68" s="237"/>
      <c r="F68" s="237"/>
      <c r="G68" s="237"/>
      <c r="H68" s="237"/>
      <c r="I68" s="237"/>
      <c r="J68" s="237"/>
      <c r="K68" s="237"/>
      <c r="L68" s="237"/>
      <c r="M68" s="237"/>
      <c r="N68" s="237"/>
      <c r="O68" s="237"/>
      <c r="P68" s="237"/>
      <c r="Q68" s="237"/>
      <c r="R68" s="237"/>
      <c r="S68" s="237"/>
      <c r="T68" s="237"/>
      <c r="U68" s="333">
        <f t="shared" si="57"/>
        <v>0</v>
      </c>
    </row>
    <row r="69" spans="1:21" ht="14.25" customHeight="1">
      <c r="A69" s="449"/>
      <c r="B69" s="442" t="s">
        <v>168</v>
      </c>
      <c r="C69" s="224" t="s">
        <v>169</v>
      </c>
      <c r="D69" s="240" t="s">
        <v>31</v>
      </c>
      <c r="E69" s="234" t="s">
        <v>31</v>
      </c>
      <c r="F69" s="234" t="s">
        <v>31</v>
      </c>
      <c r="G69" s="234" t="s">
        <v>31</v>
      </c>
      <c r="H69" s="234" t="s">
        <v>31</v>
      </c>
      <c r="I69" s="234" t="s">
        <v>31</v>
      </c>
      <c r="J69" s="234" t="s">
        <v>31</v>
      </c>
      <c r="K69" s="234" t="s">
        <v>31</v>
      </c>
      <c r="L69" s="234" t="s">
        <v>31</v>
      </c>
      <c r="M69" s="234" t="s">
        <v>31</v>
      </c>
      <c r="N69" s="234" t="s">
        <v>31</v>
      </c>
      <c r="O69" s="234" t="s">
        <v>31</v>
      </c>
      <c r="P69" s="234" t="s">
        <v>31</v>
      </c>
      <c r="Q69" s="234" t="s">
        <v>31</v>
      </c>
      <c r="R69" s="234" t="s">
        <v>31</v>
      </c>
      <c r="S69" s="234" t="s">
        <v>31</v>
      </c>
      <c r="T69" s="239">
        <f>T57</f>
        <v>470.87</v>
      </c>
      <c r="U69" s="225">
        <f t="shared" si="57"/>
        <v>470.87</v>
      </c>
    </row>
    <row r="70" spans="1:21" ht="22.5" customHeight="1">
      <c r="A70" s="449"/>
      <c r="B70" s="443"/>
      <c r="C70" s="226" t="s">
        <v>170</v>
      </c>
      <c r="D70" s="342" t="s">
        <v>31</v>
      </c>
      <c r="E70" s="343" t="s">
        <v>31</v>
      </c>
      <c r="F70" s="343" t="s">
        <v>31</v>
      </c>
      <c r="G70" s="343" t="s">
        <v>31</v>
      </c>
      <c r="H70" s="343" t="s">
        <v>31</v>
      </c>
      <c r="I70" s="343" t="s">
        <v>31</v>
      </c>
      <c r="J70" s="343" t="s">
        <v>31</v>
      </c>
      <c r="K70" s="343" t="s">
        <v>31</v>
      </c>
      <c r="L70" s="343" t="s">
        <v>31</v>
      </c>
      <c r="M70" s="343" t="s">
        <v>31</v>
      </c>
      <c r="N70" s="343" t="s">
        <v>31</v>
      </c>
      <c r="O70" s="343" t="s">
        <v>31</v>
      </c>
      <c r="P70" s="343" t="s">
        <v>31</v>
      </c>
      <c r="Q70" s="343" t="s">
        <v>31</v>
      </c>
      <c r="R70" s="343" t="s">
        <v>31</v>
      </c>
      <c r="S70" s="343" t="s">
        <v>31</v>
      </c>
      <c r="T70" s="343">
        <f>0.0012*T69</f>
        <v>0.56504399999999999</v>
      </c>
      <c r="U70" s="333">
        <f t="shared" si="57"/>
        <v>0.56504399999999999</v>
      </c>
    </row>
    <row r="71" spans="1:21" ht="22.5" customHeight="1">
      <c r="A71" s="449"/>
      <c r="B71" s="443"/>
      <c r="C71" s="348" t="s">
        <v>361</v>
      </c>
      <c r="D71" s="341"/>
      <c r="E71" s="342" t="s">
        <v>31</v>
      </c>
      <c r="F71" s="342" t="s">
        <v>31</v>
      </c>
      <c r="G71" s="342" t="s">
        <v>31</v>
      </c>
      <c r="H71" s="342" t="s">
        <v>31</v>
      </c>
      <c r="I71" s="342" t="s">
        <v>31</v>
      </c>
      <c r="J71" s="342" t="s">
        <v>31</v>
      </c>
      <c r="K71" s="342" t="s">
        <v>31</v>
      </c>
      <c r="L71" s="342" t="s">
        <v>31</v>
      </c>
      <c r="M71" s="342" t="s">
        <v>31</v>
      </c>
      <c r="N71" s="342" t="s">
        <v>31</v>
      </c>
      <c r="O71" s="342" t="s">
        <v>31</v>
      </c>
      <c r="P71" s="342" t="s">
        <v>31</v>
      </c>
      <c r="Q71" s="342" t="s">
        <v>31</v>
      </c>
      <c r="R71" s="342" t="s">
        <v>31</v>
      </c>
      <c r="S71" s="342" t="s">
        <v>31</v>
      </c>
      <c r="T71" s="342">
        <f>T70*30</f>
        <v>16.951319999999999</v>
      </c>
      <c r="U71" s="334">
        <f t="shared" si="57"/>
        <v>16.951319999999999</v>
      </c>
    </row>
    <row r="72" spans="1:21" ht="22.5" customHeight="1">
      <c r="A72" s="449"/>
      <c r="B72" s="444"/>
      <c r="C72" s="331" t="s">
        <v>360</v>
      </c>
      <c r="D72" s="345"/>
      <c r="E72" s="272" t="s">
        <v>31</v>
      </c>
      <c r="F72" s="272" t="s">
        <v>31</v>
      </c>
      <c r="G72" s="272" t="s">
        <v>31</v>
      </c>
      <c r="H72" s="272" t="s">
        <v>31</v>
      </c>
      <c r="I72" s="272" t="s">
        <v>31</v>
      </c>
      <c r="J72" s="272" t="s">
        <v>31</v>
      </c>
      <c r="K72" s="272" t="s">
        <v>31</v>
      </c>
      <c r="L72" s="272" t="s">
        <v>31</v>
      </c>
      <c r="M72" s="272" t="s">
        <v>31</v>
      </c>
      <c r="N72" s="272" t="s">
        <v>31</v>
      </c>
      <c r="O72" s="272" t="s">
        <v>31</v>
      </c>
      <c r="P72" s="272" t="s">
        <v>31</v>
      </c>
      <c r="Q72" s="272" t="s">
        <v>31</v>
      </c>
      <c r="R72" s="272" t="s">
        <v>31</v>
      </c>
      <c r="S72" s="272" t="s">
        <v>31</v>
      </c>
      <c r="T72" s="272">
        <f>T70*331</f>
        <v>187.02956399999999</v>
      </c>
      <c r="U72" s="340">
        <f t="shared" si="57"/>
        <v>187.02956399999999</v>
      </c>
    </row>
    <row r="73" spans="1:21" ht="13.5" customHeight="1">
      <c r="A73" s="449"/>
      <c r="B73" s="442" t="s">
        <v>171</v>
      </c>
      <c r="C73" s="335" t="s">
        <v>169</v>
      </c>
      <c r="D73" s="344" t="s">
        <v>31</v>
      </c>
      <c r="E73" s="316" t="s">
        <v>31</v>
      </c>
      <c r="F73" s="316" t="s">
        <v>31</v>
      </c>
      <c r="G73" s="316" t="s">
        <v>31</v>
      </c>
      <c r="H73" s="316" t="s">
        <v>31</v>
      </c>
      <c r="I73" s="316" t="s">
        <v>31</v>
      </c>
      <c r="J73" s="316" t="s">
        <v>31</v>
      </c>
      <c r="K73" s="316" t="s">
        <v>31</v>
      </c>
      <c r="L73" s="316" t="s">
        <v>31</v>
      </c>
      <c r="M73" s="316" t="s">
        <v>31</v>
      </c>
      <c r="N73" s="316" t="s">
        <v>31</v>
      </c>
      <c r="O73" s="316" t="s">
        <v>31</v>
      </c>
      <c r="P73" s="316" t="s">
        <v>31</v>
      </c>
      <c r="Q73" s="316" t="s">
        <v>31</v>
      </c>
      <c r="R73" s="316" t="s">
        <v>31</v>
      </c>
      <c r="S73" s="316" t="s">
        <v>31</v>
      </c>
      <c r="T73" s="235">
        <f>T69</f>
        <v>470.87</v>
      </c>
      <c r="U73" s="225">
        <f t="shared" si="57"/>
        <v>470.87</v>
      </c>
    </row>
    <row r="74" spans="1:21" ht="13.5" customHeight="1">
      <c r="A74" s="449"/>
      <c r="B74" s="443"/>
      <c r="C74" s="226" t="s">
        <v>379</v>
      </c>
      <c r="D74" s="342" t="s">
        <v>31</v>
      </c>
      <c r="E74" s="343" t="s">
        <v>31</v>
      </c>
      <c r="F74" s="343" t="s">
        <v>31</v>
      </c>
      <c r="G74" s="343" t="s">
        <v>31</v>
      </c>
      <c r="H74" s="343" t="s">
        <v>31</v>
      </c>
      <c r="I74" s="343" t="s">
        <v>31</v>
      </c>
      <c r="J74" s="343" t="s">
        <v>31</v>
      </c>
      <c r="K74" s="343" t="s">
        <v>31</v>
      </c>
      <c r="L74" s="343" t="s">
        <v>31</v>
      </c>
      <c r="M74" s="343" t="s">
        <v>31</v>
      </c>
      <c r="N74" s="343" t="s">
        <v>31</v>
      </c>
      <c r="O74" s="343" t="s">
        <v>31</v>
      </c>
      <c r="P74" s="343" t="s">
        <v>31</v>
      </c>
      <c r="Q74" s="343" t="s">
        <v>31</v>
      </c>
      <c r="R74" s="343" t="s">
        <v>31</v>
      </c>
      <c r="S74" s="343" t="s">
        <v>31</v>
      </c>
      <c r="T74" s="343">
        <f>TRUNC(T73*0.03*2.5548,2)</f>
        <v>36.08</v>
      </c>
      <c r="U74" s="333">
        <f t="shared" si="57"/>
        <v>36.08</v>
      </c>
    </row>
    <row r="75" spans="1:21" ht="21" customHeight="1">
      <c r="A75" s="449"/>
      <c r="B75" s="444"/>
      <c r="C75" s="331" t="s">
        <v>380</v>
      </c>
      <c r="D75" s="345" t="s">
        <v>31</v>
      </c>
      <c r="E75" s="272" t="s">
        <v>31</v>
      </c>
      <c r="F75" s="272" t="s">
        <v>31</v>
      </c>
      <c r="G75" s="272" t="s">
        <v>31</v>
      </c>
      <c r="H75" s="272" t="s">
        <v>31</v>
      </c>
      <c r="I75" s="272" t="s">
        <v>31</v>
      </c>
      <c r="J75" s="272" t="s">
        <v>31</v>
      </c>
      <c r="K75" s="272" t="s">
        <v>31</v>
      </c>
      <c r="L75" s="272" t="s">
        <v>31</v>
      </c>
      <c r="M75" s="272" t="s">
        <v>31</v>
      </c>
      <c r="N75" s="272" t="s">
        <v>31</v>
      </c>
      <c r="O75" s="272" t="s">
        <v>31</v>
      </c>
      <c r="P75" s="272" t="s">
        <v>31</v>
      </c>
      <c r="Q75" s="272" t="s">
        <v>31</v>
      </c>
      <c r="R75" s="272" t="s">
        <v>31</v>
      </c>
      <c r="S75" s="272" t="s">
        <v>31</v>
      </c>
      <c r="T75" s="272">
        <f>T74*30</f>
        <v>1082.3999999999999</v>
      </c>
      <c r="U75" s="339">
        <f>T75</f>
        <v>1082.3999999999999</v>
      </c>
    </row>
    <row r="76" spans="1:21" ht="21.75" customHeight="1">
      <c r="A76" s="449"/>
      <c r="B76" s="442" t="s">
        <v>172</v>
      </c>
      <c r="C76" s="335" t="s">
        <v>173</v>
      </c>
      <c r="D76" s="233" t="s">
        <v>31</v>
      </c>
      <c r="E76" s="235" t="s">
        <v>31</v>
      </c>
      <c r="F76" s="235" t="s">
        <v>31</v>
      </c>
      <c r="G76" s="235" t="s">
        <v>31</v>
      </c>
      <c r="H76" s="235" t="s">
        <v>31</v>
      </c>
      <c r="I76" s="235" t="s">
        <v>31</v>
      </c>
      <c r="J76" s="235" t="s">
        <v>31</v>
      </c>
      <c r="K76" s="235" t="s">
        <v>31</v>
      </c>
      <c r="L76" s="235" t="s">
        <v>31</v>
      </c>
      <c r="M76" s="235" t="s">
        <v>31</v>
      </c>
      <c r="N76" s="235" t="s">
        <v>31</v>
      </c>
      <c r="O76" s="235" t="s">
        <v>31</v>
      </c>
      <c r="P76" s="235" t="s">
        <v>31</v>
      </c>
      <c r="Q76" s="235" t="s">
        <v>31</v>
      </c>
      <c r="R76" s="235" t="s">
        <v>31</v>
      </c>
      <c r="S76" s="235" t="s">
        <v>31</v>
      </c>
      <c r="T76" s="235">
        <v>74.290000000000006</v>
      </c>
      <c r="U76" s="225">
        <f>SUM(T76:T76)</f>
        <v>74.290000000000006</v>
      </c>
    </row>
    <row r="77" spans="1:21" ht="23.25" hidden="1" customHeight="1">
      <c r="A77" s="450"/>
      <c r="B77" s="444"/>
      <c r="C77" s="227" t="s">
        <v>362</v>
      </c>
      <c r="D77" s="236" t="s">
        <v>31</v>
      </c>
      <c r="E77" s="237" t="s">
        <v>31</v>
      </c>
      <c r="F77" s="237" t="s">
        <v>31</v>
      </c>
      <c r="G77" s="237" t="s">
        <v>31</v>
      </c>
      <c r="H77" s="237" t="s">
        <v>31</v>
      </c>
      <c r="I77" s="237" t="s">
        <v>31</v>
      </c>
      <c r="J77" s="237" t="s">
        <v>31</v>
      </c>
      <c r="K77" s="237" t="s">
        <v>31</v>
      </c>
      <c r="L77" s="237" t="s">
        <v>31</v>
      </c>
      <c r="M77" s="237" t="s">
        <v>31</v>
      </c>
      <c r="N77" s="237" t="s">
        <v>31</v>
      </c>
      <c r="O77" s="237" t="s">
        <v>31</v>
      </c>
      <c r="P77" s="237" t="s">
        <v>31</v>
      </c>
      <c r="Q77" s="237" t="s">
        <v>31</v>
      </c>
      <c r="R77" s="237" t="s">
        <v>31</v>
      </c>
      <c r="S77" s="237" t="s">
        <v>31</v>
      </c>
      <c r="T77" s="237">
        <f>(0.0615*0.5872*T76)*1.3*30</f>
        <v>104.629976568</v>
      </c>
      <c r="U77" s="340">
        <f>SUM(T77:T77)</f>
        <v>104.629976568</v>
      </c>
    </row>
    <row r="78" spans="1:21" ht="14.25" hidden="1" customHeight="1">
      <c r="A78" s="451" t="s">
        <v>185</v>
      </c>
      <c r="B78" s="455" t="s">
        <v>186</v>
      </c>
      <c r="C78" s="213" t="s">
        <v>187</v>
      </c>
      <c r="D78" s="273"/>
      <c r="E78" s="253"/>
      <c r="F78" s="253"/>
      <c r="G78" s="253"/>
      <c r="H78" s="253"/>
      <c r="I78" s="253"/>
      <c r="J78" s="253"/>
      <c r="K78" s="253"/>
      <c r="L78" s="253"/>
      <c r="M78" s="253"/>
      <c r="N78" s="253"/>
      <c r="O78" s="253"/>
      <c r="P78" s="253"/>
      <c r="Q78" s="253"/>
      <c r="R78" s="253"/>
      <c r="S78" s="253"/>
      <c r="T78" s="253"/>
      <c r="U78" s="219">
        <f>'Calçada e Acessibilidade'!U34</f>
        <v>330.48</v>
      </c>
    </row>
    <row r="79" spans="1:21" ht="14.25" hidden="1" customHeight="1">
      <c r="A79" s="452"/>
      <c r="B79" s="455"/>
      <c r="C79" s="212" t="s">
        <v>188</v>
      </c>
      <c r="D79" s="205"/>
      <c r="E79" s="206"/>
      <c r="F79" s="206"/>
      <c r="G79" s="206"/>
      <c r="H79" s="206"/>
      <c r="I79" s="206"/>
      <c r="J79" s="206"/>
      <c r="K79" s="206"/>
      <c r="L79" s="206"/>
      <c r="M79" s="206"/>
      <c r="N79" s="206"/>
      <c r="O79" s="206"/>
      <c r="P79" s="206"/>
      <c r="Q79" s="206"/>
      <c r="R79" s="206"/>
      <c r="S79" s="206"/>
      <c r="T79" s="253"/>
      <c r="U79" s="219">
        <f>SUM(D79:S79)</f>
        <v>0</v>
      </c>
    </row>
    <row r="80" spans="1:21" ht="14.25" hidden="1" customHeight="1">
      <c r="A80" s="452"/>
      <c r="B80" s="455"/>
      <c r="C80" s="212" t="s">
        <v>189</v>
      </c>
      <c r="D80" s="205"/>
      <c r="E80" s="265"/>
      <c r="F80" s="206"/>
      <c r="G80" s="206"/>
      <c r="H80" s="206"/>
      <c r="I80" s="265"/>
      <c r="J80" s="206"/>
      <c r="K80" s="265"/>
      <c r="L80" s="206"/>
      <c r="M80" s="265"/>
      <c r="N80" s="206"/>
      <c r="O80" s="265"/>
      <c r="P80" s="206"/>
      <c r="Q80" s="206"/>
      <c r="R80" s="265"/>
      <c r="S80" s="206"/>
      <c r="T80" s="253"/>
      <c r="U80" s="219">
        <f>SUM(D80:S80)</f>
        <v>0</v>
      </c>
    </row>
    <row r="81" spans="1:21" ht="14.25" hidden="1" customHeight="1">
      <c r="A81" s="452"/>
      <c r="B81" s="455"/>
      <c r="C81" s="212" t="s">
        <v>190</v>
      </c>
      <c r="D81" s="205"/>
      <c r="E81" s="265"/>
      <c r="F81" s="206"/>
      <c r="G81" s="206"/>
      <c r="H81" s="206"/>
      <c r="I81" s="265"/>
      <c r="J81" s="206"/>
      <c r="K81" s="265"/>
      <c r="L81" s="206"/>
      <c r="M81" s="265"/>
      <c r="N81" s="206"/>
      <c r="O81" s="265"/>
      <c r="P81" s="206"/>
      <c r="Q81" s="206"/>
      <c r="R81" s="265"/>
      <c r="S81" s="206"/>
      <c r="T81" s="253"/>
      <c r="U81" s="219">
        <f>SUM(D81:S81)</f>
        <v>0</v>
      </c>
    </row>
    <row r="82" spans="1:21" ht="14.25" hidden="1" customHeight="1">
      <c r="A82" s="452"/>
      <c r="B82" s="455"/>
      <c r="C82" s="212" t="s">
        <v>191</v>
      </c>
      <c r="D82" s="205"/>
      <c r="E82" s="265"/>
      <c r="F82" s="206"/>
      <c r="G82" s="206"/>
      <c r="H82" s="206"/>
      <c r="I82" s="265"/>
      <c r="J82" s="206"/>
      <c r="K82" s="265"/>
      <c r="L82" s="206"/>
      <c r="M82" s="265"/>
      <c r="N82" s="206"/>
      <c r="O82" s="265"/>
      <c r="P82" s="206"/>
      <c r="Q82" s="206"/>
      <c r="R82" s="265"/>
      <c r="S82" s="206"/>
      <c r="T82" s="253"/>
      <c r="U82" s="219">
        <f>SUM(D82:S82)</f>
        <v>0</v>
      </c>
    </row>
    <row r="83" spans="1:21" ht="22.5" hidden="1" customHeight="1">
      <c r="A83" s="452"/>
      <c r="B83" s="455"/>
      <c r="C83" s="212" t="s">
        <v>192</v>
      </c>
      <c r="D83" s="205"/>
      <c r="E83" s="265"/>
      <c r="F83" s="206"/>
      <c r="G83" s="206"/>
      <c r="H83" s="206"/>
      <c r="I83" s="265"/>
      <c r="J83" s="206"/>
      <c r="K83" s="265"/>
      <c r="L83" s="206"/>
      <c r="M83" s="265"/>
      <c r="N83" s="206"/>
      <c r="O83" s="265"/>
      <c r="P83" s="206"/>
      <c r="Q83" s="206"/>
      <c r="R83" s="265"/>
      <c r="S83" s="206"/>
      <c r="T83" s="253"/>
      <c r="U83" s="219">
        <f>TRUNC(0.0714*0.591*U78*1.3,2)</f>
        <v>18.12</v>
      </c>
    </row>
    <row r="84" spans="1:21" ht="17.25" hidden="1" customHeight="1">
      <c r="A84" s="452"/>
      <c r="B84" s="455"/>
      <c r="C84" s="212" t="s">
        <v>193</v>
      </c>
      <c r="D84" s="205"/>
      <c r="E84" s="265"/>
      <c r="F84" s="206"/>
      <c r="G84" s="206"/>
      <c r="H84" s="206"/>
      <c r="I84" s="265"/>
      <c r="J84" s="206"/>
      <c r="K84" s="265"/>
      <c r="L84" s="206"/>
      <c r="M84" s="265"/>
      <c r="N84" s="206"/>
      <c r="O84" s="265"/>
      <c r="P84" s="206"/>
      <c r="Q84" s="206"/>
      <c r="R84" s="265"/>
      <c r="S84" s="206"/>
      <c r="T84" s="253"/>
      <c r="U84" s="219">
        <f>SUM(D84:S84)</f>
        <v>0</v>
      </c>
    </row>
    <row r="85" spans="1:21" ht="22.5" hidden="1" customHeight="1">
      <c r="A85" s="452"/>
      <c r="B85" s="455"/>
      <c r="C85" s="212" t="s">
        <v>194</v>
      </c>
      <c r="D85" s="205"/>
      <c r="E85" s="265"/>
      <c r="F85" s="206"/>
      <c r="G85" s="206"/>
      <c r="H85" s="206"/>
      <c r="I85" s="265"/>
      <c r="J85" s="206"/>
      <c r="K85" s="265"/>
      <c r="L85" s="206"/>
      <c r="M85" s="265"/>
      <c r="N85" s="206"/>
      <c r="O85" s="265"/>
      <c r="P85" s="206"/>
      <c r="Q85" s="206"/>
      <c r="R85" s="265"/>
      <c r="S85" s="206"/>
      <c r="T85" s="253"/>
      <c r="U85" s="219">
        <f>SUM(D85:S85)</f>
        <v>0</v>
      </c>
    </row>
    <row r="86" spans="1:21" ht="14.25" hidden="1" customHeight="1">
      <c r="A86" s="452"/>
      <c r="B86" s="455"/>
      <c r="C86" s="229" t="s">
        <v>195</v>
      </c>
      <c r="D86" s="209"/>
      <c r="E86" s="210"/>
      <c r="F86" s="209"/>
      <c r="G86" s="209"/>
      <c r="H86" s="209"/>
      <c r="I86" s="210"/>
      <c r="J86" s="209"/>
      <c r="K86" s="210"/>
      <c r="L86" s="209"/>
      <c r="M86" s="210"/>
      <c r="N86" s="209"/>
      <c r="O86" s="210"/>
      <c r="P86" s="209"/>
      <c r="Q86" s="209"/>
      <c r="R86" s="210"/>
      <c r="S86" s="209"/>
      <c r="T86" s="319"/>
      <c r="U86" s="230">
        <f>'Calçada e Acessibilidade'!S34</f>
        <v>210.60000000000002</v>
      </c>
    </row>
    <row r="87" spans="1:21" ht="22.5" hidden="1">
      <c r="A87" s="452"/>
      <c r="B87" s="455" t="s">
        <v>196</v>
      </c>
      <c r="C87" s="211" t="s">
        <v>197</v>
      </c>
      <c r="D87" s="195"/>
      <c r="E87" s="196"/>
      <c r="F87" s="196"/>
      <c r="G87" s="196"/>
      <c r="H87" s="196"/>
      <c r="I87" s="196"/>
      <c r="J87" s="196"/>
      <c r="K87" s="196"/>
      <c r="L87" s="196"/>
      <c r="M87" s="196"/>
      <c r="N87" s="196"/>
      <c r="O87" s="196"/>
      <c r="P87" s="196"/>
      <c r="Q87" s="196"/>
      <c r="R87" s="196"/>
      <c r="S87" s="196"/>
      <c r="T87" s="196"/>
      <c r="U87" s="228">
        <v>1241.52</v>
      </c>
    </row>
    <row r="88" spans="1:21" ht="22.5" hidden="1">
      <c r="A88" s="452"/>
      <c r="B88" s="455"/>
      <c r="C88" s="212" t="s">
        <v>198</v>
      </c>
      <c r="D88" s="254"/>
      <c r="E88" s="198"/>
      <c r="F88" s="198"/>
      <c r="G88" s="198"/>
      <c r="H88" s="198"/>
      <c r="I88" s="198"/>
      <c r="J88" s="198"/>
      <c r="K88" s="198"/>
      <c r="L88" s="198"/>
      <c r="M88" s="198"/>
      <c r="N88" s="198"/>
      <c r="O88" s="198"/>
      <c r="P88" s="198"/>
      <c r="Q88" s="198"/>
      <c r="R88" s="198"/>
      <c r="S88" s="198"/>
      <c r="T88" s="196"/>
      <c r="U88" s="261">
        <v>381.51</v>
      </c>
    </row>
    <row r="89" spans="1:21" ht="14.25" hidden="1" customHeight="1">
      <c r="A89" s="452"/>
      <c r="B89" s="455"/>
      <c r="C89" s="212" t="s">
        <v>199</v>
      </c>
      <c r="D89" s="254"/>
      <c r="E89" s="198"/>
      <c r="F89" s="198"/>
      <c r="G89" s="198"/>
      <c r="H89" s="198"/>
      <c r="I89" s="198"/>
      <c r="J89" s="198"/>
      <c r="K89" s="198"/>
      <c r="L89" s="198"/>
      <c r="M89" s="198"/>
      <c r="N89" s="198"/>
      <c r="O89" s="198"/>
      <c r="P89" s="198"/>
      <c r="Q89" s="198"/>
      <c r="R89" s="198"/>
      <c r="S89" s="198"/>
      <c r="T89" s="196"/>
      <c r="U89" s="261">
        <v>8.6809999999999992</v>
      </c>
    </row>
    <row r="90" spans="1:21" ht="22.5" hidden="1">
      <c r="A90" s="452"/>
      <c r="B90" s="455"/>
      <c r="C90" s="212" t="s">
        <v>200</v>
      </c>
      <c r="D90" s="254"/>
      <c r="E90" s="198"/>
      <c r="F90" s="198"/>
      <c r="G90" s="198"/>
      <c r="H90" s="198"/>
      <c r="I90" s="198"/>
      <c r="J90" s="198"/>
      <c r="K90" s="198"/>
      <c r="L90" s="198"/>
      <c r="M90" s="198"/>
      <c r="N90" s="198"/>
      <c r="O90" s="198"/>
      <c r="P90" s="198"/>
      <c r="Q90" s="198"/>
      <c r="R90" s="198"/>
      <c r="S90" s="198"/>
      <c r="T90" s="196"/>
      <c r="U90" s="261">
        <v>30</v>
      </c>
    </row>
    <row r="91" spans="1:21" ht="14.25" hidden="1" customHeight="1">
      <c r="A91" s="452"/>
      <c r="B91" s="455"/>
      <c r="C91" s="212" t="s">
        <v>201</v>
      </c>
      <c r="D91" s="254"/>
      <c r="E91" s="198"/>
      <c r="F91" s="198"/>
      <c r="G91" s="198"/>
      <c r="H91" s="198"/>
      <c r="I91" s="198"/>
      <c r="J91" s="198"/>
      <c r="K91" s="198"/>
      <c r="L91" s="198"/>
      <c r="M91" s="198"/>
      <c r="N91" s="198"/>
      <c r="O91" s="198"/>
      <c r="P91" s="198"/>
      <c r="Q91" s="198"/>
      <c r="R91" s="198"/>
      <c r="S91" s="198"/>
      <c r="T91" s="196"/>
      <c r="U91" s="261">
        <v>16</v>
      </c>
    </row>
    <row r="92" spans="1:21" ht="11.25" hidden="1" customHeight="1">
      <c r="A92" s="453"/>
      <c r="B92" s="455"/>
      <c r="C92" s="214" t="s">
        <v>202</v>
      </c>
      <c r="D92" s="274"/>
      <c r="E92" s="266"/>
      <c r="F92" s="266"/>
      <c r="G92" s="266"/>
      <c r="H92" s="266"/>
      <c r="I92" s="266"/>
      <c r="J92" s="266"/>
      <c r="K92" s="266"/>
      <c r="L92" s="266"/>
      <c r="M92" s="266"/>
      <c r="N92" s="266"/>
      <c r="O92" s="266"/>
      <c r="P92" s="266"/>
      <c r="Q92" s="267"/>
      <c r="R92" s="266"/>
      <c r="S92" s="266"/>
      <c r="T92" s="266"/>
      <c r="U92" s="262">
        <f>U91/2</f>
        <v>8</v>
      </c>
    </row>
    <row r="93" spans="1:21" ht="11.25" hidden="1" customHeight="1">
      <c r="A93" s="263"/>
      <c r="B93" s="460" t="s">
        <v>203</v>
      </c>
      <c r="C93" s="211" t="s">
        <v>204</v>
      </c>
      <c r="D93" s="268"/>
      <c r="E93" s="269"/>
      <c r="F93" s="268"/>
      <c r="G93" s="268"/>
      <c r="H93" s="268"/>
      <c r="I93" s="269"/>
      <c r="J93" s="268"/>
      <c r="K93" s="269"/>
      <c r="L93" s="268"/>
      <c r="M93" s="269"/>
      <c r="N93" s="268"/>
      <c r="O93" s="269"/>
      <c r="P93" s="268"/>
      <c r="Q93" s="268"/>
      <c r="R93" s="269"/>
      <c r="S93" s="268"/>
      <c r="T93" s="321"/>
      <c r="U93" s="219">
        <f>SUM(D93:H93)</f>
        <v>0</v>
      </c>
    </row>
    <row r="94" spans="1:21" ht="11.25" hidden="1" customHeight="1">
      <c r="A94" s="263"/>
      <c r="B94" s="461"/>
      <c r="C94" s="213" t="s">
        <v>205</v>
      </c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8"/>
      <c r="P94" s="198"/>
      <c r="Q94" s="198"/>
      <c r="R94" s="198"/>
      <c r="S94" s="198"/>
      <c r="T94" s="198"/>
      <c r="U94" s="220"/>
    </row>
    <row r="95" spans="1:21" ht="14.25" hidden="1" customHeight="1">
      <c r="A95" s="263"/>
      <c r="B95" s="461"/>
      <c r="C95" s="212" t="s">
        <v>206</v>
      </c>
      <c r="D95" s="254"/>
      <c r="E95" s="198"/>
      <c r="F95" s="198"/>
      <c r="G95" s="198"/>
      <c r="H95" s="198"/>
      <c r="I95" s="198"/>
      <c r="J95" s="198"/>
      <c r="K95" s="198"/>
      <c r="L95" s="198"/>
      <c r="M95" s="198"/>
      <c r="N95" s="198"/>
      <c r="O95" s="198"/>
      <c r="P95" s="198"/>
      <c r="Q95" s="198"/>
      <c r="R95" s="198"/>
      <c r="S95" s="198"/>
      <c r="T95" s="196"/>
      <c r="U95" s="219"/>
    </row>
    <row r="96" spans="1:21" ht="14.25" hidden="1" customHeight="1">
      <c r="A96" s="263"/>
      <c r="B96" s="461"/>
      <c r="C96" s="212" t="s">
        <v>207</v>
      </c>
      <c r="D96" s="254"/>
      <c r="E96" s="198"/>
      <c r="F96" s="198"/>
      <c r="G96" s="198"/>
      <c r="H96" s="198"/>
      <c r="I96" s="198"/>
      <c r="J96" s="198"/>
      <c r="K96" s="198"/>
      <c r="L96" s="198"/>
      <c r="M96" s="198"/>
      <c r="N96" s="198"/>
      <c r="O96" s="198"/>
      <c r="P96" s="198"/>
      <c r="Q96" s="198"/>
      <c r="R96" s="198"/>
      <c r="S96" s="198"/>
      <c r="T96" s="196"/>
      <c r="U96" s="219"/>
    </row>
    <row r="97" spans="1:21" ht="14.25" hidden="1" customHeight="1">
      <c r="A97" s="263"/>
      <c r="B97" s="461"/>
      <c r="C97" s="212" t="s">
        <v>208</v>
      </c>
      <c r="D97" s="254"/>
      <c r="E97" s="198"/>
      <c r="F97" s="198"/>
      <c r="G97" s="198"/>
      <c r="H97" s="198"/>
      <c r="I97" s="198"/>
      <c r="J97" s="198"/>
      <c r="K97" s="198"/>
      <c r="L97" s="198"/>
      <c r="M97" s="198"/>
      <c r="N97" s="198"/>
      <c r="O97" s="198"/>
      <c r="P97" s="198"/>
      <c r="Q97" s="198"/>
      <c r="R97" s="198"/>
      <c r="S97" s="198"/>
      <c r="T97" s="196"/>
      <c r="U97" s="219"/>
    </row>
    <row r="98" spans="1:21" ht="14.25" hidden="1" customHeight="1">
      <c r="A98" s="263"/>
      <c r="B98" s="461"/>
      <c r="C98" s="212" t="s">
        <v>209</v>
      </c>
      <c r="D98" s="254"/>
      <c r="E98" s="198"/>
      <c r="F98" s="198"/>
      <c r="G98" s="198"/>
      <c r="H98" s="198"/>
      <c r="I98" s="198"/>
      <c r="J98" s="198"/>
      <c r="K98" s="198"/>
      <c r="L98" s="198"/>
      <c r="M98" s="198"/>
      <c r="N98" s="198"/>
      <c r="O98" s="198"/>
      <c r="P98" s="198"/>
      <c r="Q98" s="198"/>
      <c r="R98" s="198"/>
      <c r="S98" s="198"/>
      <c r="T98" s="196"/>
      <c r="U98" s="219"/>
    </row>
    <row r="99" spans="1:21" ht="14.25" hidden="1" customHeight="1">
      <c r="A99" s="263"/>
      <c r="B99" s="462"/>
      <c r="C99" s="229" t="s">
        <v>210</v>
      </c>
      <c r="D99" s="274"/>
      <c r="E99" s="266"/>
      <c r="F99" s="266"/>
      <c r="G99" s="266"/>
      <c r="H99" s="266"/>
      <c r="I99" s="266"/>
      <c r="J99" s="266"/>
      <c r="K99" s="266"/>
      <c r="L99" s="266"/>
      <c r="M99" s="266"/>
      <c r="N99" s="266"/>
      <c r="O99" s="266"/>
      <c r="P99" s="266"/>
      <c r="Q99" s="266"/>
      <c r="R99" s="266"/>
      <c r="S99" s="266"/>
      <c r="T99" s="322"/>
      <c r="U99" s="230"/>
    </row>
    <row r="100" spans="1:21" s="23" customFormat="1" ht="14.25" customHeight="1">
      <c r="A100" s="445" t="s">
        <v>211</v>
      </c>
      <c r="B100" s="446"/>
      <c r="C100" s="447"/>
      <c r="D100" s="275"/>
      <c r="E100" s="271"/>
      <c r="F100" s="270"/>
      <c r="G100" s="270"/>
      <c r="H100" s="270"/>
      <c r="I100" s="271"/>
      <c r="J100" s="270"/>
      <c r="K100" s="271"/>
      <c r="L100" s="270"/>
      <c r="M100" s="271"/>
      <c r="N100" s="270"/>
      <c r="O100" s="271"/>
      <c r="P100" s="270"/>
      <c r="Q100" s="270"/>
      <c r="R100" s="271"/>
      <c r="S100" s="270"/>
      <c r="T100" s="275"/>
      <c r="U100" s="264"/>
    </row>
    <row r="101" spans="1:21" ht="12.75" customHeight="1">
      <c r="B101" s="463" t="s">
        <v>2</v>
      </c>
      <c r="C101" s="463"/>
      <c r="D101" s="149"/>
    </row>
    <row r="102" spans="1:21" ht="12.75" customHeight="1">
      <c r="B102" s="463"/>
      <c r="C102" s="463"/>
      <c r="D102" s="150"/>
    </row>
  </sheetData>
  <mergeCells count="42">
    <mergeCell ref="B76:B77"/>
    <mergeCell ref="A57:A77"/>
    <mergeCell ref="A51:A56"/>
    <mergeCell ref="B56:C56"/>
    <mergeCell ref="B54:B55"/>
    <mergeCell ref="B38:B42"/>
    <mergeCell ref="B43:B46"/>
    <mergeCell ref="B69:B72"/>
    <mergeCell ref="B57:B60"/>
    <mergeCell ref="B73:B75"/>
    <mergeCell ref="B101:C102"/>
    <mergeCell ref="B2:C2"/>
    <mergeCell ref="B14:B15"/>
    <mergeCell ref="B87:B92"/>
    <mergeCell ref="B93:B99"/>
    <mergeCell ref="B3:C3"/>
    <mergeCell ref="B11:C11"/>
    <mergeCell ref="B5:C5"/>
    <mergeCell ref="B8:C8"/>
    <mergeCell ref="B9:C9"/>
    <mergeCell ref="B10:C10"/>
    <mergeCell ref="B61:B64"/>
    <mergeCell ref="B65:B68"/>
    <mergeCell ref="B16:B18"/>
    <mergeCell ref="B78:B86"/>
    <mergeCell ref="B7:C7"/>
    <mergeCell ref="A1:C1"/>
    <mergeCell ref="B51:B53"/>
    <mergeCell ref="A100:C100"/>
    <mergeCell ref="A14:A24"/>
    <mergeCell ref="A78:A92"/>
    <mergeCell ref="A2:A11"/>
    <mergeCell ref="A25:A50"/>
    <mergeCell ref="B19:B21"/>
    <mergeCell ref="B22:B24"/>
    <mergeCell ref="B25:B30"/>
    <mergeCell ref="B6:C6"/>
    <mergeCell ref="B47:B50"/>
    <mergeCell ref="B4:C4"/>
    <mergeCell ref="A12:C12"/>
    <mergeCell ref="A13:C13"/>
    <mergeCell ref="B31:B37"/>
  </mergeCells>
  <phoneticPr fontId="14" type="noConversion"/>
  <dataValidations count="1">
    <dataValidation type="list" allowBlank="1" showInputMessage="1" showErrorMessage="1" sqref="IL3:IS3 SH3:SO3 ACD3:ACK3 ALZ3:AMG3 AVV3:AWC3 BFR3:BFY3 BPN3:BPU3 BZJ3:BZQ3 CJF3:CJM3 CTB3:CTI3 DCX3:DDE3 DMT3:DNA3 DWP3:DWW3 EGL3:EGS3 EQH3:EQO3 FAD3:FAK3 FJZ3:FKG3 FTV3:FUC3 GDR3:GDY3 GNN3:GNU3 GXJ3:GXQ3 HHF3:HHM3 HRB3:HRI3 IAX3:IBE3 IKT3:ILA3 IUP3:IUW3 JEL3:JES3 JOH3:JOO3 JYD3:JYK3 KHZ3:KIG3 KRV3:KSC3 LBR3:LBY3 LLN3:LLU3 LVJ3:LVQ3 MFF3:MFM3 MPB3:MPI3 MYX3:MZE3 NIT3:NJA3 NSP3:NSW3 OCL3:OCS3 OMH3:OMO3 OWD3:OWK3 PFZ3:PGG3 PPV3:PQC3 PZR3:PZY3 QJN3:QJU3 QTJ3:QTQ3 RDF3:RDM3 RNB3:RNI3 RWX3:RXE3 SGT3:SHA3 SQP3:SQW3 TAL3:TAS3 TKH3:TKO3 TUD3:TUK3 UDZ3:UEG3 UNV3:UOC3 UXR3:UXY3 VHN3:VHU3 VRJ3:VRQ3 WBF3:WBM3 WLB3:WLI3 WUX3:WVE3 IL65575:IS65575 SH65575:SO65575 ACD65575:ACK65575 ALZ65575:AMG65575 AVV65575:AWC65575 BFR65575:BFY65575 BPN65575:BPU65575 BZJ65575:BZQ65575 CJF65575:CJM65575 CTB65575:CTI65575 DCX65575:DDE65575 DMT65575:DNA65575 DWP65575:DWW65575 EGL65575:EGS65575 EQH65575:EQO65575 FAD65575:FAK65575 FJZ65575:FKG65575 FTV65575:FUC65575 GDR65575:GDY65575 GNN65575:GNU65575 GXJ65575:GXQ65575 HHF65575:HHM65575 HRB65575:HRI65575 IAX65575:IBE65575 IKT65575:ILA65575 IUP65575:IUW65575 JEL65575:JES65575 JOH65575:JOO65575 JYD65575:JYK65575 KHZ65575:KIG65575 KRV65575:KSC65575 LBR65575:LBY65575 LLN65575:LLU65575 LVJ65575:LVQ65575 MFF65575:MFM65575 MPB65575:MPI65575 MYX65575:MZE65575 NIT65575:NJA65575 NSP65575:NSW65575 OCL65575:OCS65575 OMH65575:OMO65575 OWD65575:OWK65575 PFZ65575:PGG65575 PPV65575:PQC65575 PZR65575:PZY65575 QJN65575:QJU65575 QTJ65575:QTQ65575 RDF65575:RDM65575 RNB65575:RNI65575 RWX65575:RXE65575 SGT65575:SHA65575 SQP65575:SQW65575 TAL65575:TAS65575 TKH65575:TKO65575 TUD65575:TUK65575 UDZ65575:UEG65575 UNV65575:UOC65575 UXR65575:UXY65575 VHN65575:VHU65575 VRJ65575:VRQ65575 WBF65575:WBM65575 WLB65575:WLI65575 WUX65575:WVE65575 IL131111:IS131111 SH131111:SO131111 ACD131111:ACK131111 ALZ131111:AMG131111 AVV131111:AWC131111 BFR131111:BFY131111 BPN131111:BPU131111 BZJ131111:BZQ131111 CJF131111:CJM131111 CTB131111:CTI131111 DCX131111:DDE131111 DMT131111:DNA131111 DWP131111:DWW131111 EGL131111:EGS131111 EQH131111:EQO131111 FAD131111:FAK131111 FJZ131111:FKG131111 FTV131111:FUC131111 GDR131111:GDY131111 GNN131111:GNU131111 GXJ131111:GXQ131111 HHF131111:HHM131111 HRB131111:HRI131111 IAX131111:IBE131111 IKT131111:ILA131111 IUP131111:IUW131111 JEL131111:JES131111 JOH131111:JOO131111 JYD131111:JYK131111 KHZ131111:KIG131111 KRV131111:KSC131111 LBR131111:LBY131111 LLN131111:LLU131111 LVJ131111:LVQ131111 MFF131111:MFM131111 MPB131111:MPI131111 MYX131111:MZE131111 NIT131111:NJA131111 NSP131111:NSW131111 OCL131111:OCS131111 OMH131111:OMO131111 OWD131111:OWK131111 PFZ131111:PGG131111 PPV131111:PQC131111 PZR131111:PZY131111 QJN131111:QJU131111 QTJ131111:QTQ131111 RDF131111:RDM131111 RNB131111:RNI131111 RWX131111:RXE131111 SGT131111:SHA131111 SQP131111:SQW131111 TAL131111:TAS131111 TKH131111:TKO131111 TUD131111:TUK131111 UDZ131111:UEG131111 UNV131111:UOC131111 UXR131111:UXY131111 VHN131111:VHU131111 VRJ131111:VRQ131111 WBF131111:WBM131111 WLB131111:WLI131111 WUX131111:WVE131111 IL196647:IS196647 SH196647:SO196647 ACD196647:ACK196647 ALZ196647:AMG196647 AVV196647:AWC196647 BFR196647:BFY196647 BPN196647:BPU196647 BZJ196647:BZQ196647 CJF196647:CJM196647 CTB196647:CTI196647 DCX196647:DDE196647 DMT196647:DNA196647 DWP196647:DWW196647 EGL196647:EGS196647 EQH196647:EQO196647 FAD196647:FAK196647 FJZ196647:FKG196647 FTV196647:FUC196647 GDR196647:GDY196647 GNN196647:GNU196647 GXJ196647:GXQ196647 HHF196647:HHM196647 HRB196647:HRI196647 IAX196647:IBE196647 IKT196647:ILA196647 IUP196647:IUW196647 JEL196647:JES196647 JOH196647:JOO196647 JYD196647:JYK196647 KHZ196647:KIG196647 KRV196647:KSC196647 LBR196647:LBY196647 LLN196647:LLU196647 LVJ196647:LVQ196647 MFF196647:MFM196647 MPB196647:MPI196647 MYX196647:MZE196647 NIT196647:NJA196647 NSP196647:NSW196647 OCL196647:OCS196647 OMH196647:OMO196647 OWD196647:OWK196647 PFZ196647:PGG196647 PPV196647:PQC196647 PZR196647:PZY196647 QJN196647:QJU196647 QTJ196647:QTQ196647 RDF196647:RDM196647 RNB196647:RNI196647 RWX196647:RXE196647 SGT196647:SHA196647 SQP196647:SQW196647 TAL196647:TAS196647 TKH196647:TKO196647 TUD196647:TUK196647 UDZ196647:UEG196647 UNV196647:UOC196647 UXR196647:UXY196647 VHN196647:VHU196647 VRJ196647:VRQ196647 WBF196647:WBM196647 WLB196647:WLI196647 WUX196647:WVE196647 IL262183:IS262183 SH262183:SO262183 ACD262183:ACK262183 ALZ262183:AMG262183 AVV262183:AWC262183 BFR262183:BFY262183 BPN262183:BPU262183 BZJ262183:BZQ262183 CJF262183:CJM262183 CTB262183:CTI262183 DCX262183:DDE262183 DMT262183:DNA262183 DWP262183:DWW262183 EGL262183:EGS262183 EQH262183:EQO262183 FAD262183:FAK262183 FJZ262183:FKG262183 FTV262183:FUC262183 GDR262183:GDY262183 GNN262183:GNU262183 GXJ262183:GXQ262183 HHF262183:HHM262183 HRB262183:HRI262183 IAX262183:IBE262183 IKT262183:ILA262183 IUP262183:IUW262183 JEL262183:JES262183 JOH262183:JOO262183 JYD262183:JYK262183 KHZ262183:KIG262183 KRV262183:KSC262183 LBR262183:LBY262183 LLN262183:LLU262183 LVJ262183:LVQ262183 MFF262183:MFM262183 MPB262183:MPI262183 MYX262183:MZE262183 NIT262183:NJA262183 NSP262183:NSW262183 OCL262183:OCS262183 OMH262183:OMO262183 OWD262183:OWK262183 PFZ262183:PGG262183 PPV262183:PQC262183 PZR262183:PZY262183 QJN262183:QJU262183 QTJ262183:QTQ262183 RDF262183:RDM262183 RNB262183:RNI262183 RWX262183:RXE262183 SGT262183:SHA262183 SQP262183:SQW262183 TAL262183:TAS262183 TKH262183:TKO262183 TUD262183:TUK262183 UDZ262183:UEG262183 UNV262183:UOC262183 UXR262183:UXY262183 VHN262183:VHU262183 VRJ262183:VRQ262183 WBF262183:WBM262183 WLB262183:WLI262183 WUX262183:WVE262183 IL327719:IS327719 SH327719:SO327719 ACD327719:ACK327719 ALZ327719:AMG327719 AVV327719:AWC327719 BFR327719:BFY327719 BPN327719:BPU327719 BZJ327719:BZQ327719 CJF327719:CJM327719 CTB327719:CTI327719 DCX327719:DDE327719 DMT327719:DNA327719 DWP327719:DWW327719 EGL327719:EGS327719 EQH327719:EQO327719 FAD327719:FAK327719 FJZ327719:FKG327719 FTV327719:FUC327719 GDR327719:GDY327719 GNN327719:GNU327719 GXJ327719:GXQ327719 HHF327719:HHM327719 HRB327719:HRI327719 IAX327719:IBE327719 IKT327719:ILA327719 IUP327719:IUW327719 JEL327719:JES327719 JOH327719:JOO327719 JYD327719:JYK327719 KHZ327719:KIG327719 KRV327719:KSC327719 LBR327719:LBY327719 LLN327719:LLU327719 LVJ327719:LVQ327719 MFF327719:MFM327719 MPB327719:MPI327719 MYX327719:MZE327719 NIT327719:NJA327719 NSP327719:NSW327719 OCL327719:OCS327719 OMH327719:OMO327719 OWD327719:OWK327719 PFZ327719:PGG327719 PPV327719:PQC327719 PZR327719:PZY327719 QJN327719:QJU327719 QTJ327719:QTQ327719 RDF327719:RDM327719 RNB327719:RNI327719 RWX327719:RXE327719 SGT327719:SHA327719 SQP327719:SQW327719 TAL327719:TAS327719 TKH327719:TKO327719 TUD327719:TUK327719 UDZ327719:UEG327719 UNV327719:UOC327719 UXR327719:UXY327719 VHN327719:VHU327719 VRJ327719:VRQ327719 WBF327719:WBM327719 WLB327719:WLI327719 WUX327719:WVE327719 IL393255:IS393255 SH393255:SO393255 ACD393255:ACK393255 ALZ393255:AMG393255 AVV393255:AWC393255 BFR393255:BFY393255 BPN393255:BPU393255 BZJ393255:BZQ393255 CJF393255:CJM393255 CTB393255:CTI393255 DCX393255:DDE393255 DMT393255:DNA393255 DWP393255:DWW393255 EGL393255:EGS393255 EQH393255:EQO393255 FAD393255:FAK393255 FJZ393255:FKG393255 FTV393255:FUC393255 GDR393255:GDY393255 GNN393255:GNU393255 GXJ393255:GXQ393255 HHF393255:HHM393255 HRB393255:HRI393255 IAX393255:IBE393255 IKT393255:ILA393255 IUP393255:IUW393255 JEL393255:JES393255 JOH393255:JOO393255 JYD393255:JYK393255 KHZ393255:KIG393255 KRV393255:KSC393255 LBR393255:LBY393255 LLN393255:LLU393255 LVJ393255:LVQ393255 MFF393255:MFM393255 MPB393255:MPI393255 MYX393255:MZE393255 NIT393255:NJA393255 NSP393255:NSW393255 OCL393255:OCS393255 OMH393255:OMO393255 OWD393255:OWK393255 PFZ393255:PGG393255 PPV393255:PQC393255 PZR393255:PZY393255 QJN393255:QJU393255 QTJ393255:QTQ393255 RDF393255:RDM393255 RNB393255:RNI393255 RWX393255:RXE393255 SGT393255:SHA393255 SQP393255:SQW393255 TAL393255:TAS393255 TKH393255:TKO393255 TUD393255:TUK393255 UDZ393255:UEG393255 UNV393255:UOC393255 UXR393255:UXY393255 VHN393255:VHU393255 VRJ393255:VRQ393255 WBF393255:WBM393255 WLB393255:WLI393255 WUX393255:WVE393255 IL458791:IS458791 SH458791:SO458791 ACD458791:ACK458791 ALZ458791:AMG458791 AVV458791:AWC458791 BFR458791:BFY458791 BPN458791:BPU458791 BZJ458791:BZQ458791 CJF458791:CJM458791 CTB458791:CTI458791 DCX458791:DDE458791 DMT458791:DNA458791 DWP458791:DWW458791 EGL458791:EGS458791 EQH458791:EQO458791 FAD458791:FAK458791 FJZ458791:FKG458791 FTV458791:FUC458791 GDR458791:GDY458791 GNN458791:GNU458791 GXJ458791:GXQ458791 HHF458791:HHM458791 HRB458791:HRI458791 IAX458791:IBE458791 IKT458791:ILA458791 IUP458791:IUW458791 JEL458791:JES458791 JOH458791:JOO458791 JYD458791:JYK458791 KHZ458791:KIG458791 KRV458791:KSC458791 LBR458791:LBY458791 LLN458791:LLU458791 LVJ458791:LVQ458791 MFF458791:MFM458791 MPB458791:MPI458791 MYX458791:MZE458791 NIT458791:NJA458791 NSP458791:NSW458791 OCL458791:OCS458791 OMH458791:OMO458791 OWD458791:OWK458791 PFZ458791:PGG458791 PPV458791:PQC458791 PZR458791:PZY458791 QJN458791:QJU458791 QTJ458791:QTQ458791 RDF458791:RDM458791 RNB458791:RNI458791 RWX458791:RXE458791 SGT458791:SHA458791 SQP458791:SQW458791 TAL458791:TAS458791 TKH458791:TKO458791 TUD458791:TUK458791 UDZ458791:UEG458791 UNV458791:UOC458791 UXR458791:UXY458791 VHN458791:VHU458791 VRJ458791:VRQ458791 WBF458791:WBM458791 WLB458791:WLI458791 WUX458791:WVE458791 IL524327:IS524327 SH524327:SO524327 ACD524327:ACK524327 ALZ524327:AMG524327 AVV524327:AWC524327 BFR524327:BFY524327 BPN524327:BPU524327 BZJ524327:BZQ524327 CJF524327:CJM524327 CTB524327:CTI524327 DCX524327:DDE524327 DMT524327:DNA524327 DWP524327:DWW524327 EGL524327:EGS524327 EQH524327:EQO524327 FAD524327:FAK524327 FJZ524327:FKG524327 FTV524327:FUC524327 GDR524327:GDY524327 GNN524327:GNU524327 GXJ524327:GXQ524327 HHF524327:HHM524327 HRB524327:HRI524327 IAX524327:IBE524327 IKT524327:ILA524327 IUP524327:IUW524327 JEL524327:JES524327 JOH524327:JOO524327 JYD524327:JYK524327 KHZ524327:KIG524327 KRV524327:KSC524327 LBR524327:LBY524327 LLN524327:LLU524327 LVJ524327:LVQ524327 MFF524327:MFM524327 MPB524327:MPI524327 MYX524327:MZE524327 NIT524327:NJA524327 NSP524327:NSW524327 OCL524327:OCS524327 OMH524327:OMO524327 OWD524327:OWK524327 PFZ524327:PGG524327 PPV524327:PQC524327 PZR524327:PZY524327 QJN524327:QJU524327 QTJ524327:QTQ524327 RDF524327:RDM524327 RNB524327:RNI524327 RWX524327:RXE524327 SGT524327:SHA524327 SQP524327:SQW524327 TAL524327:TAS524327 TKH524327:TKO524327 TUD524327:TUK524327 UDZ524327:UEG524327 UNV524327:UOC524327 UXR524327:UXY524327 VHN524327:VHU524327 VRJ524327:VRQ524327 WBF524327:WBM524327 WLB524327:WLI524327 WUX524327:WVE524327 IL589863:IS589863 SH589863:SO589863 ACD589863:ACK589863 ALZ589863:AMG589863 AVV589863:AWC589863 BFR589863:BFY589863 BPN589863:BPU589863 BZJ589863:BZQ589863 CJF589863:CJM589863 CTB589863:CTI589863 DCX589863:DDE589863 DMT589863:DNA589863 DWP589863:DWW589863 EGL589863:EGS589863 EQH589863:EQO589863 FAD589863:FAK589863 FJZ589863:FKG589863 FTV589863:FUC589863 GDR589863:GDY589863 GNN589863:GNU589863 GXJ589863:GXQ589863 HHF589863:HHM589863 HRB589863:HRI589863 IAX589863:IBE589863 IKT589863:ILA589863 IUP589863:IUW589863 JEL589863:JES589863 JOH589863:JOO589863 JYD589863:JYK589863 KHZ589863:KIG589863 KRV589863:KSC589863 LBR589863:LBY589863 LLN589863:LLU589863 LVJ589863:LVQ589863 MFF589863:MFM589863 MPB589863:MPI589863 MYX589863:MZE589863 NIT589863:NJA589863 NSP589863:NSW589863 OCL589863:OCS589863 OMH589863:OMO589863 OWD589863:OWK589863 PFZ589863:PGG589863 PPV589863:PQC589863 PZR589863:PZY589863 QJN589863:QJU589863 QTJ589863:QTQ589863 RDF589863:RDM589863 RNB589863:RNI589863 RWX589863:RXE589863 SGT589863:SHA589863 SQP589863:SQW589863 TAL589863:TAS589863 TKH589863:TKO589863 TUD589863:TUK589863 UDZ589863:UEG589863 UNV589863:UOC589863 UXR589863:UXY589863 VHN589863:VHU589863 VRJ589863:VRQ589863 WBF589863:WBM589863 WLB589863:WLI589863 WUX589863:WVE589863 IL655399:IS655399 SH655399:SO655399 ACD655399:ACK655399 ALZ655399:AMG655399 AVV655399:AWC655399 BFR655399:BFY655399 BPN655399:BPU655399 BZJ655399:BZQ655399 CJF655399:CJM655399 CTB655399:CTI655399 DCX655399:DDE655399 DMT655399:DNA655399 DWP655399:DWW655399 EGL655399:EGS655399 EQH655399:EQO655399 FAD655399:FAK655399 FJZ655399:FKG655399 FTV655399:FUC655399 GDR655399:GDY655399 GNN655399:GNU655399 GXJ655399:GXQ655399 HHF655399:HHM655399 HRB655399:HRI655399 IAX655399:IBE655399 IKT655399:ILA655399 IUP655399:IUW655399 JEL655399:JES655399 JOH655399:JOO655399 JYD655399:JYK655399 KHZ655399:KIG655399 KRV655399:KSC655399 LBR655399:LBY655399 LLN655399:LLU655399 LVJ655399:LVQ655399 MFF655399:MFM655399 MPB655399:MPI655399 MYX655399:MZE655399 NIT655399:NJA655399 NSP655399:NSW655399 OCL655399:OCS655399 OMH655399:OMO655399 OWD655399:OWK655399 PFZ655399:PGG655399 PPV655399:PQC655399 PZR655399:PZY655399 QJN655399:QJU655399 QTJ655399:QTQ655399 RDF655399:RDM655399 RNB655399:RNI655399 RWX655399:RXE655399 SGT655399:SHA655399 SQP655399:SQW655399 TAL655399:TAS655399 TKH655399:TKO655399 TUD655399:TUK655399 UDZ655399:UEG655399 UNV655399:UOC655399 UXR655399:UXY655399 VHN655399:VHU655399 VRJ655399:VRQ655399 WBF655399:WBM655399 WLB655399:WLI655399 WUX655399:WVE655399 IL720935:IS720935 SH720935:SO720935 ACD720935:ACK720935 ALZ720935:AMG720935 AVV720935:AWC720935 BFR720935:BFY720935 BPN720935:BPU720935 BZJ720935:BZQ720935 CJF720935:CJM720935 CTB720935:CTI720935 DCX720935:DDE720935 DMT720935:DNA720935 DWP720935:DWW720935 EGL720935:EGS720935 EQH720935:EQO720935 FAD720935:FAK720935 FJZ720935:FKG720935 FTV720935:FUC720935 GDR720935:GDY720935 GNN720935:GNU720935 GXJ720935:GXQ720935 HHF720935:HHM720935 HRB720935:HRI720935 IAX720935:IBE720935 IKT720935:ILA720935 IUP720935:IUW720935 JEL720935:JES720935 JOH720935:JOO720935 JYD720935:JYK720935 KHZ720935:KIG720935 KRV720935:KSC720935 LBR720935:LBY720935 LLN720935:LLU720935 LVJ720935:LVQ720935 MFF720935:MFM720935 MPB720935:MPI720935 MYX720935:MZE720935 NIT720935:NJA720935 NSP720935:NSW720935 OCL720935:OCS720935 OMH720935:OMO720935 OWD720935:OWK720935 PFZ720935:PGG720935 PPV720935:PQC720935 PZR720935:PZY720935 QJN720935:QJU720935 QTJ720935:QTQ720935 RDF720935:RDM720935 RNB720935:RNI720935 RWX720935:RXE720935 SGT720935:SHA720935 SQP720935:SQW720935 TAL720935:TAS720935 TKH720935:TKO720935 TUD720935:TUK720935 UDZ720935:UEG720935 UNV720935:UOC720935 UXR720935:UXY720935 VHN720935:VHU720935 VRJ720935:VRQ720935 WBF720935:WBM720935 WLB720935:WLI720935 WUX720935:WVE720935 IL786471:IS786471 SH786471:SO786471 ACD786471:ACK786471 ALZ786471:AMG786471 AVV786471:AWC786471 BFR786471:BFY786471 BPN786471:BPU786471 BZJ786471:BZQ786471 CJF786471:CJM786471 CTB786471:CTI786471 DCX786471:DDE786471 DMT786471:DNA786471 DWP786471:DWW786471 EGL786471:EGS786471 EQH786471:EQO786471 FAD786471:FAK786471 FJZ786471:FKG786471 FTV786471:FUC786471 GDR786471:GDY786471 GNN786471:GNU786471 GXJ786471:GXQ786471 HHF786471:HHM786471 HRB786471:HRI786471 IAX786471:IBE786471 IKT786471:ILA786471 IUP786471:IUW786471 JEL786471:JES786471 JOH786471:JOO786471 JYD786471:JYK786471 KHZ786471:KIG786471 KRV786471:KSC786471 LBR786471:LBY786471 LLN786471:LLU786471 LVJ786471:LVQ786471 MFF786471:MFM786471 MPB786471:MPI786471 MYX786471:MZE786471 NIT786471:NJA786471 NSP786471:NSW786471 OCL786471:OCS786471 OMH786471:OMO786471 OWD786471:OWK786471 PFZ786471:PGG786471 PPV786471:PQC786471 PZR786471:PZY786471 QJN786471:QJU786471 QTJ786471:QTQ786471 RDF786471:RDM786471 RNB786471:RNI786471 RWX786471:RXE786471 SGT786471:SHA786471 SQP786471:SQW786471 TAL786471:TAS786471 TKH786471:TKO786471 TUD786471:TUK786471 UDZ786471:UEG786471 UNV786471:UOC786471 UXR786471:UXY786471 VHN786471:VHU786471 VRJ786471:VRQ786471 WBF786471:WBM786471 WLB786471:WLI786471 WUX786471:WVE786471 IL852007:IS852007 SH852007:SO852007 ACD852007:ACK852007 ALZ852007:AMG852007 AVV852007:AWC852007 BFR852007:BFY852007 BPN852007:BPU852007 BZJ852007:BZQ852007 CJF852007:CJM852007 CTB852007:CTI852007 DCX852007:DDE852007 DMT852007:DNA852007 DWP852007:DWW852007 EGL852007:EGS852007 EQH852007:EQO852007 FAD852007:FAK852007 FJZ852007:FKG852007 FTV852007:FUC852007 GDR852007:GDY852007 GNN852007:GNU852007 GXJ852007:GXQ852007 HHF852007:HHM852007 HRB852007:HRI852007 IAX852007:IBE852007 IKT852007:ILA852007 IUP852007:IUW852007 JEL852007:JES852007 JOH852007:JOO852007 JYD852007:JYK852007 KHZ852007:KIG852007 KRV852007:KSC852007 LBR852007:LBY852007 LLN852007:LLU852007 LVJ852007:LVQ852007 MFF852007:MFM852007 MPB852007:MPI852007 MYX852007:MZE852007 NIT852007:NJA852007 NSP852007:NSW852007 OCL852007:OCS852007 OMH852007:OMO852007 OWD852007:OWK852007 PFZ852007:PGG852007 PPV852007:PQC852007 PZR852007:PZY852007 QJN852007:QJU852007 QTJ852007:QTQ852007 RDF852007:RDM852007 RNB852007:RNI852007 RWX852007:RXE852007 SGT852007:SHA852007 SQP852007:SQW852007 TAL852007:TAS852007 TKH852007:TKO852007 TUD852007:TUK852007 UDZ852007:UEG852007 UNV852007:UOC852007 UXR852007:UXY852007 VHN852007:VHU852007 VRJ852007:VRQ852007 WBF852007:WBM852007 WLB852007:WLI852007 WUX852007:WVE852007 IL917543:IS917543 SH917543:SO917543 ACD917543:ACK917543 ALZ917543:AMG917543 AVV917543:AWC917543 BFR917543:BFY917543 BPN917543:BPU917543 BZJ917543:BZQ917543 CJF917543:CJM917543 CTB917543:CTI917543 DCX917543:DDE917543 DMT917543:DNA917543 DWP917543:DWW917543 EGL917543:EGS917543 EQH917543:EQO917543 FAD917543:FAK917543 FJZ917543:FKG917543 FTV917543:FUC917543 GDR917543:GDY917543 GNN917543:GNU917543 GXJ917543:GXQ917543 HHF917543:HHM917543 HRB917543:HRI917543 IAX917543:IBE917543 IKT917543:ILA917543 IUP917543:IUW917543 JEL917543:JES917543 JOH917543:JOO917543 JYD917543:JYK917543 KHZ917543:KIG917543 KRV917543:KSC917543 LBR917543:LBY917543 LLN917543:LLU917543 LVJ917543:LVQ917543 MFF917543:MFM917543 MPB917543:MPI917543 MYX917543:MZE917543 NIT917543:NJA917543 NSP917543:NSW917543 OCL917543:OCS917543 OMH917543:OMO917543 OWD917543:OWK917543 PFZ917543:PGG917543 PPV917543:PQC917543 PZR917543:PZY917543 QJN917543:QJU917543 QTJ917543:QTQ917543 RDF917543:RDM917543 RNB917543:RNI917543 RWX917543:RXE917543 SGT917543:SHA917543 SQP917543:SQW917543 TAL917543:TAS917543 TKH917543:TKO917543 TUD917543:TUK917543 UDZ917543:UEG917543 UNV917543:UOC917543 UXR917543:UXY917543 VHN917543:VHU917543 VRJ917543:VRQ917543 WBF917543:WBM917543 WLB917543:WLI917543 WUX917543:WVE917543 IL983079:IS983079 SH983079:SO983079 ACD983079:ACK983079 ALZ983079:AMG983079 AVV983079:AWC983079 BFR983079:BFY983079 BPN983079:BPU983079 BZJ983079:BZQ983079 CJF983079:CJM983079 CTB983079:CTI983079 DCX983079:DDE983079 DMT983079:DNA983079 DWP983079:DWW983079 EGL983079:EGS983079 EQH983079:EQO983079 FAD983079:FAK983079 FJZ983079:FKG983079 FTV983079:FUC983079 GDR983079:GDY983079 GNN983079:GNU983079 GXJ983079:GXQ983079 HHF983079:HHM983079 HRB983079:HRI983079 IAX983079:IBE983079 IKT983079:ILA983079 IUP983079:IUW983079 JEL983079:JES983079 JOH983079:JOO983079 JYD983079:JYK983079 KHZ983079:KIG983079 KRV983079:KSC983079 LBR983079:LBY983079 LLN983079:LLU983079 LVJ983079:LVQ983079 MFF983079:MFM983079 MPB983079:MPI983079 MYX983079:MZE983079 NIT983079:NJA983079 NSP983079:NSW983079 OCL983079:OCS983079 OMH983079:OMO983079 OWD983079:OWK983079 PFZ983079:PGG983079 PPV983079:PQC983079 PZR983079:PZY983079 QJN983079:QJU983079 QTJ983079:QTQ983079 RDF983079:RDM983079 RNB983079:RNI983079 RWX983079:RXE983079 SGT983079:SHA983079 SQP983079:SQW983079 TAL983079:TAS983079 TKH983079:TKO983079 TUD983079:TUK983079 UDZ983079:UEG983079 UNV983079:UOC983079 UXR983079:UXY983079 VHN983079:VHU983079 VRJ983079:VRQ983079 WBF983079:WBM983079 WLB983079:WLI983079 WUX983079:WVE983079 D983079:T983079 D65575:T65575 D131111:T131111 D196647:T196647 D262183:T262183 D327719:T327719 D393255:T393255 D458791:T458791 D524327:T524327 D589863:T589863 D655399:T655399 D720935:T720935 D786471:T786471 D852007:T852007 D917543:T917543 D3:T3">
      <formula1>#REF!</formula1>
    </dataValidation>
  </dataValidations>
  <pageMargins left="0.59055118110236227" right="0.59055118110236227" top="0.59055118110236227" bottom="0.59055118110236227" header="0" footer="0"/>
  <pageSetup paperSize="8" scale="65" fitToHeight="0" orientation="landscape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77"/>
  <sheetViews>
    <sheetView tabSelected="1" view="pageBreakPreview" topLeftCell="C28" zoomScale="85" zoomScaleNormal="85" zoomScaleSheetLayoutView="85" workbookViewId="0">
      <selection activeCell="Q83" sqref="Q83"/>
    </sheetView>
  </sheetViews>
  <sheetFormatPr defaultColWidth="9.140625" defaultRowHeight="15"/>
  <cols>
    <col min="1" max="1" width="5.5703125" style="36" customWidth="1"/>
    <col min="2" max="2" width="31" style="36" bestFit="1" customWidth="1"/>
    <col min="3" max="3" width="22.5703125" style="36" customWidth="1"/>
    <col min="4" max="4" width="11.42578125" style="36" customWidth="1"/>
    <col min="5" max="5" width="12.7109375" style="36" customWidth="1"/>
    <col min="6" max="6" width="12.42578125" style="36" customWidth="1"/>
    <col min="7" max="7" width="11" style="36" customWidth="1"/>
    <col min="8" max="12" width="16.140625" style="36" hidden="1" customWidth="1"/>
    <col min="13" max="13" width="15.42578125" style="36" customWidth="1"/>
    <col min="14" max="21" width="16" style="36" customWidth="1"/>
    <col min="22" max="22" width="12.5703125" style="36" customWidth="1"/>
    <col min="23" max="26" width="9.140625" style="36"/>
    <col min="27" max="27" width="8.28515625" style="36" customWidth="1"/>
    <col min="28" max="28" width="7.7109375" style="36" customWidth="1"/>
    <col min="29" max="29" width="6.140625" style="36" customWidth="1"/>
    <col min="30" max="16384" width="9.140625" style="36"/>
  </cols>
  <sheetData>
    <row r="2" spans="2:31" s="37" customFormat="1" ht="18.75">
      <c r="B2" s="472" t="s">
        <v>212</v>
      </c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4"/>
      <c r="V2" s="40"/>
      <c r="W2" s="40"/>
    </row>
    <row r="3" spans="2:31" ht="15.75" customHeight="1">
      <c r="B3" s="475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6"/>
      <c r="Q3" s="476"/>
      <c r="R3" s="476"/>
      <c r="S3" s="476"/>
      <c r="T3" s="476"/>
      <c r="U3" s="477"/>
      <c r="V3" s="41"/>
      <c r="W3" s="41"/>
    </row>
    <row r="4" spans="2:31" s="38" customFormat="1" ht="16.5" customHeight="1">
      <c r="B4" s="483" t="s">
        <v>213</v>
      </c>
      <c r="C4" s="480" t="s">
        <v>214</v>
      </c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2"/>
      <c r="O4" s="480" t="s">
        <v>215</v>
      </c>
      <c r="P4" s="481"/>
      <c r="Q4" s="482"/>
      <c r="R4" s="484" t="s">
        <v>216</v>
      </c>
      <c r="S4" s="484" t="s">
        <v>217</v>
      </c>
      <c r="T4" s="484" t="s">
        <v>218</v>
      </c>
      <c r="U4" s="484" t="s">
        <v>219</v>
      </c>
      <c r="V4" s="42"/>
      <c r="W4" s="42"/>
    </row>
    <row r="5" spans="2:31" s="38" customFormat="1" ht="16.5" customHeight="1">
      <c r="B5" s="483"/>
      <c r="C5" s="478" t="s">
        <v>220</v>
      </c>
      <c r="D5" s="478" t="s">
        <v>221</v>
      </c>
      <c r="E5" s="478" t="s">
        <v>222</v>
      </c>
      <c r="F5" s="478" t="s">
        <v>223</v>
      </c>
      <c r="G5" s="483" t="s">
        <v>224</v>
      </c>
      <c r="H5" s="483"/>
      <c r="I5" s="483"/>
      <c r="J5" s="483" t="s">
        <v>225</v>
      </c>
      <c r="K5" s="483"/>
      <c r="L5" s="483"/>
      <c r="M5" s="484" t="s">
        <v>226</v>
      </c>
      <c r="N5" s="484" t="s">
        <v>227</v>
      </c>
      <c r="O5" s="478" t="s">
        <v>228</v>
      </c>
      <c r="P5" s="478" t="s">
        <v>229</v>
      </c>
      <c r="Q5" s="478" t="s">
        <v>230</v>
      </c>
      <c r="R5" s="484"/>
      <c r="S5" s="484"/>
      <c r="T5" s="484"/>
      <c r="U5" s="484"/>
      <c r="V5" s="42"/>
      <c r="W5" s="42"/>
    </row>
    <row r="6" spans="2:31" s="38" customFormat="1" ht="31.5">
      <c r="B6" s="483"/>
      <c r="C6" s="485"/>
      <c r="D6" s="479"/>
      <c r="E6" s="479"/>
      <c r="F6" s="479"/>
      <c r="G6" s="172" t="s">
        <v>231</v>
      </c>
      <c r="H6" s="172" t="s">
        <v>222</v>
      </c>
      <c r="I6" s="172" t="s">
        <v>223</v>
      </c>
      <c r="J6" s="172" t="s">
        <v>231</v>
      </c>
      <c r="K6" s="172" t="s">
        <v>222</v>
      </c>
      <c r="L6" s="172" t="s">
        <v>223</v>
      </c>
      <c r="M6" s="484"/>
      <c r="N6" s="484"/>
      <c r="O6" s="485"/>
      <c r="P6" s="485"/>
      <c r="Q6" s="485"/>
      <c r="R6" s="484"/>
      <c r="S6" s="484"/>
      <c r="T6" s="484"/>
      <c r="U6" s="484"/>
      <c r="V6" s="41"/>
      <c r="W6" s="41"/>
      <c r="X6" s="36"/>
      <c r="Y6" s="36"/>
      <c r="Z6" s="36"/>
      <c r="AA6" s="36"/>
      <c r="AB6" s="36"/>
      <c r="AC6" s="36"/>
      <c r="AD6" s="36"/>
      <c r="AE6" s="36"/>
    </row>
    <row r="7" spans="2:31" s="38" customFormat="1" ht="15.75">
      <c r="B7" s="483"/>
      <c r="C7" s="479"/>
      <c r="D7" s="172" t="s">
        <v>232</v>
      </c>
      <c r="E7" s="172" t="s">
        <v>233</v>
      </c>
      <c r="F7" s="172" t="s">
        <v>234</v>
      </c>
      <c r="G7" s="172" t="s">
        <v>232</v>
      </c>
      <c r="H7" s="172" t="s">
        <v>233</v>
      </c>
      <c r="I7" s="172" t="s">
        <v>234</v>
      </c>
      <c r="J7" s="172" t="s">
        <v>232</v>
      </c>
      <c r="K7" s="172" t="s">
        <v>233</v>
      </c>
      <c r="L7" s="172" t="s">
        <v>234</v>
      </c>
      <c r="M7" s="172" t="s">
        <v>233</v>
      </c>
      <c r="N7" s="172" t="s">
        <v>234</v>
      </c>
      <c r="O7" s="479"/>
      <c r="P7" s="479"/>
      <c r="Q7" s="479"/>
      <c r="R7" s="172" t="s">
        <v>233</v>
      </c>
      <c r="S7" s="172" t="s">
        <v>234</v>
      </c>
      <c r="T7" s="172" t="s">
        <v>233</v>
      </c>
      <c r="U7" s="172" t="s">
        <v>233</v>
      </c>
      <c r="V7" s="42"/>
      <c r="W7" s="42"/>
    </row>
    <row r="8" spans="2:31" s="38" customFormat="1" ht="15.75">
      <c r="B8" s="486" t="s">
        <v>235</v>
      </c>
      <c r="C8" s="171" t="s">
        <v>236</v>
      </c>
      <c r="D8" s="170">
        <v>4</v>
      </c>
      <c r="E8" s="168">
        <f t="shared" ref="E8:E33" si="0">5.1*1.2</f>
        <v>6.1199999999999992</v>
      </c>
      <c r="F8" s="168">
        <f t="shared" ref="F8:F33" si="1">1.2*2+1.5</f>
        <v>3.9</v>
      </c>
      <c r="G8" s="169"/>
      <c r="H8" s="168"/>
      <c r="I8" s="168"/>
      <c r="J8" s="169"/>
      <c r="K8" s="168"/>
      <c r="L8" s="168"/>
      <c r="M8" s="168">
        <f t="shared" ref="M8:M33" si="2">D8*E8</f>
        <v>24.479999999999997</v>
      </c>
      <c r="N8" s="168">
        <f t="shared" ref="N8:N33" si="3">D8*F8</f>
        <v>15.6</v>
      </c>
      <c r="O8" s="168">
        <v>0</v>
      </c>
      <c r="P8" s="168">
        <f t="shared" ref="P8:P33" si="4">O8</f>
        <v>0</v>
      </c>
      <c r="Q8" s="168">
        <f t="shared" ref="Q8:Q33" si="5">O8*1.2</f>
        <v>0</v>
      </c>
      <c r="R8" s="168">
        <f t="shared" ref="R8:R33" si="6">M8+Q8</f>
        <v>24.479999999999997</v>
      </c>
      <c r="S8" s="168">
        <f t="shared" ref="S8:S33" si="7">N8+P8</f>
        <v>15.6</v>
      </c>
      <c r="T8" s="168">
        <f t="shared" ref="T8:T33" si="8">0.2*S8</f>
        <v>3.12</v>
      </c>
      <c r="U8" s="168">
        <f t="shared" ref="U8:U33" si="9">R8</f>
        <v>24.479999999999997</v>
      </c>
      <c r="V8" s="42"/>
      <c r="W8" s="42"/>
    </row>
    <row r="9" spans="2:31" s="38" customFormat="1" ht="15.75">
      <c r="B9" s="486"/>
      <c r="C9" s="171" t="s">
        <v>237</v>
      </c>
      <c r="D9" s="170">
        <v>4</v>
      </c>
      <c r="E9" s="168">
        <f t="shared" si="0"/>
        <v>6.1199999999999992</v>
      </c>
      <c r="F9" s="168">
        <f t="shared" si="1"/>
        <v>3.9</v>
      </c>
      <c r="G9" s="169"/>
      <c r="H9" s="168"/>
      <c r="I9" s="168"/>
      <c r="J9" s="169"/>
      <c r="K9" s="168"/>
      <c r="L9" s="168"/>
      <c r="M9" s="168">
        <f t="shared" si="2"/>
        <v>24.479999999999997</v>
      </c>
      <c r="N9" s="168">
        <f t="shared" si="3"/>
        <v>15.6</v>
      </c>
      <c r="O9" s="168">
        <v>0</v>
      </c>
      <c r="P9" s="168">
        <f t="shared" si="4"/>
        <v>0</v>
      </c>
      <c r="Q9" s="168">
        <f t="shared" si="5"/>
        <v>0</v>
      </c>
      <c r="R9" s="168">
        <f t="shared" si="6"/>
        <v>24.479999999999997</v>
      </c>
      <c r="S9" s="168">
        <f t="shared" si="7"/>
        <v>15.6</v>
      </c>
      <c r="T9" s="168">
        <f t="shared" si="8"/>
        <v>3.12</v>
      </c>
      <c r="U9" s="168">
        <f t="shared" si="9"/>
        <v>24.479999999999997</v>
      </c>
      <c r="V9" s="42"/>
      <c r="W9" s="42"/>
    </row>
    <row r="10" spans="2:31" s="38" customFormat="1" ht="15.75">
      <c r="B10" s="486" t="s">
        <v>238</v>
      </c>
      <c r="C10" s="171" t="s">
        <v>236</v>
      </c>
      <c r="D10" s="170">
        <v>2</v>
      </c>
      <c r="E10" s="168">
        <f t="shared" si="0"/>
        <v>6.1199999999999992</v>
      </c>
      <c r="F10" s="168">
        <f t="shared" si="1"/>
        <v>3.9</v>
      </c>
      <c r="G10" s="169"/>
      <c r="H10" s="168"/>
      <c r="I10" s="168"/>
      <c r="J10" s="169"/>
      <c r="K10" s="168"/>
      <c r="L10" s="168"/>
      <c r="M10" s="168">
        <f t="shared" si="2"/>
        <v>12.239999999999998</v>
      </c>
      <c r="N10" s="168">
        <f t="shared" si="3"/>
        <v>7.8</v>
      </c>
      <c r="O10" s="168">
        <v>0</v>
      </c>
      <c r="P10" s="168">
        <f t="shared" si="4"/>
        <v>0</v>
      </c>
      <c r="Q10" s="168">
        <f t="shared" si="5"/>
        <v>0</v>
      </c>
      <c r="R10" s="168">
        <f t="shared" si="6"/>
        <v>12.239999999999998</v>
      </c>
      <c r="S10" s="168">
        <f t="shared" si="7"/>
        <v>7.8</v>
      </c>
      <c r="T10" s="168">
        <f t="shared" si="8"/>
        <v>1.56</v>
      </c>
      <c r="U10" s="168">
        <f t="shared" si="9"/>
        <v>12.239999999999998</v>
      </c>
      <c r="V10" s="42"/>
      <c r="W10" s="42"/>
    </row>
    <row r="11" spans="2:31" s="38" customFormat="1" ht="15.75">
      <c r="B11" s="486"/>
      <c r="C11" s="171" t="s">
        <v>237</v>
      </c>
      <c r="D11" s="170">
        <v>2</v>
      </c>
      <c r="E11" s="168">
        <f t="shared" si="0"/>
        <v>6.1199999999999992</v>
      </c>
      <c r="F11" s="168">
        <f t="shared" si="1"/>
        <v>3.9</v>
      </c>
      <c r="G11" s="169"/>
      <c r="H11" s="168"/>
      <c r="I11" s="168"/>
      <c r="J11" s="169"/>
      <c r="K11" s="168"/>
      <c r="L11" s="168"/>
      <c r="M11" s="168">
        <f t="shared" si="2"/>
        <v>12.239999999999998</v>
      </c>
      <c r="N11" s="168">
        <f t="shared" si="3"/>
        <v>7.8</v>
      </c>
      <c r="O11" s="168">
        <v>0</v>
      </c>
      <c r="P11" s="168">
        <f t="shared" si="4"/>
        <v>0</v>
      </c>
      <c r="Q11" s="168">
        <f t="shared" si="5"/>
        <v>0</v>
      </c>
      <c r="R11" s="168">
        <f t="shared" si="6"/>
        <v>12.239999999999998</v>
      </c>
      <c r="S11" s="168">
        <f t="shared" si="7"/>
        <v>7.8</v>
      </c>
      <c r="T11" s="168">
        <f t="shared" si="8"/>
        <v>1.56</v>
      </c>
      <c r="U11" s="168">
        <f t="shared" si="9"/>
        <v>12.239999999999998</v>
      </c>
      <c r="V11" s="42"/>
      <c r="W11" s="42"/>
    </row>
    <row r="12" spans="2:31" s="38" customFormat="1" ht="15.75">
      <c r="B12" s="486" t="s">
        <v>239</v>
      </c>
      <c r="C12" s="171" t="s">
        <v>236</v>
      </c>
      <c r="D12" s="170">
        <v>0</v>
      </c>
      <c r="E12" s="168">
        <f t="shared" si="0"/>
        <v>6.1199999999999992</v>
      </c>
      <c r="F12" s="168">
        <f t="shared" si="1"/>
        <v>3.9</v>
      </c>
      <c r="G12" s="169"/>
      <c r="H12" s="168"/>
      <c r="I12" s="168"/>
      <c r="J12" s="169"/>
      <c r="K12" s="168"/>
      <c r="L12" s="168"/>
      <c r="M12" s="168">
        <f t="shared" si="2"/>
        <v>0</v>
      </c>
      <c r="N12" s="168">
        <f t="shared" si="3"/>
        <v>0</v>
      </c>
      <c r="O12" s="168">
        <v>0</v>
      </c>
      <c r="P12" s="168">
        <f t="shared" si="4"/>
        <v>0</v>
      </c>
      <c r="Q12" s="168">
        <f t="shared" si="5"/>
        <v>0</v>
      </c>
      <c r="R12" s="168">
        <f t="shared" si="6"/>
        <v>0</v>
      </c>
      <c r="S12" s="168">
        <f t="shared" si="7"/>
        <v>0</v>
      </c>
      <c r="T12" s="168">
        <f t="shared" si="8"/>
        <v>0</v>
      </c>
      <c r="U12" s="168">
        <f t="shared" si="9"/>
        <v>0</v>
      </c>
      <c r="V12" s="42"/>
      <c r="W12" s="42"/>
    </row>
    <row r="13" spans="2:31" s="38" customFormat="1" ht="15.75">
      <c r="B13" s="486"/>
      <c r="C13" s="171" t="s">
        <v>237</v>
      </c>
      <c r="D13" s="170">
        <v>0</v>
      </c>
      <c r="E13" s="168">
        <f t="shared" si="0"/>
        <v>6.1199999999999992</v>
      </c>
      <c r="F13" s="168">
        <f t="shared" si="1"/>
        <v>3.9</v>
      </c>
      <c r="G13" s="169"/>
      <c r="H13" s="168"/>
      <c r="I13" s="168"/>
      <c r="J13" s="169"/>
      <c r="K13" s="168"/>
      <c r="L13" s="168"/>
      <c r="M13" s="168">
        <f t="shared" si="2"/>
        <v>0</v>
      </c>
      <c r="N13" s="168">
        <f t="shared" si="3"/>
        <v>0</v>
      </c>
      <c r="O13" s="168">
        <v>0</v>
      </c>
      <c r="P13" s="168">
        <f t="shared" si="4"/>
        <v>0</v>
      </c>
      <c r="Q13" s="168">
        <f t="shared" si="5"/>
        <v>0</v>
      </c>
      <c r="R13" s="168">
        <f t="shared" si="6"/>
        <v>0</v>
      </c>
      <c r="S13" s="168">
        <f t="shared" si="7"/>
        <v>0</v>
      </c>
      <c r="T13" s="168">
        <f t="shared" si="8"/>
        <v>0</v>
      </c>
      <c r="U13" s="168">
        <f t="shared" si="9"/>
        <v>0</v>
      </c>
      <c r="V13" s="42"/>
      <c r="W13" s="42"/>
    </row>
    <row r="14" spans="2:31" s="38" customFormat="1" ht="15.75">
      <c r="B14" s="486" t="s">
        <v>128</v>
      </c>
      <c r="C14" s="171" t="s">
        <v>236</v>
      </c>
      <c r="D14" s="170">
        <v>2</v>
      </c>
      <c r="E14" s="168">
        <f t="shared" si="0"/>
        <v>6.1199999999999992</v>
      </c>
      <c r="F14" s="168">
        <f t="shared" si="1"/>
        <v>3.9</v>
      </c>
      <c r="G14" s="169"/>
      <c r="H14" s="168"/>
      <c r="I14" s="168"/>
      <c r="J14" s="169"/>
      <c r="K14" s="168"/>
      <c r="L14" s="168"/>
      <c r="M14" s="168">
        <f t="shared" si="2"/>
        <v>12.239999999999998</v>
      </c>
      <c r="N14" s="168">
        <f t="shared" si="3"/>
        <v>7.8</v>
      </c>
      <c r="O14" s="168">
        <v>0</v>
      </c>
      <c r="P14" s="168">
        <f t="shared" si="4"/>
        <v>0</v>
      </c>
      <c r="Q14" s="168">
        <f t="shared" si="5"/>
        <v>0</v>
      </c>
      <c r="R14" s="168">
        <f t="shared" si="6"/>
        <v>12.239999999999998</v>
      </c>
      <c r="S14" s="168">
        <f t="shared" si="7"/>
        <v>7.8</v>
      </c>
      <c r="T14" s="168">
        <f t="shared" si="8"/>
        <v>1.56</v>
      </c>
      <c r="U14" s="168">
        <f t="shared" si="9"/>
        <v>12.239999999999998</v>
      </c>
      <c r="V14" s="42"/>
      <c r="W14" s="42"/>
    </row>
    <row r="15" spans="2:31" s="38" customFormat="1" ht="15.75">
      <c r="B15" s="486"/>
      <c r="C15" s="171" t="s">
        <v>237</v>
      </c>
      <c r="D15" s="170">
        <v>4</v>
      </c>
      <c r="E15" s="168">
        <f t="shared" si="0"/>
        <v>6.1199999999999992</v>
      </c>
      <c r="F15" s="168">
        <f t="shared" si="1"/>
        <v>3.9</v>
      </c>
      <c r="G15" s="169"/>
      <c r="H15" s="168"/>
      <c r="I15" s="168"/>
      <c r="J15" s="169"/>
      <c r="K15" s="168"/>
      <c r="L15" s="168"/>
      <c r="M15" s="168">
        <f t="shared" si="2"/>
        <v>24.479999999999997</v>
      </c>
      <c r="N15" s="168">
        <f t="shared" si="3"/>
        <v>15.6</v>
      </c>
      <c r="O15" s="168">
        <v>0</v>
      </c>
      <c r="P15" s="168">
        <f t="shared" si="4"/>
        <v>0</v>
      </c>
      <c r="Q15" s="168">
        <f t="shared" si="5"/>
        <v>0</v>
      </c>
      <c r="R15" s="168">
        <f t="shared" si="6"/>
        <v>24.479999999999997</v>
      </c>
      <c r="S15" s="168">
        <f t="shared" si="7"/>
        <v>15.6</v>
      </c>
      <c r="T15" s="168">
        <f t="shared" si="8"/>
        <v>3.12</v>
      </c>
      <c r="U15" s="168">
        <f t="shared" si="9"/>
        <v>24.479999999999997</v>
      </c>
      <c r="V15" s="42"/>
      <c r="W15" s="42"/>
    </row>
    <row r="16" spans="2:31" s="38" customFormat="1" ht="15.75">
      <c r="B16" s="486" t="s">
        <v>131</v>
      </c>
      <c r="C16" s="171" t="s">
        <v>236</v>
      </c>
      <c r="D16" s="170">
        <v>2</v>
      </c>
      <c r="E16" s="168">
        <f t="shared" si="0"/>
        <v>6.1199999999999992</v>
      </c>
      <c r="F16" s="168">
        <f t="shared" si="1"/>
        <v>3.9</v>
      </c>
      <c r="G16" s="169"/>
      <c r="H16" s="168"/>
      <c r="I16" s="168"/>
      <c r="J16" s="169"/>
      <c r="K16" s="168"/>
      <c r="L16" s="168"/>
      <c r="M16" s="168">
        <f t="shared" si="2"/>
        <v>12.239999999999998</v>
      </c>
      <c r="N16" s="168">
        <f t="shared" si="3"/>
        <v>7.8</v>
      </c>
      <c r="O16" s="168">
        <v>0</v>
      </c>
      <c r="P16" s="168">
        <f t="shared" si="4"/>
        <v>0</v>
      </c>
      <c r="Q16" s="168">
        <f t="shared" si="5"/>
        <v>0</v>
      </c>
      <c r="R16" s="168">
        <f t="shared" si="6"/>
        <v>12.239999999999998</v>
      </c>
      <c r="S16" s="168">
        <f t="shared" si="7"/>
        <v>7.8</v>
      </c>
      <c r="T16" s="168">
        <f t="shared" si="8"/>
        <v>1.56</v>
      </c>
      <c r="U16" s="168">
        <f t="shared" si="9"/>
        <v>12.239999999999998</v>
      </c>
      <c r="V16" s="42"/>
      <c r="W16" s="42"/>
    </row>
    <row r="17" spans="2:23" s="38" customFormat="1" ht="15.75">
      <c r="B17" s="486"/>
      <c r="C17" s="171" t="s">
        <v>237</v>
      </c>
      <c r="D17" s="170">
        <v>2</v>
      </c>
      <c r="E17" s="168">
        <f t="shared" si="0"/>
        <v>6.1199999999999992</v>
      </c>
      <c r="F17" s="168">
        <f t="shared" si="1"/>
        <v>3.9</v>
      </c>
      <c r="G17" s="169"/>
      <c r="H17" s="168"/>
      <c r="I17" s="168"/>
      <c r="J17" s="169"/>
      <c r="K17" s="168"/>
      <c r="L17" s="168"/>
      <c r="M17" s="168">
        <f t="shared" si="2"/>
        <v>12.239999999999998</v>
      </c>
      <c r="N17" s="168">
        <f t="shared" si="3"/>
        <v>7.8</v>
      </c>
      <c r="O17" s="168">
        <v>0</v>
      </c>
      <c r="P17" s="168">
        <f t="shared" si="4"/>
        <v>0</v>
      </c>
      <c r="Q17" s="168">
        <f t="shared" si="5"/>
        <v>0</v>
      </c>
      <c r="R17" s="168">
        <f t="shared" si="6"/>
        <v>12.239999999999998</v>
      </c>
      <c r="S17" s="168">
        <f t="shared" si="7"/>
        <v>7.8</v>
      </c>
      <c r="T17" s="168">
        <f t="shared" si="8"/>
        <v>1.56</v>
      </c>
      <c r="U17" s="168">
        <f t="shared" si="9"/>
        <v>12.239999999999998</v>
      </c>
      <c r="V17" s="42"/>
      <c r="W17" s="42"/>
    </row>
    <row r="18" spans="2:23" s="38" customFormat="1" ht="15.75">
      <c r="B18" s="486" t="s">
        <v>116</v>
      </c>
      <c r="C18" s="171" t="s">
        <v>236</v>
      </c>
      <c r="D18" s="170">
        <v>2</v>
      </c>
      <c r="E18" s="168">
        <f t="shared" si="0"/>
        <v>6.1199999999999992</v>
      </c>
      <c r="F18" s="168">
        <f t="shared" si="1"/>
        <v>3.9</v>
      </c>
      <c r="G18" s="169"/>
      <c r="H18" s="168"/>
      <c r="I18" s="168"/>
      <c r="J18" s="169"/>
      <c r="K18" s="168"/>
      <c r="L18" s="168"/>
      <c r="M18" s="168">
        <f t="shared" si="2"/>
        <v>12.239999999999998</v>
      </c>
      <c r="N18" s="168">
        <f t="shared" si="3"/>
        <v>7.8</v>
      </c>
      <c r="O18" s="168">
        <v>0</v>
      </c>
      <c r="P18" s="168">
        <f t="shared" si="4"/>
        <v>0</v>
      </c>
      <c r="Q18" s="168">
        <f t="shared" si="5"/>
        <v>0</v>
      </c>
      <c r="R18" s="168">
        <f t="shared" si="6"/>
        <v>12.239999999999998</v>
      </c>
      <c r="S18" s="168">
        <f t="shared" si="7"/>
        <v>7.8</v>
      </c>
      <c r="T18" s="168">
        <f t="shared" si="8"/>
        <v>1.56</v>
      </c>
      <c r="U18" s="168">
        <f t="shared" si="9"/>
        <v>12.239999999999998</v>
      </c>
      <c r="V18" s="42"/>
      <c r="W18" s="42"/>
    </row>
    <row r="19" spans="2:23" s="38" customFormat="1" ht="15.75">
      <c r="B19" s="486"/>
      <c r="C19" s="171" t="s">
        <v>237</v>
      </c>
      <c r="D19" s="170">
        <v>2</v>
      </c>
      <c r="E19" s="168">
        <f t="shared" si="0"/>
        <v>6.1199999999999992</v>
      </c>
      <c r="F19" s="168">
        <f t="shared" si="1"/>
        <v>3.9</v>
      </c>
      <c r="G19" s="169"/>
      <c r="H19" s="168"/>
      <c r="I19" s="168"/>
      <c r="J19" s="169"/>
      <c r="K19" s="168"/>
      <c r="L19" s="168"/>
      <c r="M19" s="168">
        <f t="shared" si="2"/>
        <v>12.239999999999998</v>
      </c>
      <c r="N19" s="168">
        <f t="shared" si="3"/>
        <v>7.8</v>
      </c>
      <c r="O19" s="168">
        <v>0</v>
      </c>
      <c r="P19" s="168">
        <f t="shared" si="4"/>
        <v>0</v>
      </c>
      <c r="Q19" s="168">
        <f t="shared" si="5"/>
        <v>0</v>
      </c>
      <c r="R19" s="168">
        <f t="shared" si="6"/>
        <v>12.239999999999998</v>
      </c>
      <c r="S19" s="168">
        <f t="shared" si="7"/>
        <v>7.8</v>
      </c>
      <c r="T19" s="168">
        <f t="shared" si="8"/>
        <v>1.56</v>
      </c>
      <c r="U19" s="168">
        <f t="shared" si="9"/>
        <v>12.239999999999998</v>
      </c>
      <c r="V19" s="42"/>
      <c r="W19" s="42"/>
    </row>
    <row r="20" spans="2:23" s="38" customFormat="1" ht="15.75">
      <c r="B20" s="486" t="s">
        <v>124</v>
      </c>
      <c r="C20" s="171" t="s">
        <v>236</v>
      </c>
      <c r="D20" s="170">
        <v>6</v>
      </c>
      <c r="E20" s="168">
        <f t="shared" si="0"/>
        <v>6.1199999999999992</v>
      </c>
      <c r="F20" s="168">
        <f t="shared" si="1"/>
        <v>3.9</v>
      </c>
      <c r="G20" s="169"/>
      <c r="H20" s="168"/>
      <c r="I20" s="168"/>
      <c r="J20" s="169"/>
      <c r="K20" s="168"/>
      <c r="L20" s="168"/>
      <c r="M20" s="168">
        <f t="shared" si="2"/>
        <v>36.72</v>
      </c>
      <c r="N20" s="168">
        <f t="shared" si="3"/>
        <v>23.4</v>
      </c>
      <c r="O20" s="168">
        <v>0</v>
      </c>
      <c r="P20" s="168">
        <f t="shared" si="4"/>
        <v>0</v>
      </c>
      <c r="Q20" s="168">
        <f t="shared" si="5"/>
        <v>0</v>
      </c>
      <c r="R20" s="168">
        <f t="shared" si="6"/>
        <v>36.72</v>
      </c>
      <c r="S20" s="168">
        <f t="shared" si="7"/>
        <v>23.4</v>
      </c>
      <c r="T20" s="168">
        <f t="shared" si="8"/>
        <v>4.68</v>
      </c>
      <c r="U20" s="168">
        <f t="shared" si="9"/>
        <v>36.72</v>
      </c>
      <c r="V20" s="42"/>
      <c r="W20" s="42"/>
    </row>
    <row r="21" spans="2:23" s="38" customFormat="1" ht="15.75">
      <c r="B21" s="486"/>
      <c r="C21" s="171" t="s">
        <v>237</v>
      </c>
      <c r="D21" s="170">
        <v>6</v>
      </c>
      <c r="E21" s="168">
        <f t="shared" si="0"/>
        <v>6.1199999999999992</v>
      </c>
      <c r="F21" s="168">
        <f t="shared" si="1"/>
        <v>3.9</v>
      </c>
      <c r="G21" s="169"/>
      <c r="H21" s="168"/>
      <c r="I21" s="168"/>
      <c r="J21" s="169"/>
      <c r="K21" s="168"/>
      <c r="L21" s="168"/>
      <c r="M21" s="168">
        <f t="shared" si="2"/>
        <v>36.72</v>
      </c>
      <c r="N21" s="168">
        <f t="shared" si="3"/>
        <v>23.4</v>
      </c>
      <c r="O21" s="168">
        <v>0</v>
      </c>
      <c r="P21" s="168">
        <f t="shared" si="4"/>
        <v>0</v>
      </c>
      <c r="Q21" s="168">
        <f t="shared" si="5"/>
        <v>0</v>
      </c>
      <c r="R21" s="168">
        <f t="shared" si="6"/>
        <v>36.72</v>
      </c>
      <c r="S21" s="168">
        <f t="shared" si="7"/>
        <v>23.4</v>
      </c>
      <c r="T21" s="168">
        <f t="shared" si="8"/>
        <v>4.68</v>
      </c>
      <c r="U21" s="168">
        <f t="shared" si="9"/>
        <v>36.72</v>
      </c>
      <c r="V21" s="42"/>
      <c r="W21" s="42"/>
    </row>
    <row r="22" spans="2:23" s="38" customFormat="1" ht="15.75">
      <c r="B22" s="486" t="s">
        <v>119</v>
      </c>
      <c r="C22" s="171" t="s">
        <v>236</v>
      </c>
      <c r="D22" s="170">
        <v>2</v>
      </c>
      <c r="E22" s="168">
        <f t="shared" si="0"/>
        <v>6.1199999999999992</v>
      </c>
      <c r="F22" s="168">
        <f t="shared" si="1"/>
        <v>3.9</v>
      </c>
      <c r="G22" s="169"/>
      <c r="H22" s="168"/>
      <c r="I22" s="168"/>
      <c r="J22" s="169"/>
      <c r="K22" s="168"/>
      <c r="L22" s="168"/>
      <c r="M22" s="168">
        <f t="shared" si="2"/>
        <v>12.239999999999998</v>
      </c>
      <c r="N22" s="168">
        <f t="shared" si="3"/>
        <v>7.8</v>
      </c>
      <c r="O22" s="168">
        <v>0</v>
      </c>
      <c r="P22" s="168">
        <f t="shared" si="4"/>
        <v>0</v>
      </c>
      <c r="Q22" s="168">
        <f t="shared" si="5"/>
        <v>0</v>
      </c>
      <c r="R22" s="168">
        <f t="shared" si="6"/>
        <v>12.239999999999998</v>
      </c>
      <c r="S22" s="168">
        <f t="shared" si="7"/>
        <v>7.8</v>
      </c>
      <c r="T22" s="168">
        <f t="shared" si="8"/>
        <v>1.56</v>
      </c>
      <c r="U22" s="168">
        <f t="shared" si="9"/>
        <v>12.239999999999998</v>
      </c>
      <c r="V22" s="42"/>
      <c r="W22" s="42"/>
    </row>
    <row r="23" spans="2:23" s="38" customFormat="1" ht="20.25" customHeight="1">
      <c r="B23" s="486"/>
      <c r="C23" s="171" t="s">
        <v>237</v>
      </c>
      <c r="D23" s="170">
        <v>2</v>
      </c>
      <c r="E23" s="168">
        <f t="shared" si="0"/>
        <v>6.1199999999999992</v>
      </c>
      <c r="F23" s="168">
        <f t="shared" si="1"/>
        <v>3.9</v>
      </c>
      <c r="G23" s="169"/>
      <c r="H23" s="168"/>
      <c r="I23" s="168"/>
      <c r="J23" s="169"/>
      <c r="K23" s="168"/>
      <c r="L23" s="168"/>
      <c r="M23" s="168">
        <f t="shared" si="2"/>
        <v>12.239999999999998</v>
      </c>
      <c r="N23" s="168">
        <f t="shared" si="3"/>
        <v>7.8</v>
      </c>
      <c r="O23" s="168">
        <v>0</v>
      </c>
      <c r="P23" s="168">
        <f t="shared" si="4"/>
        <v>0</v>
      </c>
      <c r="Q23" s="168">
        <f t="shared" si="5"/>
        <v>0</v>
      </c>
      <c r="R23" s="168">
        <f t="shared" si="6"/>
        <v>12.239999999999998</v>
      </c>
      <c r="S23" s="168">
        <f t="shared" si="7"/>
        <v>7.8</v>
      </c>
      <c r="T23" s="168">
        <f t="shared" si="8"/>
        <v>1.56</v>
      </c>
      <c r="U23" s="168">
        <f t="shared" si="9"/>
        <v>12.239999999999998</v>
      </c>
      <c r="V23" s="42"/>
      <c r="W23" s="42"/>
    </row>
    <row r="24" spans="2:23" s="38" customFormat="1" ht="15.75">
      <c r="B24" s="486" t="s">
        <v>120</v>
      </c>
      <c r="C24" s="171" t="s">
        <v>236</v>
      </c>
      <c r="D24" s="170">
        <v>4</v>
      </c>
      <c r="E24" s="168">
        <f t="shared" si="0"/>
        <v>6.1199999999999992</v>
      </c>
      <c r="F24" s="168">
        <f t="shared" si="1"/>
        <v>3.9</v>
      </c>
      <c r="G24" s="169"/>
      <c r="H24" s="168"/>
      <c r="I24" s="168"/>
      <c r="J24" s="169"/>
      <c r="K24" s="168"/>
      <c r="L24" s="168"/>
      <c r="M24" s="168">
        <f t="shared" si="2"/>
        <v>24.479999999999997</v>
      </c>
      <c r="N24" s="168">
        <f t="shared" si="3"/>
        <v>15.6</v>
      </c>
      <c r="O24" s="168">
        <v>0</v>
      </c>
      <c r="P24" s="168">
        <f t="shared" si="4"/>
        <v>0</v>
      </c>
      <c r="Q24" s="168">
        <f t="shared" si="5"/>
        <v>0</v>
      </c>
      <c r="R24" s="168">
        <f t="shared" si="6"/>
        <v>24.479999999999997</v>
      </c>
      <c r="S24" s="168">
        <f t="shared" si="7"/>
        <v>15.6</v>
      </c>
      <c r="T24" s="168">
        <f t="shared" si="8"/>
        <v>3.12</v>
      </c>
      <c r="U24" s="168">
        <f t="shared" si="9"/>
        <v>24.479999999999997</v>
      </c>
      <c r="V24" s="42"/>
      <c r="W24" s="42"/>
    </row>
    <row r="25" spans="2:23" s="38" customFormat="1" ht="15.75">
      <c r="B25" s="486"/>
      <c r="C25" s="171" t="s">
        <v>237</v>
      </c>
      <c r="D25" s="170">
        <v>4</v>
      </c>
      <c r="E25" s="168">
        <f t="shared" si="0"/>
        <v>6.1199999999999992</v>
      </c>
      <c r="F25" s="168">
        <f t="shared" si="1"/>
        <v>3.9</v>
      </c>
      <c r="G25" s="169"/>
      <c r="H25" s="168"/>
      <c r="I25" s="168"/>
      <c r="J25" s="169"/>
      <c r="K25" s="168"/>
      <c r="L25" s="168"/>
      <c r="M25" s="168">
        <f t="shared" si="2"/>
        <v>24.479999999999997</v>
      </c>
      <c r="N25" s="168">
        <f t="shared" si="3"/>
        <v>15.6</v>
      </c>
      <c r="O25" s="168">
        <v>0</v>
      </c>
      <c r="P25" s="168">
        <f t="shared" si="4"/>
        <v>0</v>
      </c>
      <c r="Q25" s="168">
        <f t="shared" si="5"/>
        <v>0</v>
      </c>
      <c r="R25" s="168">
        <f t="shared" si="6"/>
        <v>24.479999999999997</v>
      </c>
      <c r="S25" s="168">
        <f t="shared" si="7"/>
        <v>15.6</v>
      </c>
      <c r="T25" s="168">
        <f t="shared" si="8"/>
        <v>3.12</v>
      </c>
      <c r="U25" s="168">
        <f t="shared" si="9"/>
        <v>24.479999999999997</v>
      </c>
      <c r="V25" s="42"/>
      <c r="W25" s="42"/>
    </row>
    <row r="26" spans="2:23" s="38" customFormat="1" ht="15.75">
      <c r="B26" s="486" t="s">
        <v>240</v>
      </c>
      <c r="C26" s="171" t="s">
        <v>236</v>
      </c>
      <c r="D26" s="170">
        <v>0</v>
      </c>
      <c r="E26" s="168">
        <f t="shared" si="0"/>
        <v>6.1199999999999992</v>
      </c>
      <c r="F26" s="168">
        <f t="shared" si="1"/>
        <v>3.9</v>
      </c>
      <c r="G26" s="169"/>
      <c r="H26" s="168"/>
      <c r="I26" s="168"/>
      <c r="J26" s="169"/>
      <c r="K26" s="168"/>
      <c r="L26" s="168"/>
      <c r="M26" s="168">
        <f t="shared" si="2"/>
        <v>0</v>
      </c>
      <c r="N26" s="168">
        <f t="shared" si="3"/>
        <v>0</v>
      </c>
      <c r="O26" s="168">
        <v>0</v>
      </c>
      <c r="P26" s="168">
        <f t="shared" si="4"/>
        <v>0</v>
      </c>
      <c r="Q26" s="168">
        <f t="shared" si="5"/>
        <v>0</v>
      </c>
      <c r="R26" s="168">
        <f t="shared" si="6"/>
        <v>0</v>
      </c>
      <c r="S26" s="168">
        <f t="shared" si="7"/>
        <v>0</v>
      </c>
      <c r="T26" s="168">
        <f t="shared" si="8"/>
        <v>0</v>
      </c>
      <c r="U26" s="168">
        <f t="shared" si="9"/>
        <v>0</v>
      </c>
      <c r="V26" s="42"/>
      <c r="W26" s="42"/>
    </row>
    <row r="27" spans="2:23" s="38" customFormat="1" ht="15.75">
      <c r="B27" s="486"/>
      <c r="C27" s="171" t="s">
        <v>237</v>
      </c>
      <c r="D27" s="170">
        <v>0</v>
      </c>
      <c r="E27" s="168">
        <f t="shared" si="0"/>
        <v>6.1199999999999992</v>
      </c>
      <c r="F27" s="168">
        <f t="shared" si="1"/>
        <v>3.9</v>
      </c>
      <c r="G27" s="169"/>
      <c r="H27" s="168"/>
      <c r="I27" s="168"/>
      <c r="J27" s="169"/>
      <c r="K27" s="168"/>
      <c r="L27" s="168"/>
      <c r="M27" s="168">
        <f t="shared" si="2"/>
        <v>0</v>
      </c>
      <c r="N27" s="168">
        <f t="shared" si="3"/>
        <v>0</v>
      </c>
      <c r="O27" s="168">
        <v>0</v>
      </c>
      <c r="P27" s="168">
        <f t="shared" si="4"/>
        <v>0</v>
      </c>
      <c r="Q27" s="168">
        <f t="shared" si="5"/>
        <v>0</v>
      </c>
      <c r="R27" s="168">
        <f t="shared" si="6"/>
        <v>0</v>
      </c>
      <c r="S27" s="168">
        <f t="shared" si="7"/>
        <v>0</v>
      </c>
      <c r="T27" s="168">
        <f t="shared" si="8"/>
        <v>0</v>
      </c>
      <c r="U27" s="168">
        <f t="shared" si="9"/>
        <v>0</v>
      </c>
      <c r="V27" s="42"/>
      <c r="W27" s="42"/>
    </row>
    <row r="28" spans="2:23" s="38" customFormat="1" ht="15.75">
      <c r="B28" s="486" t="s">
        <v>118</v>
      </c>
      <c r="C28" s="171" t="s">
        <v>236</v>
      </c>
      <c r="D28" s="170">
        <v>1</v>
      </c>
      <c r="E28" s="168">
        <f t="shared" si="0"/>
        <v>6.1199999999999992</v>
      </c>
      <c r="F28" s="168">
        <f t="shared" si="1"/>
        <v>3.9</v>
      </c>
      <c r="G28" s="169"/>
      <c r="H28" s="168"/>
      <c r="I28" s="168"/>
      <c r="J28" s="169"/>
      <c r="K28" s="168"/>
      <c r="L28" s="168"/>
      <c r="M28" s="168">
        <f t="shared" si="2"/>
        <v>6.1199999999999992</v>
      </c>
      <c r="N28" s="168">
        <f t="shared" si="3"/>
        <v>3.9</v>
      </c>
      <c r="O28" s="168">
        <v>0</v>
      </c>
      <c r="P28" s="168">
        <f t="shared" si="4"/>
        <v>0</v>
      </c>
      <c r="Q28" s="168">
        <f t="shared" si="5"/>
        <v>0</v>
      </c>
      <c r="R28" s="168">
        <f t="shared" si="6"/>
        <v>6.1199999999999992</v>
      </c>
      <c r="S28" s="168">
        <f t="shared" si="7"/>
        <v>3.9</v>
      </c>
      <c r="T28" s="168">
        <f t="shared" si="8"/>
        <v>0.78</v>
      </c>
      <c r="U28" s="168">
        <f t="shared" si="9"/>
        <v>6.1199999999999992</v>
      </c>
      <c r="V28" s="42"/>
      <c r="W28" s="42"/>
    </row>
    <row r="29" spans="2:23" s="38" customFormat="1" ht="15.75">
      <c r="B29" s="486"/>
      <c r="C29" s="171" t="s">
        <v>237</v>
      </c>
      <c r="D29" s="170">
        <v>1</v>
      </c>
      <c r="E29" s="168">
        <f t="shared" si="0"/>
        <v>6.1199999999999992</v>
      </c>
      <c r="F29" s="168">
        <f t="shared" si="1"/>
        <v>3.9</v>
      </c>
      <c r="G29" s="169"/>
      <c r="H29" s="168"/>
      <c r="I29" s="168"/>
      <c r="J29" s="169"/>
      <c r="K29" s="168"/>
      <c r="L29" s="168"/>
      <c r="M29" s="168">
        <f t="shared" si="2"/>
        <v>6.1199999999999992</v>
      </c>
      <c r="N29" s="168">
        <f t="shared" si="3"/>
        <v>3.9</v>
      </c>
      <c r="O29" s="168">
        <v>0</v>
      </c>
      <c r="P29" s="168">
        <f t="shared" si="4"/>
        <v>0</v>
      </c>
      <c r="Q29" s="168">
        <f t="shared" si="5"/>
        <v>0</v>
      </c>
      <c r="R29" s="168">
        <f t="shared" si="6"/>
        <v>6.1199999999999992</v>
      </c>
      <c r="S29" s="168">
        <f t="shared" si="7"/>
        <v>3.9</v>
      </c>
      <c r="T29" s="168">
        <f t="shared" si="8"/>
        <v>0.78</v>
      </c>
      <c r="U29" s="168">
        <f t="shared" si="9"/>
        <v>6.1199999999999992</v>
      </c>
      <c r="V29" s="42"/>
      <c r="W29" s="42"/>
    </row>
    <row r="30" spans="2:23" s="38" customFormat="1" ht="15.75">
      <c r="B30" s="486" t="s">
        <v>241</v>
      </c>
      <c r="C30" s="171" t="s">
        <v>236</v>
      </c>
      <c r="D30" s="170">
        <v>0</v>
      </c>
      <c r="E30" s="168">
        <f t="shared" si="0"/>
        <v>6.1199999999999992</v>
      </c>
      <c r="F30" s="168">
        <f t="shared" si="1"/>
        <v>3.9</v>
      </c>
      <c r="G30" s="169"/>
      <c r="H30" s="168"/>
      <c r="I30" s="168"/>
      <c r="J30" s="169"/>
      <c r="K30" s="168"/>
      <c r="L30" s="168"/>
      <c r="M30" s="168">
        <f t="shared" si="2"/>
        <v>0</v>
      </c>
      <c r="N30" s="168">
        <f t="shared" si="3"/>
        <v>0</v>
      </c>
      <c r="O30" s="168">
        <v>0</v>
      </c>
      <c r="P30" s="168">
        <f t="shared" si="4"/>
        <v>0</v>
      </c>
      <c r="Q30" s="168">
        <f t="shared" si="5"/>
        <v>0</v>
      </c>
      <c r="R30" s="168">
        <f t="shared" si="6"/>
        <v>0</v>
      </c>
      <c r="S30" s="168">
        <f t="shared" si="7"/>
        <v>0</v>
      </c>
      <c r="T30" s="168">
        <f t="shared" si="8"/>
        <v>0</v>
      </c>
      <c r="U30" s="168">
        <f t="shared" si="9"/>
        <v>0</v>
      </c>
      <c r="V30" s="42"/>
      <c r="W30" s="42"/>
    </row>
    <row r="31" spans="2:23" s="38" customFormat="1" ht="15.75">
      <c r="B31" s="486"/>
      <c r="C31" s="171" t="s">
        <v>237</v>
      </c>
      <c r="D31" s="170">
        <v>0</v>
      </c>
      <c r="E31" s="168">
        <f t="shared" si="0"/>
        <v>6.1199999999999992</v>
      </c>
      <c r="F31" s="168">
        <f t="shared" si="1"/>
        <v>3.9</v>
      </c>
      <c r="G31" s="169"/>
      <c r="H31" s="168"/>
      <c r="I31" s="168"/>
      <c r="J31" s="169"/>
      <c r="K31" s="168"/>
      <c r="L31" s="168"/>
      <c r="M31" s="168">
        <f t="shared" si="2"/>
        <v>0</v>
      </c>
      <c r="N31" s="168">
        <f t="shared" si="3"/>
        <v>0</v>
      </c>
      <c r="O31" s="168">
        <v>0</v>
      </c>
      <c r="P31" s="168">
        <f t="shared" si="4"/>
        <v>0</v>
      </c>
      <c r="Q31" s="168">
        <f t="shared" si="5"/>
        <v>0</v>
      </c>
      <c r="R31" s="168">
        <f t="shared" si="6"/>
        <v>0</v>
      </c>
      <c r="S31" s="168">
        <f t="shared" si="7"/>
        <v>0</v>
      </c>
      <c r="T31" s="168">
        <f t="shared" si="8"/>
        <v>0</v>
      </c>
      <c r="U31" s="168">
        <f t="shared" si="9"/>
        <v>0</v>
      </c>
      <c r="V31" s="42"/>
      <c r="W31" s="42"/>
    </row>
    <row r="32" spans="2:23" s="38" customFormat="1" ht="15.75">
      <c r="B32" s="486" t="s">
        <v>122</v>
      </c>
      <c r="C32" s="171" t="s">
        <v>236</v>
      </c>
      <c r="D32" s="170">
        <v>1</v>
      </c>
      <c r="E32" s="168">
        <f t="shared" si="0"/>
        <v>6.1199999999999992</v>
      </c>
      <c r="F32" s="168">
        <f t="shared" si="1"/>
        <v>3.9</v>
      </c>
      <c r="G32" s="169"/>
      <c r="H32" s="168"/>
      <c r="I32" s="168"/>
      <c r="J32" s="169"/>
      <c r="K32" s="168"/>
      <c r="L32" s="168"/>
      <c r="M32" s="168">
        <f t="shared" si="2"/>
        <v>6.1199999999999992</v>
      </c>
      <c r="N32" s="168">
        <f t="shared" si="3"/>
        <v>3.9</v>
      </c>
      <c r="O32" s="168">
        <v>0</v>
      </c>
      <c r="P32" s="168">
        <f t="shared" si="4"/>
        <v>0</v>
      </c>
      <c r="Q32" s="168">
        <f t="shared" si="5"/>
        <v>0</v>
      </c>
      <c r="R32" s="168">
        <f t="shared" si="6"/>
        <v>6.1199999999999992</v>
      </c>
      <c r="S32" s="168">
        <f t="shared" si="7"/>
        <v>3.9</v>
      </c>
      <c r="T32" s="168">
        <f t="shared" si="8"/>
        <v>0.78</v>
      </c>
      <c r="U32" s="168">
        <f t="shared" si="9"/>
        <v>6.1199999999999992</v>
      </c>
      <c r="V32" s="42"/>
      <c r="W32" s="42"/>
    </row>
    <row r="33" spans="2:23" s="38" customFormat="1" ht="15.75">
      <c r="B33" s="486"/>
      <c r="C33" s="171" t="s">
        <v>237</v>
      </c>
      <c r="D33" s="170">
        <v>1</v>
      </c>
      <c r="E33" s="168">
        <f t="shared" si="0"/>
        <v>6.1199999999999992</v>
      </c>
      <c r="F33" s="168">
        <f t="shared" si="1"/>
        <v>3.9</v>
      </c>
      <c r="G33" s="169"/>
      <c r="H33" s="168"/>
      <c r="I33" s="168"/>
      <c r="J33" s="169"/>
      <c r="K33" s="168"/>
      <c r="L33" s="168"/>
      <c r="M33" s="168">
        <f t="shared" si="2"/>
        <v>6.1199999999999992</v>
      </c>
      <c r="N33" s="168">
        <f t="shared" si="3"/>
        <v>3.9</v>
      </c>
      <c r="O33" s="168">
        <v>0</v>
      </c>
      <c r="P33" s="168">
        <f t="shared" si="4"/>
        <v>0</v>
      </c>
      <c r="Q33" s="168">
        <f t="shared" si="5"/>
        <v>0</v>
      </c>
      <c r="R33" s="168">
        <f t="shared" si="6"/>
        <v>6.1199999999999992</v>
      </c>
      <c r="S33" s="168">
        <f t="shared" si="7"/>
        <v>3.9</v>
      </c>
      <c r="T33" s="168">
        <f t="shared" si="8"/>
        <v>0.78</v>
      </c>
      <c r="U33" s="168">
        <f t="shared" si="9"/>
        <v>6.1199999999999992</v>
      </c>
      <c r="V33" s="42"/>
      <c r="W33" s="42"/>
    </row>
    <row r="34" spans="2:23" ht="15.75">
      <c r="B34" s="163" t="s">
        <v>242</v>
      </c>
      <c r="C34" s="167"/>
      <c r="D34" s="166">
        <f>SUM(D8:D33)</f>
        <v>54</v>
      </c>
      <c r="E34" s="166"/>
      <c r="F34" s="166"/>
      <c r="G34" s="166" t="e">
        <f>SUM(#REF!)</f>
        <v>#REF!</v>
      </c>
      <c r="H34" s="166"/>
      <c r="I34" s="166"/>
      <c r="J34" s="166" t="e">
        <f>SUM(#REF!)</f>
        <v>#REF!</v>
      </c>
      <c r="K34" s="166"/>
      <c r="L34" s="166"/>
      <c r="M34" s="166">
        <f t="shared" ref="M34:U34" si="10">SUM(M8:M33)</f>
        <v>330.48</v>
      </c>
      <c r="N34" s="166">
        <f t="shared" si="10"/>
        <v>210.60000000000002</v>
      </c>
      <c r="O34" s="166">
        <f t="shared" si="10"/>
        <v>0</v>
      </c>
      <c r="P34" s="166">
        <f t="shared" si="10"/>
        <v>0</v>
      </c>
      <c r="Q34" s="166">
        <f t="shared" si="10"/>
        <v>0</v>
      </c>
      <c r="R34" s="166">
        <f t="shared" si="10"/>
        <v>330.48</v>
      </c>
      <c r="S34" s="166">
        <f t="shared" si="10"/>
        <v>210.60000000000002</v>
      </c>
      <c r="T34" s="166">
        <f t="shared" si="10"/>
        <v>42.12</v>
      </c>
      <c r="U34" s="166">
        <f t="shared" si="10"/>
        <v>330.48</v>
      </c>
      <c r="V34" s="41"/>
      <c r="W34" s="41"/>
    </row>
    <row r="35" spans="2:23" ht="15.75"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1"/>
      <c r="O35" s="41"/>
      <c r="P35" s="41"/>
      <c r="Q35" s="41"/>
      <c r="R35" s="43"/>
      <c r="S35" s="43"/>
      <c r="T35" s="44"/>
      <c r="U35" s="44"/>
    </row>
    <row r="36" spans="2:23" ht="20.25" customHeight="1">
      <c r="B36" s="487"/>
      <c r="C36" s="487"/>
      <c r="D36" s="494" t="s">
        <v>243</v>
      </c>
      <c r="E36" s="495"/>
      <c r="F36" s="495"/>
      <c r="G36" s="495"/>
      <c r="H36" s="495"/>
      <c r="I36" s="495"/>
      <c r="J36" s="495"/>
      <c r="K36" s="495"/>
      <c r="L36" s="495"/>
      <c r="M36" s="496"/>
      <c r="N36" s="488"/>
      <c r="O36" s="489"/>
      <c r="P36" s="490" t="s">
        <v>244</v>
      </c>
      <c r="Q36" s="491"/>
      <c r="R36" s="491"/>
      <c r="S36" s="491"/>
      <c r="T36" s="492"/>
      <c r="U36" s="487"/>
    </row>
    <row r="37" spans="2:23" ht="15.75">
      <c r="B37" s="487"/>
      <c r="C37" s="487"/>
      <c r="D37" s="193"/>
      <c r="E37" s="173"/>
      <c r="F37" s="173"/>
      <c r="G37" s="165"/>
      <c r="H37" s="165"/>
      <c r="I37" s="165"/>
      <c r="J37" s="165"/>
      <c r="K37" s="164"/>
      <c r="L37" s="41"/>
      <c r="M37" s="194"/>
      <c r="N37" s="41"/>
      <c r="O37" s="41"/>
      <c r="P37" s="190"/>
      <c r="Q37" s="191"/>
      <c r="R37" s="191"/>
      <c r="S37" s="191"/>
      <c r="T37" s="192"/>
      <c r="U37" s="487"/>
    </row>
    <row r="38" spans="2:23" ht="15.75">
      <c r="B38" s="487"/>
      <c r="C38" s="487"/>
      <c r="D38" s="174"/>
      <c r="E38" s="46" t="s">
        <v>245</v>
      </c>
      <c r="F38" s="47">
        <f>S34</f>
        <v>210.60000000000002</v>
      </c>
      <c r="G38" s="44"/>
      <c r="H38" s="44"/>
      <c r="I38" s="45"/>
      <c r="J38" s="45"/>
      <c r="K38" s="44" t="s">
        <v>5</v>
      </c>
      <c r="L38" s="41"/>
      <c r="M38" s="175" t="s">
        <v>5</v>
      </c>
      <c r="N38" s="41"/>
      <c r="O38" s="41"/>
      <c r="P38" s="182"/>
      <c r="Q38" s="45"/>
      <c r="R38" s="46" t="s">
        <v>246</v>
      </c>
      <c r="S38" s="47">
        <f>U34</f>
        <v>330.48</v>
      </c>
      <c r="T38" s="183" t="s">
        <v>91</v>
      </c>
      <c r="U38" s="487"/>
    </row>
    <row r="39" spans="2:23" ht="15.75">
      <c r="B39" s="487"/>
      <c r="C39" s="487"/>
      <c r="D39" s="174"/>
      <c r="E39" s="46" t="s">
        <v>247</v>
      </c>
      <c r="F39" s="48">
        <v>9.5999999999999992E-3</v>
      </c>
      <c r="G39" s="44"/>
      <c r="H39" s="44"/>
      <c r="I39" s="45"/>
      <c r="J39" s="45"/>
      <c r="K39" s="44" t="s">
        <v>248</v>
      </c>
      <c r="L39" s="41"/>
      <c r="M39" s="175" t="s">
        <v>248</v>
      </c>
      <c r="N39" s="41"/>
      <c r="O39" s="41"/>
      <c r="P39" s="182"/>
      <c r="Q39" s="45"/>
      <c r="R39" s="46" t="s">
        <v>249</v>
      </c>
      <c r="S39" s="49">
        <v>7.0000000000000007E-2</v>
      </c>
      <c r="T39" s="183" t="s">
        <v>5</v>
      </c>
      <c r="U39" s="487"/>
    </row>
    <row r="40" spans="2:23" ht="16.5" customHeight="1">
      <c r="B40" s="487"/>
      <c r="C40" s="487"/>
      <c r="D40" s="174"/>
      <c r="E40" s="46" t="s">
        <v>250</v>
      </c>
      <c r="F40" s="50">
        <v>148</v>
      </c>
      <c r="G40" s="44"/>
      <c r="H40" s="44"/>
      <c r="I40" s="45"/>
      <c r="J40" s="45"/>
      <c r="K40" s="44" t="s">
        <v>251</v>
      </c>
      <c r="L40" s="41"/>
      <c r="M40" s="175" t="s">
        <v>251</v>
      </c>
      <c r="N40" s="41"/>
      <c r="O40" s="41"/>
      <c r="P40" s="182"/>
      <c r="Q40" s="45"/>
      <c r="R40" s="46" t="s">
        <v>252</v>
      </c>
      <c r="S40" s="51">
        <f>S39*S38</f>
        <v>23.133600000000005</v>
      </c>
      <c r="T40" s="184" t="s">
        <v>4</v>
      </c>
      <c r="U40" s="487"/>
    </row>
    <row r="41" spans="2:23" ht="15.75">
      <c r="B41" s="487"/>
      <c r="C41" s="487"/>
      <c r="D41" s="497" t="s">
        <v>253</v>
      </c>
      <c r="E41" s="498"/>
      <c r="F41" s="47">
        <f>TRUNC((F39*F38)*30,2)</f>
        <v>60.65</v>
      </c>
      <c r="G41" s="44"/>
      <c r="H41" s="44"/>
      <c r="I41" s="45"/>
      <c r="J41" s="45"/>
      <c r="K41" s="44" t="s">
        <v>254</v>
      </c>
      <c r="L41" s="41"/>
      <c r="M41" s="175" t="s">
        <v>254</v>
      </c>
      <c r="N41" s="41"/>
      <c r="O41" s="41"/>
      <c r="P41" s="185"/>
      <c r="Q41" s="52"/>
      <c r="R41" s="46" t="s">
        <v>255</v>
      </c>
      <c r="S41" s="47">
        <f>T34</f>
        <v>42.12</v>
      </c>
      <c r="T41" s="183" t="s">
        <v>91</v>
      </c>
      <c r="U41" s="487"/>
    </row>
    <row r="42" spans="2:23" ht="15.75">
      <c r="B42" s="487"/>
      <c r="C42" s="487"/>
      <c r="D42" s="497" t="s">
        <v>256</v>
      </c>
      <c r="E42" s="498"/>
      <c r="F42" s="47">
        <f>TRUNC((F39*F38)*(F40-30),2)</f>
        <v>238.56</v>
      </c>
      <c r="G42" s="43"/>
      <c r="H42" s="43"/>
      <c r="I42" s="45"/>
      <c r="J42" s="45"/>
      <c r="K42" s="44" t="s">
        <v>254</v>
      </c>
      <c r="L42" s="41"/>
      <c r="M42" s="175" t="s">
        <v>254</v>
      </c>
      <c r="N42" s="41"/>
      <c r="O42" s="41"/>
      <c r="P42" s="182"/>
      <c r="Q42" s="45"/>
      <c r="R42" s="46" t="s">
        <v>257</v>
      </c>
      <c r="S42" s="49">
        <v>3.5000000000000003E-2</v>
      </c>
      <c r="T42" s="183" t="s">
        <v>5</v>
      </c>
      <c r="U42" s="487"/>
    </row>
    <row r="43" spans="2:23" ht="15.75">
      <c r="B43" s="487"/>
      <c r="C43" s="487"/>
      <c r="D43" s="176"/>
      <c r="E43" s="177"/>
      <c r="F43" s="178"/>
      <c r="G43" s="178"/>
      <c r="H43" s="178"/>
      <c r="I43" s="178"/>
      <c r="J43" s="179"/>
      <c r="K43" s="178"/>
      <c r="L43" s="180"/>
      <c r="M43" s="181"/>
      <c r="N43" s="41"/>
      <c r="O43" s="41"/>
      <c r="P43" s="182"/>
      <c r="Q43" s="45"/>
      <c r="R43" s="46" t="s">
        <v>258</v>
      </c>
      <c r="S43" s="51">
        <f>S42*S41</f>
        <v>1.4742</v>
      </c>
      <c r="T43" s="184" t="s">
        <v>4</v>
      </c>
      <c r="U43" s="487"/>
    </row>
    <row r="44" spans="2:23" ht="15.75">
      <c r="B44" s="43"/>
      <c r="C44" s="43"/>
      <c r="D44" s="43"/>
      <c r="E44" s="43"/>
      <c r="F44" s="43"/>
      <c r="G44" s="43"/>
      <c r="H44" s="43"/>
      <c r="I44" s="43"/>
      <c r="J44" s="47"/>
      <c r="K44" s="43"/>
      <c r="L44" s="41"/>
      <c r="M44" s="41"/>
      <c r="N44" s="41"/>
      <c r="O44" s="41"/>
      <c r="P44" s="186"/>
      <c r="Q44" s="178"/>
      <c r="R44" s="187" t="s">
        <v>259</v>
      </c>
      <c r="S44" s="188">
        <f>S43+S40</f>
        <v>24.607800000000005</v>
      </c>
      <c r="T44" s="189" t="s">
        <v>4</v>
      </c>
      <c r="U44" s="487"/>
    </row>
    <row r="45" spans="2:23" ht="15.75">
      <c r="B45" s="43"/>
      <c r="C45" s="43"/>
      <c r="D45" s="43"/>
      <c r="E45" s="43"/>
      <c r="F45" s="43"/>
      <c r="G45" s="43"/>
      <c r="H45" s="43"/>
      <c r="I45" s="43"/>
      <c r="J45" s="47"/>
      <c r="K45" s="43"/>
      <c r="L45" s="41"/>
      <c r="M45" s="41"/>
      <c r="N45" s="41"/>
      <c r="O45" s="41"/>
      <c r="P45" s="43"/>
      <c r="Q45" s="43"/>
      <c r="R45" s="46"/>
      <c r="S45" s="51"/>
      <c r="T45" s="44"/>
      <c r="U45" s="38"/>
    </row>
    <row r="46" spans="2:23" ht="20.25" customHeight="1">
      <c r="P46" s="493" t="s">
        <v>366</v>
      </c>
      <c r="Q46" s="493"/>
      <c r="R46" s="493"/>
      <c r="S46" s="493"/>
      <c r="T46" s="493"/>
    </row>
    <row r="47" spans="2:23" ht="15.75">
      <c r="P47" s="358"/>
      <c r="Q47" s="359"/>
      <c r="R47" s="359"/>
      <c r="S47" s="359"/>
      <c r="T47" s="360"/>
    </row>
    <row r="48" spans="2:23" ht="16.5" customHeight="1">
      <c r="P48" s="174"/>
      <c r="Q48" s="46" t="s">
        <v>367</v>
      </c>
      <c r="R48" s="47">
        <f>S40</f>
        <v>23.133600000000005</v>
      </c>
      <c r="S48" s="44"/>
      <c r="T48" s="183"/>
    </row>
    <row r="49" spans="16:20" ht="15.75">
      <c r="P49" s="174"/>
      <c r="Q49" s="46" t="s">
        <v>250</v>
      </c>
      <c r="R49" s="50">
        <v>30</v>
      </c>
      <c r="S49" s="44"/>
      <c r="T49" s="184"/>
    </row>
    <row r="50" spans="16:20" ht="15.75">
      <c r="P50" s="470" t="s">
        <v>253</v>
      </c>
      <c r="Q50" s="471"/>
      <c r="R50" s="179">
        <f>R48*R49*1.3*0.5912</f>
        <v>533.38678848000006</v>
      </c>
      <c r="S50" s="361"/>
      <c r="T50" s="362"/>
    </row>
    <row r="58" spans="16:20" hidden="1"/>
    <row r="59" spans="16:20" hidden="1"/>
    <row r="60" spans="16:20" hidden="1"/>
    <row r="61" spans="16:20" hidden="1"/>
    <row r="62" spans="16:20" hidden="1"/>
    <row r="63" spans="16:20" hidden="1"/>
    <row r="68" ht="28.5" customHeight="1"/>
    <row r="76" ht="21.75" customHeight="1"/>
    <row r="77" hidden="1"/>
  </sheetData>
  <mergeCells count="41">
    <mergeCell ref="P46:T46"/>
    <mergeCell ref="D36:M36"/>
    <mergeCell ref="B36:C43"/>
    <mergeCell ref="D41:E41"/>
    <mergeCell ref="D42:E42"/>
    <mergeCell ref="U36:U44"/>
    <mergeCell ref="N36:O36"/>
    <mergeCell ref="P36:T36"/>
    <mergeCell ref="B20:B21"/>
    <mergeCell ref="B18:B19"/>
    <mergeCell ref="B32:B33"/>
    <mergeCell ref="B28:B29"/>
    <mergeCell ref="B30:B31"/>
    <mergeCell ref="B16:B17"/>
    <mergeCell ref="B22:B23"/>
    <mergeCell ref="B14:B15"/>
    <mergeCell ref="B24:B25"/>
    <mergeCell ref="B26:B27"/>
    <mergeCell ref="B12:B13"/>
    <mergeCell ref="B10:B11"/>
    <mergeCell ref="B8:B9"/>
    <mergeCell ref="B4:B7"/>
    <mergeCell ref="N5:N6"/>
    <mergeCell ref="C5:C7"/>
    <mergeCell ref="G5:I5"/>
    <mergeCell ref="P50:Q50"/>
    <mergeCell ref="B2:U3"/>
    <mergeCell ref="D5:D6"/>
    <mergeCell ref="E5:E6"/>
    <mergeCell ref="F5:F6"/>
    <mergeCell ref="C4:N4"/>
    <mergeCell ref="J5:L5"/>
    <mergeCell ref="M5:M6"/>
    <mergeCell ref="R4:R6"/>
    <mergeCell ref="S4:S6"/>
    <mergeCell ref="T4:T6"/>
    <mergeCell ref="U4:U6"/>
    <mergeCell ref="O5:O7"/>
    <mergeCell ref="P5:P7"/>
    <mergeCell ref="Q5:Q7"/>
    <mergeCell ref="O4:Q4"/>
  </mergeCells>
  <dataValidations disablePrompts="1" count="1">
    <dataValidation type="list" allowBlank="1" showInputMessage="1" showErrorMessage="1" sqref="IK5:IR5 WUW983055:WVD983055 SG5:SN5 ACC5:ACJ5 ALY5:AMF5 AVU5:AWB5 BFQ5:BFX5 BPM5:BPT5 BZI5:BZP5 CJE5:CJL5 CTA5:CTH5 DCW5:DDD5 DMS5:DMZ5 DWO5:DWV5 EGK5:EGR5 EQG5:EQN5 FAC5:FAJ5 FJY5:FKF5 FTU5:FUB5 GDQ5:GDX5 GNM5:GNT5 GXI5:GXP5 HHE5:HHL5 HRA5:HRH5 IAW5:IBD5 IKS5:IKZ5 IUO5:IUV5 JEK5:JER5 JOG5:JON5 JYC5:JYJ5 KHY5:KIF5 KRU5:KSB5 LBQ5:LBX5 LLM5:LLT5 LVI5:LVP5 MFE5:MFL5 MPA5:MPH5 MYW5:MZD5 NIS5:NIZ5 NSO5:NSV5 OCK5:OCR5 OMG5:OMN5 OWC5:OWJ5 PFY5:PGF5 PPU5:PQB5 PZQ5:PZX5 QJM5:QJT5 QTI5:QTP5 RDE5:RDL5 RNA5:RNH5 RWW5:RXD5 SGS5:SGZ5 SQO5:SQV5 TAK5:TAR5 TKG5:TKN5 TUC5:TUJ5 UDY5:UEF5 UNU5:UOB5 UXQ5:UXX5 VHM5:VHT5 VRI5:VRP5 WBE5:WBL5 WLA5:WLH5 WUW5:WVD5 IK65551:IR65551 SG65551:SN65551 ACC65551:ACJ65551 ALY65551:AMF65551 AVU65551:AWB65551 BFQ65551:BFX65551 BPM65551:BPT65551 BZI65551:BZP65551 CJE65551:CJL65551 CTA65551:CTH65551 DCW65551:DDD65551 DMS65551:DMZ65551 DWO65551:DWV65551 EGK65551:EGR65551 EQG65551:EQN65551 FAC65551:FAJ65551 FJY65551:FKF65551 FTU65551:FUB65551 GDQ65551:GDX65551 GNM65551:GNT65551 GXI65551:GXP65551 HHE65551:HHL65551 HRA65551:HRH65551 IAW65551:IBD65551 IKS65551:IKZ65551 IUO65551:IUV65551 JEK65551:JER65551 JOG65551:JON65551 JYC65551:JYJ65551 KHY65551:KIF65551 KRU65551:KSB65551 LBQ65551:LBX65551 LLM65551:LLT65551 LVI65551:LVP65551 MFE65551:MFL65551 MPA65551:MPH65551 MYW65551:MZD65551 NIS65551:NIZ65551 NSO65551:NSV65551 OCK65551:OCR65551 OMG65551:OMN65551 OWC65551:OWJ65551 PFY65551:PGF65551 PPU65551:PQB65551 PZQ65551:PZX65551 QJM65551:QJT65551 QTI65551:QTP65551 RDE65551:RDL65551 RNA65551:RNH65551 RWW65551:RXD65551 SGS65551:SGZ65551 SQO65551:SQV65551 TAK65551:TAR65551 TKG65551:TKN65551 TUC65551:TUJ65551 UDY65551:UEF65551 UNU65551:UOB65551 UXQ65551:UXX65551 VHM65551:VHT65551 VRI65551:VRP65551 WBE65551:WBL65551 WLA65551:WLH65551 WUW65551:WVD65551 IK131087:IR131087 SG131087:SN131087 ACC131087:ACJ131087 ALY131087:AMF131087 AVU131087:AWB131087 BFQ131087:BFX131087 BPM131087:BPT131087 BZI131087:BZP131087 CJE131087:CJL131087 CTA131087:CTH131087 DCW131087:DDD131087 DMS131087:DMZ131087 DWO131087:DWV131087 EGK131087:EGR131087 EQG131087:EQN131087 FAC131087:FAJ131087 FJY131087:FKF131087 FTU131087:FUB131087 GDQ131087:GDX131087 GNM131087:GNT131087 GXI131087:GXP131087 HHE131087:HHL131087 HRA131087:HRH131087 IAW131087:IBD131087 IKS131087:IKZ131087 IUO131087:IUV131087 JEK131087:JER131087 JOG131087:JON131087 JYC131087:JYJ131087 KHY131087:KIF131087 KRU131087:KSB131087 LBQ131087:LBX131087 LLM131087:LLT131087 LVI131087:LVP131087 MFE131087:MFL131087 MPA131087:MPH131087 MYW131087:MZD131087 NIS131087:NIZ131087 NSO131087:NSV131087 OCK131087:OCR131087 OMG131087:OMN131087 OWC131087:OWJ131087 PFY131087:PGF131087 PPU131087:PQB131087 PZQ131087:PZX131087 QJM131087:QJT131087 QTI131087:QTP131087 RDE131087:RDL131087 RNA131087:RNH131087 RWW131087:RXD131087 SGS131087:SGZ131087 SQO131087:SQV131087 TAK131087:TAR131087 TKG131087:TKN131087 TUC131087:TUJ131087 UDY131087:UEF131087 UNU131087:UOB131087 UXQ131087:UXX131087 VHM131087:VHT131087 VRI131087:VRP131087 WBE131087:WBL131087 WLA131087:WLH131087 WUW131087:WVD131087 IK196623:IR196623 SG196623:SN196623 ACC196623:ACJ196623 ALY196623:AMF196623 AVU196623:AWB196623 BFQ196623:BFX196623 BPM196623:BPT196623 BZI196623:BZP196623 CJE196623:CJL196623 CTA196623:CTH196623 DCW196623:DDD196623 DMS196623:DMZ196623 DWO196623:DWV196623 EGK196623:EGR196623 EQG196623:EQN196623 FAC196623:FAJ196623 FJY196623:FKF196623 FTU196623:FUB196623 GDQ196623:GDX196623 GNM196623:GNT196623 GXI196623:GXP196623 HHE196623:HHL196623 HRA196623:HRH196623 IAW196623:IBD196623 IKS196623:IKZ196623 IUO196623:IUV196623 JEK196623:JER196623 JOG196623:JON196623 JYC196623:JYJ196623 KHY196623:KIF196623 KRU196623:KSB196623 LBQ196623:LBX196623 LLM196623:LLT196623 LVI196623:LVP196623 MFE196623:MFL196623 MPA196623:MPH196623 MYW196623:MZD196623 NIS196623:NIZ196623 NSO196623:NSV196623 OCK196623:OCR196623 OMG196623:OMN196623 OWC196623:OWJ196623 PFY196623:PGF196623 PPU196623:PQB196623 PZQ196623:PZX196623 QJM196623:QJT196623 QTI196623:QTP196623 RDE196623:RDL196623 RNA196623:RNH196623 RWW196623:RXD196623 SGS196623:SGZ196623 SQO196623:SQV196623 TAK196623:TAR196623 TKG196623:TKN196623 TUC196623:TUJ196623 UDY196623:UEF196623 UNU196623:UOB196623 UXQ196623:UXX196623 VHM196623:VHT196623 VRI196623:VRP196623 WBE196623:WBL196623 WLA196623:WLH196623 WUW196623:WVD196623 IK262159:IR262159 SG262159:SN262159 ACC262159:ACJ262159 ALY262159:AMF262159 AVU262159:AWB262159 BFQ262159:BFX262159 BPM262159:BPT262159 BZI262159:BZP262159 CJE262159:CJL262159 CTA262159:CTH262159 DCW262159:DDD262159 DMS262159:DMZ262159 DWO262159:DWV262159 EGK262159:EGR262159 EQG262159:EQN262159 FAC262159:FAJ262159 FJY262159:FKF262159 FTU262159:FUB262159 GDQ262159:GDX262159 GNM262159:GNT262159 GXI262159:GXP262159 HHE262159:HHL262159 HRA262159:HRH262159 IAW262159:IBD262159 IKS262159:IKZ262159 IUO262159:IUV262159 JEK262159:JER262159 JOG262159:JON262159 JYC262159:JYJ262159 KHY262159:KIF262159 KRU262159:KSB262159 LBQ262159:LBX262159 LLM262159:LLT262159 LVI262159:LVP262159 MFE262159:MFL262159 MPA262159:MPH262159 MYW262159:MZD262159 NIS262159:NIZ262159 NSO262159:NSV262159 OCK262159:OCR262159 OMG262159:OMN262159 OWC262159:OWJ262159 PFY262159:PGF262159 PPU262159:PQB262159 PZQ262159:PZX262159 QJM262159:QJT262159 QTI262159:QTP262159 RDE262159:RDL262159 RNA262159:RNH262159 RWW262159:RXD262159 SGS262159:SGZ262159 SQO262159:SQV262159 TAK262159:TAR262159 TKG262159:TKN262159 TUC262159:TUJ262159 UDY262159:UEF262159 UNU262159:UOB262159 UXQ262159:UXX262159 VHM262159:VHT262159 VRI262159:VRP262159 WBE262159:WBL262159 WLA262159:WLH262159 WUW262159:WVD262159 IK327695:IR327695 SG327695:SN327695 ACC327695:ACJ327695 ALY327695:AMF327695 AVU327695:AWB327695 BFQ327695:BFX327695 BPM327695:BPT327695 BZI327695:BZP327695 CJE327695:CJL327695 CTA327695:CTH327695 DCW327695:DDD327695 DMS327695:DMZ327695 DWO327695:DWV327695 EGK327695:EGR327695 EQG327695:EQN327695 FAC327695:FAJ327695 FJY327695:FKF327695 FTU327695:FUB327695 GDQ327695:GDX327695 GNM327695:GNT327695 GXI327695:GXP327695 HHE327695:HHL327695 HRA327695:HRH327695 IAW327695:IBD327695 IKS327695:IKZ327695 IUO327695:IUV327695 JEK327695:JER327695 JOG327695:JON327695 JYC327695:JYJ327695 KHY327695:KIF327695 KRU327695:KSB327695 LBQ327695:LBX327695 LLM327695:LLT327695 LVI327695:LVP327695 MFE327695:MFL327695 MPA327695:MPH327695 MYW327695:MZD327695 NIS327695:NIZ327695 NSO327695:NSV327695 OCK327695:OCR327695 OMG327695:OMN327695 OWC327695:OWJ327695 PFY327695:PGF327695 PPU327695:PQB327695 PZQ327695:PZX327695 QJM327695:QJT327695 QTI327695:QTP327695 RDE327695:RDL327695 RNA327695:RNH327695 RWW327695:RXD327695 SGS327695:SGZ327695 SQO327695:SQV327695 TAK327695:TAR327695 TKG327695:TKN327695 TUC327695:TUJ327695 UDY327695:UEF327695 UNU327695:UOB327695 UXQ327695:UXX327695 VHM327695:VHT327695 VRI327695:VRP327695 WBE327695:WBL327695 WLA327695:WLH327695 WUW327695:WVD327695 IK393231:IR393231 SG393231:SN393231 ACC393231:ACJ393231 ALY393231:AMF393231 AVU393231:AWB393231 BFQ393231:BFX393231 BPM393231:BPT393231 BZI393231:BZP393231 CJE393231:CJL393231 CTA393231:CTH393231 DCW393231:DDD393231 DMS393231:DMZ393231 DWO393231:DWV393231 EGK393231:EGR393231 EQG393231:EQN393231 FAC393231:FAJ393231 FJY393231:FKF393231 FTU393231:FUB393231 GDQ393231:GDX393231 GNM393231:GNT393231 GXI393231:GXP393231 HHE393231:HHL393231 HRA393231:HRH393231 IAW393231:IBD393231 IKS393231:IKZ393231 IUO393231:IUV393231 JEK393231:JER393231 JOG393231:JON393231 JYC393231:JYJ393231 KHY393231:KIF393231 KRU393231:KSB393231 LBQ393231:LBX393231 LLM393231:LLT393231 LVI393231:LVP393231 MFE393231:MFL393231 MPA393231:MPH393231 MYW393231:MZD393231 NIS393231:NIZ393231 NSO393231:NSV393231 OCK393231:OCR393231 OMG393231:OMN393231 OWC393231:OWJ393231 PFY393231:PGF393231 PPU393231:PQB393231 PZQ393231:PZX393231 QJM393231:QJT393231 QTI393231:QTP393231 RDE393231:RDL393231 RNA393231:RNH393231 RWW393231:RXD393231 SGS393231:SGZ393231 SQO393231:SQV393231 TAK393231:TAR393231 TKG393231:TKN393231 TUC393231:TUJ393231 UDY393231:UEF393231 UNU393231:UOB393231 UXQ393231:UXX393231 VHM393231:VHT393231 VRI393231:VRP393231 WBE393231:WBL393231 WLA393231:WLH393231 WUW393231:WVD393231 IK458767:IR458767 SG458767:SN458767 ACC458767:ACJ458767 ALY458767:AMF458767 AVU458767:AWB458767 BFQ458767:BFX458767 BPM458767:BPT458767 BZI458767:BZP458767 CJE458767:CJL458767 CTA458767:CTH458767 DCW458767:DDD458767 DMS458767:DMZ458767 DWO458767:DWV458767 EGK458767:EGR458767 EQG458767:EQN458767 FAC458767:FAJ458767 FJY458767:FKF458767 FTU458767:FUB458767 GDQ458767:GDX458767 GNM458767:GNT458767 GXI458767:GXP458767 HHE458767:HHL458767 HRA458767:HRH458767 IAW458767:IBD458767 IKS458767:IKZ458767 IUO458767:IUV458767 JEK458767:JER458767 JOG458767:JON458767 JYC458767:JYJ458767 KHY458767:KIF458767 KRU458767:KSB458767 LBQ458767:LBX458767 LLM458767:LLT458767 LVI458767:LVP458767 MFE458767:MFL458767 MPA458767:MPH458767 MYW458767:MZD458767 NIS458767:NIZ458767 NSO458767:NSV458767 OCK458767:OCR458767 OMG458767:OMN458767 OWC458767:OWJ458767 PFY458767:PGF458767 PPU458767:PQB458767 PZQ458767:PZX458767 QJM458767:QJT458767 QTI458767:QTP458767 RDE458767:RDL458767 RNA458767:RNH458767 RWW458767:RXD458767 SGS458767:SGZ458767 SQO458767:SQV458767 TAK458767:TAR458767 TKG458767:TKN458767 TUC458767:TUJ458767 UDY458767:UEF458767 UNU458767:UOB458767 UXQ458767:UXX458767 VHM458767:VHT458767 VRI458767:VRP458767 WBE458767:WBL458767 WLA458767:WLH458767 WUW458767:WVD458767 IK524303:IR524303 SG524303:SN524303 ACC524303:ACJ524303 ALY524303:AMF524303 AVU524303:AWB524303 BFQ524303:BFX524303 BPM524303:BPT524303 BZI524303:BZP524303 CJE524303:CJL524303 CTA524303:CTH524303 DCW524303:DDD524303 DMS524303:DMZ524303 DWO524303:DWV524303 EGK524303:EGR524303 EQG524303:EQN524303 FAC524303:FAJ524303 FJY524303:FKF524303 FTU524303:FUB524303 GDQ524303:GDX524303 GNM524303:GNT524303 GXI524303:GXP524303 HHE524303:HHL524303 HRA524303:HRH524303 IAW524303:IBD524303 IKS524303:IKZ524303 IUO524303:IUV524303 JEK524303:JER524303 JOG524303:JON524303 JYC524303:JYJ524303 KHY524303:KIF524303 KRU524303:KSB524303 LBQ524303:LBX524303 LLM524303:LLT524303 LVI524303:LVP524303 MFE524303:MFL524303 MPA524303:MPH524303 MYW524303:MZD524303 NIS524303:NIZ524303 NSO524303:NSV524303 OCK524303:OCR524303 OMG524303:OMN524303 OWC524303:OWJ524303 PFY524303:PGF524303 PPU524303:PQB524303 PZQ524303:PZX524303 QJM524303:QJT524303 QTI524303:QTP524303 RDE524303:RDL524303 RNA524303:RNH524303 RWW524303:RXD524303 SGS524303:SGZ524303 SQO524303:SQV524303 TAK524303:TAR524303 TKG524303:TKN524303 TUC524303:TUJ524303 UDY524303:UEF524303 UNU524303:UOB524303 UXQ524303:UXX524303 VHM524303:VHT524303 VRI524303:VRP524303 WBE524303:WBL524303 WLA524303:WLH524303 WUW524303:WVD524303 IK589839:IR589839 SG589839:SN589839 ACC589839:ACJ589839 ALY589839:AMF589839 AVU589839:AWB589839 BFQ589839:BFX589839 BPM589839:BPT589839 BZI589839:BZP589839 CJE589839:CJL589839 CTA589839:CTH589839 DCW589839:DDD589839 DMS589839:DMZ589839 DWO589839:DWV589839 EGK589839:EGR589839 EQG589839:EQN589839 FAC589839:FAJ589839 FJY589839:FKF589839 FTU589839:FUB589839 GDQ589839:GDX589839 GNM589839:GNT589839 GXI589839:GXP589839 HHE589839:HHL589839 HRA589839:HRH589839 IAW589839:IBD589839 IKS589839:IKZ589839 IUO589839:IUV589839 JEK589839:JER589839 JOG589839:JON589839 JYC589839:JYJ589839 KHY589839:KIF589839 KRU589839:KSB589839 LBQ589839:LBX589839 LLM589839:LLT589839 LVI589839:LVP589839 MFE589839:MFL589839 MPA589839:MPH589839 MYW589839:MZD589839 NIS589839:NIZ589839 NSO589839:NSV589839 OCK589839:OCR589839 OMG589839:OMN589839 OWC589839:OWJ589839 PFY589839:PGF589839 PPU589839:PQB589839 PZQ589839:PZX589839 QJM589839:QJT589839 QTI589839:QTP589839 RDE589839:RDL589839 RNA589839:RNH589839 RWW589839:RXD589839 SGS589839:SGZ589839 SQO589839:SQV589839 TAK589839:TAR589839 TKG589839:TKN589839 TUC589839:TUJ589839 UDY589839:UEF589839 UNU589839:UOB589839 UXQ589839:UXX589839 VHM589839:VHT589839 VRI589839:VRP589839 WBE589839:WBL589839 WLA589839:WLH589839 WUW589839:WVD589839 IK655375:IR655375 SG655375:SN655375 ACC655375:ACJ655375 ALY655375:AMF655375 AVU655375:AWB655375 BFQ655375:BFX655375 BPM655375:BPT655375 BZI655375:BZP655375 CJE655375:CJL655375 CTA655375:CTH655375 DCW655375:DDD655375 DMS655375:DMZ655375 DWO655375:DWV655375 EGK655375:EGR655375 EQG655375:EQN655375 FAC655375:FAJ655375 FJY655375:FKF655375 FTU655375:FUB655375 GDQ655375:GDX655375 GNM655375:GNT655375 GXI655375:GXP655375 HHE655375:HHL655375 HRA655375:HRH655375 IAW655375:IBD655375 IKS655375:IKZ655375 IUO655375:IUV655375 JEK655375:JER655375 JOG655375:JON655375 JYC655375:JYJ655375 KHY655375:KIF655375 KRU655375:KSB655375 LBQ655375:LBX655375 LLM655375:LLT655375 LVI655375:LVP655375 MFE655375:MFL655375 MPA655375:MPH655375 MYW655375:MZD655375 NIS655375:NIZ655375 NSO655375:NSV655375 OCK655375:OCR655375 OMG655375:OMN655375 OWC655375:OWJ655375 PFY655375:PGF655375 PPU655375:PQB655375 PZQ655375:PZX655375 QJM655375:QJT655375 QTI655375:QTP655375 RDE655375:RDL655375 RNA655375:RNH655375 RWW655375:RXD655375 SGS655375:SGZ655375 SQO655375:SQV655375 TAK655375:TAR655375 TKG655375:TKN655375 TUC655375:TUJ655375 UDY655375:UEF655375 UNU655375:UOB655375 UXQ655375:UXX655375 VHM655375:VHT655375 VRI655375:VRP655375 WBE655375:WBL655375 WLA655375:WLH655375 WUW655375:WVD655375 IK720911:IR720911 SG720911:SN720911 ACC720911:ACJ720911 ALY720911:AMF720911 AVU720911:AWB720911 BFQ720911:BFX720911 BPM720911:BPT720911 BZI720911:BZP720911 CJE720911:CJL720911 CTA720911:CTH720911 DCW720911:DDD720911 DMS720911:DMZ720911 DWO720911:DWV720911 EGK720911:EGR720911 EQG720911:EQN720911 FAC720911:FAJ720911 FJY720911:FKF720911 FTU720911:FUB720911 GDQ720911:GDX720911 GNM720911:GNT720911 GXI720911:GXP720911 HHE720911:HHL720911 HRA720911:HRH720911 IAW720911:IBD720911 IKS720911:IKZ720911 IUO720911:IUV720911 JEK720911:JER720911 JOG720911:JON720911 JYC720911:JYJ720911 KHY720911:KIF720911 KRU720911:KSB720911 LBQ720911:LBX720911 LLM720911:LLT720911 LVI720911:LVP720911 MFE720911:MFL720911 MPA720911:MPH720911 MYW720911:MZD720911 NIS720911:NIZ720911 NSO720911:NSV720911 OCK720911:OCR720911 OMG720911:OMN720911 OWC720911:OWJ720911 PFY720911:PGF720911 PPU720911:PQB720911 PZQ720911:PZX720911 QJM720911:QJT720911 QTI720911:QTP720911 RDE720911:RDL720911 RNA720911:RNH720911 RWW720911:RXD720911 SGS720911:SGZ720911 SQO720911:SQV720911 TAK720911:TAR720911 TKG720911:TKN720911 TUC720911:TUJ720911 UDY720911:UEF720911 UNU720911:UOB720911 UXQ720911:UXX720911 VHM720911:VHT720911 VRI720911:VRP720911 WBE720911:WBL720911 WLA720911:WLH720911 WUW720911:WVD720911 IK786447:IR786447 SG786447:SN786447 ACC786447:ACJ786447 ALY786447:AMF786447 AVU786447:AWB786447 BFQ786447:BFX786447 BPM786447:BPT786447 BZI786447:BZP786447 CJE786447:CJL786447 CTA786447:CTH786447 DCW786447:DDD786447 DMS786447:DMZ786447 DWO786447:DWV786447 EGK786447:EGR786447 EQG786447:EQN786447 FAC786447:FAJ786447 FJY786447:FKF786447 FTU786447:FUB786447 GDQ786447:GDX786447 GNM786447:GNT786447 GXI786447:GXP786447 HHE786447:HHL786447 HRA786447:HRH786447 IAW786447:IBD786447 IKS786447:IKZ786447 IUO786447:IUV786447 JEK786447:JER786447 JOG786447:JON786447 JYC786447:JYJ786447 KHY786447:KIF786447 KRU786447:KSB786447 LBQ786447:LBX786447 LLM786447:LLT786447 LVI786447:LVP786447 MFE786447:MFL786447 MPA786447:MPH786447 MYW786447:MZD786447 NIS786447:NIZ786447 NSO786447:NSV786447 OCK786447:OCR786447 OMG786447:OMN786447 OWC786447:OWJ786447 PFY786447:PGF786447 PPU786447:PQB786447 PZQ786447:PZX786447 QJM786447:QJT786447 QTI786447:QTP786447 RDE786447:RDL786447 RNA786447:RNH786447 RWW786447:RXD786447 SGS786447:SGZ786447 SQO786447:SQV786447 TAK786447:TAR786447 TKG786447:TKN786447 TUC786447:TUJ786447 UDY786447:UEF786447 UNU786447:UOB786447 UXQ786447:UXX786447 VHM786447:VHT786447 VRI786447:VRP786447 WBE786447:WBL786447 WLA786447:WLH786447 WUW786447:WVD786447 IK851983:IR851983 SG851983:SN851983 ACC851983:ACJ851983 ALY851983:AMF851983 AVU851983:AWB851983 BFQ851983:BFX851983 BPM851983:BPT851983 BZI851983:BZP851983 CJE851983:CJL851983 CTA851983:CTH851983 DCW851983:DDD851983 DMS851983:DMZ851983 DWO851983:DWV851983 EGK851983:EGR851983 EQG851983:EQN851983 FAC851983:FAJ851983 FJY851983:FKF851983 FTU851983:FUB851983 GDQ851983:GDX851983 GNM851983:GNT851983 GXI851983:GXP851983 HHE851983:HHL851983 HRA851983:HRH851983 IAW851983:IBD851983 IKS851983:IKZ851983 IUO851983:IUV851983 JEK851983:JER851983 JOG851983:JON851983 JYC851983:JYJ851983 KHY851983:KIF851983 KRU851983:KSB851983 LBQ851983:LBX851983 LLM851983:LLT851983 LVI851983:LVP851983 MFE851983:MFL851983 MPA851983:MPH851983 MYW851983:MZD851983 NIS851983:NIZ851983 NSO851983:NSV851983 OCK851983:OCR851983 OMG851983:OMN851983 OWC851983:OWJ851983 PFY851983:PGF851983 PPU851983:PQB851983 PZQ851983:PZX851983 QJM851983:QJT851983 QTI851983:QTP851983 RDE851983:RDL851983 RNA851983:RNH851983 RWW851983:RXD851983 SGS851983:SGZ851983 SQO851983:SQV851983 TAK851983:TAR851983 TKG851983:TKN851983 TUC851983:TUJ851983 UDY851983:UEF851983 UNU851983:UOB851983 UXQ851983:UXX851983 VHM851983:VHT851983 VRI851983:VRP851983 WBE851983:WBL851983 WLA851983:WLH851983 WUW851983:WVD851983 IK917519:IR917519 SG917519:SN917519 ACC917519:ACJ917519 ALY917519:AMF917519 AVU917519:AWB917519 BFQ917519:BFX917519 BPM917519:BPT917519 BZI917519:BZP917519 CJE917519:CJL917519 CTA917519:CTH917519 DCW917519:DDD917519 DMS917519:DMZ917519 DWO917519:DWV917519 EGK917519:EGR917519 EQG917519:EQN917519 FAC917519:FAJ917519 FJY917519:FKF917519 FTU917519:FUB917519 GDQ917519:GDX917519 GNM917519:GNT917519 GXI917519:GXP917519 HHE917519:HHL917519 HRA917519:HRH917519 IAW917519:IBD917519 IKS917519:IKZ917519 IUO917519:IUV917519 JEK917519:JER917519 JOG917519:JON917519 JYC917519:JYJ917519 KHY917519:KIF917519 KRU917519:KSB917519 LBQ917519:LBX917519 LLM917519:LLT917519 LVI917519:LVP917519 MFE917519:MFL917519 MPA917519:MPH917519 MYW917519:MZD917519 NIS917519:NIZ917519 NSO917519:NSV917519 OCK917519:OCR917519 OMG917519:OMN917519 OWC917519:OWJ917519 PFY917519:PGF917519 PPU917519:PQB917519 PZQ917519:PZX917519 QJM917519:QJT917519 QTI917519:QTP917519 RDE917519:RDL917519 RNA917519:RNH917519 RWW917519:RXD917519 SGS917519:SGZ917519 SQO917519:SQV917519 TAK917519:TAR917519 TKG917519:TKN917519 TUC917519:TUJ917519 UDY917519:UEF917519 UNU917519:UOB917519 UXQ917519:UXX917519 VHM917519:VHT917519 VRI917519:VRP917519 WBE917519:WBL917519 WLA917519:WLH917519 WUW917519:WVD917519 IK983055:IR983055 SG983055:SN983055 ACC983055:ACJ983055 ALY983055:AMF983055 AVU983055:AWB983055 BFQ983055:BFX983055 BPM983055:BPT983055 BZI983055:BZP983055 CJE983055:CJL983055 CTA983055:CTH983055 DCW983055:DDD983055 DMS983055:DMZ983055 DWO983055:DWV983055 EGK983055:EGR983055 EQG983055:EQN983055 FAC983055:FAJ983055 FJY983055:FKF983055 FTU983055:FUB983055 GDQ983055:GDX983055 GNM983055:GNT983055 GXI983055:GXP983055 HHE983055:HHL983055 HRA983055:HRH983055 IAW983055:IBD983055 IKS983055:IKZ983055 IUO983055:IUV983055 JEK983055:JER983055 JOG983055:JON983055 JYC983055:JYJ983055 KHY983055:KIF983055 KRU983055:KSB983055 LBQ983055:LBX983055 LLM983055:LLT983055 LVI983055:LVP983055 MFE983055:MFL983055 MPA983055:MPH983055 MYW983055:MZD983055 NIS983055:NIZ983055 NSO983055:NSV983055 OCK983055:OCR983055 OMG983055:OMN983055 OWC983055:OWJ983055 PFY983055:PGF983055 PPU983055:PQB983055 PZQ983055:PZX983055 QJM983055:QJT983055 QTI983055:QTP983055 RDE983055:RDL983055 RNA983055:RNH983055 RWW983055:RXD983055 SGS983055:SGZ983055 SQO983055:SQV983055 TAK983055:TAR983055 TKG983055:TKN983055 TUC983055:TUJ983055 UDY983055:UEF983055 UNU983055:UOB983055 UXQ983055:UXX983055 VHM983055:VHT983055 VRI983055:VRP983055 WBE983055:WBL983055 WLA983055:WLH983055 E65551:K65551 E131087:K131087 E196623:K196623 E262159:K262159 E327695:K327695 E393231:K393231 E458767:K458767 E524303:K524303 E589839:K589839 E655375:K655375 E720911:K720911 E786447:K786447 E851983:K851983 E917519:K917519 E983055:K983055 G5:K5">
      <formula1>#REF!</formula1>
    </dataValidation>
  </dataValidations>
  <pageMargins left="0.59055118110236227" right="0.59055118110236227" top="0.59055118110236227" bottom="0.59055118110236227" header="0" footer="0"/>
  <pageSetup paperSize="8" scale="65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68"/>
  <sheetViews>
    <sheetView showGridLines="0" showZeros="0" tabSelected="1" view="pageBreakPreview" topLeftCell="A5" zoomScale="70" zoomScaleNormal="40" zoomScaleSheetLayoutView="70" zoomScalePageLayoutView="70" workbookViewId="0">
      <selection activeCell="Q83" sqref="Q83"/>
    </sheetView>
  </sheetViews>
  <sheetFormatPr defaultColWidth="10.42578125" defaultRowHeight="29.45" customHeight="1"/>
  <cols>
    <col min="1" max="1" width="8.7109375" style="4" customWidth="1"/>
    <col min="2" max="2" width="8.85546875" style="3" customWidth="1"/>
    <col min="3" max="3" width="7.42578125" style="547" bestFit="1" customWidth="1"/>
    <col min="4" max="7" width="10.28515625" style="4" customWidth="1"/>
    <col min="8" max="8" width="10.28515625" style="3" customWidth="1"/>
    <col min="9" max="10" width="10.28515625" style="2" customWidth="1"/>
    <col min="11" max="19" width="10.28515625" style="4" customWidth="1"/>
    <col min="20" max="20" width="10.7109375" style="3" customWidth="1"/>
    <col min="21" max="25" width="10.7109375" style="4" customWidth="1"/>
    <col min="26" max="26" width="15.28515625" style="4" customWidth="1"/>
    <col min="27" max="27" width="13" style="4" customWidth="1"/>
    <col min="28" max="28" width="10.7109375" style="4" customWidth="1"/>
    <col min="29" max="30" width="10.7109375" style="1" customWidth="1"/>
    <col min="31" max="32" width="12.28515625" style="1" customWidth="1"/>
    <col min="33" max="34" width="12.28515625" style="4" customWidth="1"/>
    <col min="35" max="16384" width="10.42578125" style="4"/>
  </cols>
  <sheetData>
    <row r="2" spans="1:39" s="14" customFormat="1" ht="25.5" customHeight="1">
      <c r="A2" s="61" t="s">
        <v>278</v>
      </c>
      <c r="B2" s="62" t="s">
        <v>346</v>
      </c>
      <c r="C2" s="541"/>
      <c r="D2" s="63"/>
      <c r="R2" s="13"/>
      <c r="S2" s="12"/>
      <c r="T2" s="12"/>
      <c r="U2" s="11"/>
      <c r="AA2" s="10"/>
      <c r="AC2" s="11"/>
      <c r="AD2" s="11"/>
      <c r="AE2" s="11"/>
      <c r="AF2" s="11"/>
      <c r="AI2" s="11"/>
      <c r="AJ2" s="11"/>
    </row>
    <row r="3" spans="1:39" s="14" customFormat="1" ht="25.5" customHeight="1">
      <c r="A3" s="64" t="s">
        <v>279</v>
      </c>
      <c r="B3" s="288" t="s">
        <v>347</v>
      </c>
      <c r="C3" s="542"/>
      <c r="D3" s="65"/>
      <c r="H3" s="520" t="s">
        <v>280</v>
      </c>
      <c r="I3" s="521"/>
      <c r="J3" s="516">
        <v>5</v>
      </c>
      <c r="K3" s="517"/>
      <c r="L3" s="520" t="s">
        <v>281</v>
      </c>
      <c r="M3" s="521"/>
      <c r="N3" s="516" t="s">
        <v>282</v>
      </c>
      <c r="O3" s="517"/>
      <c r="P3" s="526" t="s">
        <v>283</v>
      </c>
      <c r="Q3" s="527"/>
      <c r="R3" s="516" t="s">
        <v>284</v>
      </c>
      <c r="S3" s="517"/>
      <c r="T3" s="520" t="s">
        <v>285</v>
      </c>
      <c r="U3" s="521"/>
      <c r="V3" s="516" t="s">
        <v>286</v>
      </c>
      <c r="W3" s="517"/>
      <c r="X3" s="520" t="s">
        <v>287</v>
      </c>
      <c r="Y3" s="521"/>
      <c r="Z3" s="516" t="s">
        <v>288</v>
      </c>
      <c r="AA3" s="517"/>
      <c r="AC3" s="11"/>
      <c r="AD3" s="11"/>
      <c r="AE3" s="11"/>
      <c r="AF3" s="11"/>
      <c r="AI3" s="11"/>
      <c r="AJ3" s="11"/>
    </row>
    <row r="4" spans="1:39" s="13" customFormat="1" ht="34.5" customHeight="1">
      <c r="B4" s="9"/>
      <c r="C4" s="543"/>
      <c r="D4" s="8"/>
      <c r="E4" s="8"/>
      <c r="H4" s="530"/>
      <c r="I4" s="531"/>
      <c r="J4" s="518"/>
      <c r="K4" s="519"/>
      <c r="L4" s="522"/>
      <c r="M4" s="523"/>
      <c r="N4" s="518"/>
      <c r="O4" s="519"/>
      <c r="P4" s="528" t="s">
        <v>289</v>
      </c>
      <c r="Q4" s="529"/>
      <c r="R4" s="518"/>
      <c r="S4" s="519"/>
      <c r="T4" s="522"/>
      <c r="U4" s="523"/>
      <c r="V4" s="518"/>
      <c r="W4" s="519"/>
      <c r="X4" s="522"/>
      <c r="Y4" s="523"/>
      <c r="Z4" s="518"/>
      <c r="AA4" s="519"/>
      <c r="AC4" s="33"/>
      <c r="AD4" s="33"/>
      <c r="AE4" s="33"/>
      <c r="AF4" s="33"/>
      <c r="AI4" s="12"/>
      <c r="AL4" s="12"/>
      <c r="AM4" s="12"/>
    </row>
    <row r="5" spans="1:39" s="7" customFormat="1" ht="32.65" customHeight="1" thickBot="1">
      <c r="C5" s="544"/>
      <c r="D5" s="6"/>
      <c r="E5" s="6"/>
      <c r="G5" s="524"/>
      <c r="H5" s="524"/>
      <c r="I5" s="525"/>
      <c r="J5" s="516"/>
      <c r="K5" s="14"/>
      <c r="L5" s="14"/>
      <c r="M5" s="14"/>
      <c r="N5" s="13"/>
      <c r="U5" s="5"/>
      <c r="V5" s="6"/>
      <c r="W5" s="6"/>
      <c r="X5" s="6"/>
      <c r="Y5" s="6"/>
      <c r="AC5" s="34"/>
      <c r="AD5" s="34"/>
      <c r="AE5" s="34"/>
      <c r="AF5" s="34"/>
      <c r="AI5" s="6"/>
      <c r="AL5" s="6"/>
      <c r="AM5" s="6"/>
    </row>
    <row r="6" spans="1:39" s="7" customFormat="1" ht="33.950000000000003" customHeight="1" thickTop="1">
      <c r="F6" s="513" t="s">
        <v>290</v>
      </c>
      <c r="G6" s="514"/>
      <c r="H6" s="514"/>
      <c r="I6" s="515"/>
      <c r="N6" s="31"/>
      <c r="V6" s="6"/>
      <c r="W6" s="6"/>
      <c r="X6" s="6"/>
      <c r="Y6" s="6"/>
      <c r="AC6" s="34"/>
      <c r="AD6" s="34"/>
      <c r="AE6" s="34"/>
      <c r="AF6" s="34"/>
      <c r="AI6" s="6"/>
      <c r="AL6" s="6"/>
      <c r="AM6" s="6"/>
    </row>
    <row r="7" spans="1:39" s="7" customFormat="1" ht="24" customHeight="1">
      <c r="F7" s="57" t="s">
        <v>291</v>
      </c>
      <c r="G7" s="545">
        <v>1525.39</v>
      </c>
      <c r="H7" s="56" t="s">
        <v>340</v>
      </c>
      <c r="I7" s="58" t="s">
        <v>292</v>
      </c>
      <c r="N7" s="13"/>
      <c r="V7" s="6"/>
      <c r="W7" s="6"/>
      <c r="X7" s="6"/>
      <c r="Y7" s="6"/>
      <c r="AC7" s="34"/>
      <c r="AD7" s="34"/>
      <c r="AE7" s="34"/>
      <c r="AF7" s="34"/>
      <c r="AI7" s="6"/>
      <c r="AL7" s="6"/>
      <c r="AM7" s="6"/>
    </row>
    <row r="8" spans="1:39" s="7" customFormat="1" ht="24" customHeight="1">
      <c r="F8" s="57" t="s">
        <v>293</v>
      </c>
      <c r="G8" s="545">
        <v>0.79</v>
      </c>
      <c r="H8" s="56" t="s">
        <v>294</v>
      </c>
      <c r="I8" s="59">
        <v>12</v>
      </c>
      <c r="N8" s="13"/>
      <c r="V8" s="6"/>
      <c r="W8" s="6"/>
      <c r="X8" s="6"/>
      <c r="Y8" s="6"/>
      <c r="AC8" s="34"/>
      <c r="AD8" s="34"/>
      <c r="AE8" s="34"/>
      <c r="AF8" s="34"/>
      <c r="AI8" s="6"/>
      <c r="AL8" s="6"/>
      <c r="AM8" s="6"/>
    </row>
    <row r="9" spans="1:39" s="7" customFormat="1" ht="24" customHeight="1" thickBot="1">
      <c r="F9" s="54" t="s">
        <v>341</v>
      </c>
      <c r="G9" s="546">
        <v>5</v>
      </c>
      <c r="H9" s="60" t="s">
        <v>295</v>
      </c>
      <c r="I9" s="55">
        <v>0.18099999999999999</v>
      </c>
      <c r="J9" s="13"/>
      <c r="M9" s="13"/>
      <c r="N9" s="13"/>
      <c r="V9" s="6"/>
      <c r="W9" s="6"/>
      <c r="X9" s="6"/>
      <c r="Y9" s="6"/>
      <c r="AC9" s="34"/>
      <c r="AD9" s="34"/>
      <c r="AE9" s="34"/>
      <c r="AF9" s="34"/>
      <c r="AI9" s="6"/>
      <c r="AL9" s="6"/>
      <c r="AM9" s="6"/>
    </row>
    <row r="10" spans="1:39" ht="29.45" customHeight="1" thickTop="1"/>
    <row r="11" spans="1:39" ht="29.45" customHeight="1">
      <c r="A11" s="151"/>
      <c r="B11" s="152"/>
      <c r="C11" s="548"/>
      <c r="D11" s="153"/>
      <c r="E11" s="153"/>
      <c r="F11" s="154"/>
      <c r="G11" s="154"/>
      <c r="H11" s="154"/>
      <c r="I11" s="152"/>
      <c r="J11" s="152"/>
      <c r="K11" s="152"/>
      <c r="L11" s="153"/>
      <c r="M11" s="153"/>
      <c r="N11" s="153"/>
      <c r="O11" s="155"/>
      <c r="P11" s="160"/>
      <c r="Q11" s="160"/>
      <c r="R11" s="160"/>
      <c r="S11" s="160"/>
      <c r="T11" s="156"/>
      <c r="U11" s="157"/>
      <c r="V11" s="153"/>
      <c r="W11" s="153"/>
      <c r="X11" s="158"/>
      <c r="Y11" s="158"/>
      <c r="Z11" s="152"/>
      <c r="AA11" s="159"/>
      <c r="AB11" s="152"/>
      <c r="AC11" s="160"/>
      <c r="AD11" s="151"/>
      <c r="AE11" s="162"/>
      <c r="AF11" s="162"/>
      <c r="AG11" s="161"/>
      <c r="AH11" s="161"/>
    </row>
    <row r="12" spans="1:39" ht="29.45" customHeight="1">
      <c r="A12" s="499" t="s">
        <v>348</v>
      </c>
      <c r="B12" s="500"/>
      <c r="C12" s="500"/>
      <c r="D12" s="500"/>
      <c r="E12" s="500"/>
      <c r="F12" s="500"/>
      <c r="G12" s="500"/>
      <c r="H12" s="500"/>
      <c r="I12" s="500"/>
      <c r="J12" s="500"/>
      <c r="K12" s="500"/>
      <c r="L12" s="500"/>
      <c r="M12" s="500"/>
      <c r="N12" s="500"/>
      <c r="O12" s="500"/>
      <c r="P12" s="500"/>
      <c r="Q12" s="500"/>
      <c r="R12" s="500"/>
      <c r="S12" s="500"/>
      <c r="T12" s="500"/>
      <c r="U12" s="500"/>
      <c r="V12" s="500"/>
      <c r="W12" s="500"/>
      <c r="X12" s="500"/>
      <c r="Y12" s="500"/>
      <c r="Z12" s="500"/>
      <c r="AA12" s="500"/>
      <c r="AB12" s="500"/>
      <c r="AC12" s="500"/>
      <c r="AD12" s="500"/>
      <c r="AE12" s="500"/>
      <c r="AF12" s="501"/>
      <c r="AG12" s="292"/>
      <c r="AH12" s="293"/>
    </row>
    <row r="13" spans="1:39" ht="37.5" customHeight="1">
      <c r="A13" s="502" t="s">
        <v>260</v>
      </c>
      <c r="B13" s="503" t="s">
        <v>261</v>
      </c>
      <c r="C13" s="503" t="s">
        <v>262</v>
      </c>
      <c r="D13" s="503"/>
      <c r="E13" s="503" t="s">
        <v>296</v>
      </c>
      <c r="F13" s="503" t="s">
        <v>297</v>
      </c>
      <c r="G13" s="505" t="s">
        <v>298</v>
      </c>
      <c r="H13" s="507" t="s">
        <v>263</v>
      </c>
      <c r="I13" s="509" t="s">
        <v>299</v>
      </c>
      <c r="J13" s="509" t="s">
        <v>299</v>
      </c>
      <c r="K13" s="503" t="s">
        <v>3</v>
      </c>
      <c r="L13" s="503" t="s">
        <v>300</v>
      </c>
      <c r="M13" s="503" t="s">
        <v>301</v>
      </c>
      <c r="N13" s="503" t="s">
        <v>302</v>
      </c>
      <c r="O13" s="503" t="s">
        <v>303</v>
      </c>
      <c r="P13" s="534" t="s">
        <v>264</v>
      </c>
      <c r="Q13" s="534"/>
      <c r="R13" s="534"/>
      <c r="S13" s="534"/>
      <c r="T13" s="537" t="s">
        <v>265</v>
      </c>
      <c r="U13" s="503" t="s">
        <v>265</v>
      </c>
      <c r="V13" s="503" t="s">
        <v>266</v>
      </c>
      <c r="W13" s="503" t="s">
        <v>304</v>
      </c>
      <c r="X13" s="511" t="s">
        <v>305</v>
      </c>
      <c r="Y13" s="511" t="s">
        <v>306</v>
      </c>
      <c r="Z13" s="503" t="s">
        <v>307</v>
      </c>
      <c r="AA13" s="503" t="s">
        <v>308</v>
      </c>
      <c r="AB13" s="504" t="s">
        <v>309</v>
      </c>
      <c r="AC13" s="535" t="s">
        <v>310</v>
      </c>
      <c r="AD13" s="539" t="s">
        <v>311</v>
      </c>
      <c r="AE13" s="539" t="s">
        <v>312</v>
      </c>
      <c r="AF13" s="532" t="s">
        <v>313</v>
      </c>
      <c r="AG13" s="535" t="s">
        <v>314</v>
      </c>
      <c r="AH13" s="532" t="s">
        <v>314</v>
      </c>
    </row>
    <row r="14" spans="1:39" ht="37.5" customHeight="1">
      <c r="A14" s="502"/>
      <c r="B14" s="504"/>
      <c r="C14" s="549" t="s">
        <v>315</v>
      </c>
      <c r="D14" s="73" t="s">
        <v>316</v>
      </c>
      <c r="E14" s="504"/>
      <c r="F14" s="504"/>
      <c r="G14" s="506"/>
      <c r="H14" s="508"/>
      <c r="I14" s="510"/>
      <c r="J14" s="510"/>
      <c r="K14" s="504"/>
      <c r="L14" s="504"/>
      <c r="M14" s="504"/>
      <c r="N14" s="504"/>
      <c r="O14" s="504"/>
      <c r="P14" s="76" t="s">
        <v>267</v>
      </c>
      <c r="Q14" s="76" t="s">
        <v>268</v>
      </c>
      <c r="R14" s="76" t="s">
        <v>269</v>
      </c>
      <c r="S14" s="76" t="s">
        <v>270</v>
      </c>
      <c r="T14" s="538"/>
      <c r="U14" s="504"/>
      <c r="V14" s="504"/>
      <c r="W14" s="504"/>
      <c r="X14" s="512"/>
      <c r="Y14" s="512"/>
      <c r="Z14" s="504"/>
      <c r="AA14" s="504"/>
      <c r="AB14" s="504"/>
      <c r="AC14" s="536"/>
      <c r="AD14" s="540"/>
      <c r="AE14" s="540"/>
      <c r="AF14" s="533"/>
      <c r="AG14" s="536"/>
      <c r="AH14" s="533"/>
    </row>
    <row r="15" spans="1:39" ht="29.45" customHeight="1">
      <c r="A15" s="503"/>
      <c r="B15" s="77" t="s">
        <v>5</v>
      </c>
      <c r="C15" s="549" t="s">
        <v>271</v>
      </c>
      <c r="D15" s="73" t="s">
        <v>271</v>
      </c>
      <c r="E15" s="73" t="s">
        <v>272</v>
      </c>
      <c r="F15" s="73" t="s">
        <v>273</v>
      </c>
      <c r="G15" s="73" t="s">
        <v>274</v>
      </c>
      <c r="H15" s="74" t="s">
        <v>275</v>
      </c>
      <c r="I15" s="75" t="s">
        <v>5</v>
      </c>
      <c r="J15" s="75" t="s">
        <v>29</v>
      </c>
      <c r="K15" s="73" t="s">
        <v>317</v>
      </c>
      <c r="L15" s="73"/>
      <c r="M15" s="73"/>
      <c r="N15" s="73"/>
      <c r="O15" s="73" t="s">
        <v>318</v>
      </c>
      <c r="P15" s="76" t="s">
        <v>5</v>
      </c>
      <c r="Q15" s="76" t="s">
        <v>5</v>
      </c>
      <c r="R15" s="76" t="s">
        <v>5</v>
      </c>
      <c r="S15" s="76" t="s">
        <v>5</v>
      </c>
      <c r="T15" s="77" t="s">
        <v>0</v>
      </c>
      <c r="U15" s="73" t="s">
        <v>319</v>
      </c>
      <c r="V15" s="73" t="s">
        <v>277</v>
      </c>
      <c r="W15" s="73" t="s">
        <v>320</v>
      </c>
      <c r="X15" s="73" t="s">
        <v>5</v>
      </c>
      <c r="Y15" s="73" t="s">
        <v>5</v>
      </c>
      <c r="Z15" s="73" t="s">
        <v>5</v>
      </c>
      <c r="AA15" s="73" t="s">
        <v>0</v>
      </c>
      <c r="AB15" s="73" t="s">
        <v>5</v>
      </c>
      <c r="AC15" s="83" t="s">
        <v>5</v>
      </c>
      <c r="AD15" s="79" t="s">
        <v>5</v>
      </c>
      <c r="AE15" s="79" t="s">
        <v>5</v>
      </c>
      <c r="AF15" s="81" t="s">
        <v>5</v>
      </c>
      <c r="AG15" s="83" t="s">
        <v>5</v>
      </c>
      <c r="AH15" s="81" t="s">
        <v>5</v>
      </c>
    </row>
    <row r="16" spans="1:39" ht="29.45" customHeight="1">
      <c r="A16" s="66" t="s">
        <v>321</v>
      </c>
      <c r="B16" s="67">
        <v>21</v>
      </c>
      <c r="C16" s="550">
        <v>0.39</v>
      </c>
      <c r="D16" s="68">
        <v>0.39</v>
      </c>
      <c r="E16" s="68">
        <v>10</v>
      </c>
      <c r="F16" s="69">
        <v>5</v>
      </c>
      <c r="G16" s="69">
        <v>177.57447849224559</v>
      </c>
      <c r="H16" s="69">
        <v>115.41977369504721</v>
      </c>
      <c r="I16" s="67">
        <v>0.6</v>
      </c>
      <c r="J16" s="67">
        <v>600</v>
      </c>
      <c r="K16" s="67">
        <v>1</v>
      </c>
      <c r="L16" s="68">
        <v>7.1272310510057307E-2</v>
      </c>
      <c r="M16" s="68">
        <v>0.32000000000000006</v>
      </c>
      <c r="N16" s="68">
        <v>0.1802</v>
      </c>
      <c r="O16" s="70">
        <v>0.19200000000000003</v>
      </c>
      <c r="P16" s="85">
        <v>491.76499999999999</v>
      </c>
      <c r="Q16" s="85">
        <v>491.65100000000001</v>
      </c>
      <c r="R16" s="78">
        <v>490.80500000000001</v>
      </c>
      <c r="S16" s="78">
        <v>490.721</v>
      </c>
      <c r="T16" s="71">
        <v>0.4</v>
      </c>
      <c r="U16" s="72">
        <v>4.0000000000000001E-3</v>
      </c>
      <c r="V16" s="68">
        <v>1.025293027121696</v>
      </c>
      <c r="W16" s="68">
        <v>0.34136582493158524</v>
      </c>
      <c r="X16" s="84">
        <v>0.95999999999997954</v>
      </c>
      <c r="Y16" s="84">
        <v>0.93000000000000682</v>
      </c>
      <c r="Z16" s="67">
        <v>1.1600000000000001</v>
      </c>
      <c r="AA16" s="88">
        <v>1.810556380643181E-4</v>
      </c>
      <c r="AB16" s="67">
        <v>21</v>
      </c>
      <c r="AC16" s="86">
        <v>491.96699999999998</v>
      </c>
      <c r="AD16" s="80">
        <v>491.92599999999999</v>
      </c>
      <c r="AE16" s="87">
        <v>1.1619999999999777</v>
      </c>
      <c r="AF16" s="294">
        <v>1.2049999999999841</v>
      </c>
      <c r="AG16" s="291">
        <v>-0.20199999999999818</v>
      </c>
      <c r="AH16" s="82">
        <v>-0.27499999999997726</v>
      </c>
    </row>
    <row r="17" spans="1:34" ht="29.45" customHeight="1">
      <c r="A17" s="66" t="s">
        <v>322</v>
      </c>
      <c r="B17" s="67">
        <v>62</v>
      </c>
      <c r="C17" s="550">
        <v>0.23</v>
      </c>
      <c r="D17" s="68">
        <v>0.23</v>
      </c>
      <c r="E17" s="68">
        <v>10</v>
      </c>
      <c r="F17" s="69">
        <v>5</v>
      </c>
      <c r="G17" s="69">
        <v>177.57447849224559</v>
      </c>
      <c r="H17" s="69">
        <v>73.679040763017241</v>
      </c>
      <c r="I17" s="67">
        <v>0.6</v>
      </c>
      <c r="J17" s="67">
        <v>600</v>
      </c>
      <c r="K17" s="67">
        <v>1</v>
      </c>
      <c r="L17" s="68">
        <v>3.7148300768560252E-2</v>
      </c>
      <c r="M17" s="68">
        <v>0.23</v>
      </c>
      <c r="N17" s="68">
        <v>0.13639999999999999</v>
      </c>
      <c r="O17" s="70">
        <v>0.13800000000000001</v>
      </c>
      <c r="P17" s="85">
        <v>491.709</v>
      </c>
      <c r="Q17" s="85">
        <v>491.65100000000001</v>
      </c>
      <c r="R17" s="78">
        <v>490.85899999999998</v>
      </c>
      <c r="S17" s="78">
        <v>490.48699999999997</v>
      </c>
      <c r="T17" s="71">
        <v>0.6</v>
      </c>
      <c r="U17" s="72">
        <v>6.0000000000000001E-3</v>
      </c>
      <c r="V17" s="68">
        <v>1.0429576863956476</v>
      </c>
      <c r="W17" s="68">
        <v>0.99077205797717938</v>
      </c>
      <c r="X17" s="84">
        <v>0.85000000000002274</v>
      </c>
      <c r="Y17" s="84">
        <v>1.1640000000000441</v>
      </c>
      <c r="Z17" s="67">
        <v>1.1600000000000001</v>
      </c>
      <c r="AA17" s="88">
        <v>7.3780151480939935E-5</v>
      </c>
      <c r="AB17" s="67">
        <v>62</v>
      </c>
      <c r="AC17" s="86">
        <v>492.02319999999997</v>
      </c>
      <c r="AD17" s="80">
        <v>491.92599999999999</v>
      </c>
      <c r="AE17" s="87">
        <v>1.1641999999999939</v>
      </c>
      <c r="AF17" s="294">
        <v>1.4390000000000214</v>
      </c>
      <c r="AG17" s="291">
        <v>-0.31419999999997117</v>
      </c>
      <c r="AH17" s="82">
        <v>-0.27499999999997726</v>
      </c>
    </row>
    <row r="18" spans="1:34" ht="29.45" customHeight="1">
      <c r="A18" s="66" t="s">
        <v>323</v>
      </c>
      <c r="B18" s="67">
        <v>42</v>
      </c>
      <c r="C18" s="550">
        <v>0.37</v>
      </c>
      <c r="D18" s="68">
        <v>0.99</v>
      </c>
      <c r="E18" s="68">
        <v>10.99077205797718</v>
      </c>
      <c r="F18" s="69">
        <v>5</v>
      </c>
      <c r="G18" s="69">
        <v>171.50119747907524</v>
      </c>
      <c r="H18" s="69">
        <v>251.00946422675293</v>
      </c>
      <c r="I18" s="67">
        <v>0.6</v>
      </c>
      <c r="J18" s="67">
        <v>600</v>
      </c>
      <c r="K18" s="67">
        <v>1</v>
      </c>
      <c r="L18" s="68">
        <v>0.19606077165835348</v>
      </c>
      <c r="M18" s="68">
        <v>0.57000000000000028</v>
      </c>
      <c r="N18" s="68">
        <v>0.27029999999999998</v>
      </c>
      <c r="O18" s="70">
        <v>0.34200000000000014</v>
      </c>
      <c r="P18" s="85">
        <v>491.65100000000001</v>
      </c>
      <c r="Q18" s="85">
        <v>491.59199999999998</v>
      </c>
      <c r="R18" s="78">
        <v>490.48699999999997</v>
      </c>
      <c r="S18" s="78">
        <v>490.38199999999995</v>
      </c>
      <c r="T18" s="71">
        <v>0.25</v>
      </c>
      <c r="U18" s="72">
        <v>2.5000000000000001E-3</v>
      </c>
      <c r="V18" s="68">
        <v>1.0621410286077233</v>
      </c>
      <c r="W18" s="68">
        <v>0.65904619174496504</v>
      </c>
      <c r="X18" s="84">
        <v>1.1640000000000441</v>
      </c>
      <c r="Y18" s="84">
        <v>1.2100000000000364</v>
      </c>
      <c r="Z18" s="67">
        <v>1.1600000000000001</v>
      </c>
      <c r="AA18" s="88">
        <v>8.5631156567763484E-4</v>
      </c>
      <c r="AB18" s="67">
        <v>42</v>
      </c>
      <c r="AC18" s="86">
        <v>491.92599999999999</v>
      </c>
      <c r="AD18" s="80">
        <v>491.84500000000003</v>
      </c>
      <c r="AE18" s="87">
        <v>1.4390000000000214</v>
      </c>
      <c r="AF18" s="294">
        <v>1.4630000000000791</v>
      </c>
      <c r="AG18" s="291">
        <v>-0.27499999999997726</v>
      </c>
      <c r="AH18" s="82">
        <v>-0.25300000000004275</v>
      </c>
    </row>
    <row r="19" spans="1:34" ht="29.45" customHeight="1">
      <c r="A19" s="66" t="s">
        <v>324</v>
      </c>
      <c r="B19" s="67">
        <v>42</v>
      </c>
      <c r="C19" s="550">
        <v>0.23</v>
      </c>
      <c r="D19" s="68">
        <v>1.22</v>
      </c>
      <c r="E19" s="68">
        <v>11.649818249722145</v>
      </c>
      <c r="F19" s="69">
        <v>5</v>
      </c>
      <c r="G19" s="69">
        <v>167.71445598500026</v>
      </c>
      <c r="H19" s="69">
        <v>296.69311964493528</v>
      </c>
      <c r="I19" s="67">
        <v>0.6</v>
      </c>
      <c r="J19" s="67">
        <v>600</v>
      </c>
      <c r="K19" s="67">
        <v>1</v>
      </c>
      <c r="L19" s="68">
        <v>0.25909742239902106</v>
      </c>
      <c r="M19" s="68">
        <v>0.69000000000000039</v>
      </c>
      <c r="N19" s="68">
        <v>0.29480000000000001</v>
      </c>
      <c r="O19" s="70">
        <v>0.4140000000000002</v>
      </c>
      <c r="P19" s="85">
        <v>491.59199999999998</v>
      </c>
      <c r="Q19" s="85">
        <v>491.54500000000002</v>
      </c>
      <c r="R19" s="78">
        <v>490.38199999999995</v>
      </c>
      <c r="S19" s="78">
        <v>490.29799999999994</v>
      </c>
      <c r="T19" s="71">
        <v>0.2</v>
      </c>
      <c r="U19" s="72">
        <v>2E-3</v>
      </c>
      <c r="V19" s="68">
        <v>1.0065796229049129</v>
      </c>
      <c r="W19" s="68">
        <v>0.69542436988725531</v>
      </c>
      <c r="X19" s="84">
        <v>1.2100000000000364</v>
      </c>
      <c r="Y19" s="84">
        <v>1.2470000000000709</v>
      </c>
      <c r="Z19" s="67">
        <v>1.1600000000000001</v>
      </c>
      <c r="AA19" s="88">
        <v>1.1963728989764619E-3</v>
      </c>
      <c r="AB19" s="67">
        <v>42</v>
      </c>
      <c r="AC19" s="86">
        <v>491.84500000000003</v>
      </c>
      <c r="AD19" s="80">
        <v>491.76400000000001</v>
      </c>
      <c r="AE19" s="87">
        <v>1.4630000000000791</v>
      </c>
      <c r="AF19" s="294">
        <v>1.466000000000065</v>
      </c>
      <c r="AG19" s="291">
        <v>-0.25300000000004275</v>
      </c>
      <c r="AH19" s="82">
        <v>-0.21899999999999409</v>
      </c>
    </row>
    <row r="20" spans="1:34" ht="29.45" customHeight="1">
      <c r="A20" s="66" t="s">
        <v>325</v>
      </c>
      <c r="B20" s="67">
        <v>45</v>
      </c>
      <c r="C20" s="550">
        <v>0.53</v>
      </c>
      <c r="D20" s="68">
        <v>0.53</v>
      </c>
      <c r="E20" s="68">
        <v>10</v>
      </c>
      <c r="F20" s="69">
        <v>5</v>
      </c>
      <c r="G20" s="69">
        <v>177.57447849224559</v>
      </c>
      <c r="H20" s="69">
        <v>149.79930265244982</v>
      </c>
      <c r="I20" s="67">
        <v>0.6</v>
      </c>
      <c r="J20" s="67">
        <v>600</v>
      </c>
      <c r="K20" s="67">
        <v>1</v>
      </c>
      <c r="L20" s="68">
        <v>9.2501848435816103E-2</v>
      </c>
      <c r="M20" s="68">
        <v>0.37000000000000011</v>
      </c>
      <c r="N20" s="68">
        <v>0.20200000000000001</v>
      </c>
      <c r="O20" s="70">
        <v>0.22200000000000006</v>
      </c>
      <c r="P20" s="85">
        <v>491.57299999999998</v>
      </c>
      <c r="Q20" s="85">
        <v>491.54500000000002</v>
      </c>
      <c r="R20" s="78">
        <v>490.64299999999997</v>
      </c>
      <c r="S20" s="78">
        <v>490.46299999999997</v>
      </c>
      <c r="T20" s="71">
        <v>0.4</v>
      </c>
      <c r="U20" s="72">
        <v>4.0000000000000001E-3</v>
      </c>
      <c r="V20" s="68">
        <v>1.1064005738190905</v>
      </c>
      <c r="W20" s="68">
        <v>0.67787383498106701</v>
      </c>
      <c r="X20" s="84">
        <v>0.93000000000000682</v>
      </c>
      <c r="Y20" s="84">
        <v>1.0820000000000505</v>
      </c>
      <c r="Z20" s="67">
        <v>1.1600000000000001</v>
      </c>
      <c r="AA20" s="88">
        <v>3.0497988733500369E-4</v>
      </c>
      <c r="AB20" s="67">
        <v>45</v>
      </c>
      <c r="AC20" s="86">
        <v>491.79899999999998</v>
      </c>
      <c r="AD20" s="80">
        <v>491.76400000000001</v>
      </c>
      <c r="AE20" s="87">
        <v>1.1560000000000059</v>
      </c>
      <c r="AF20" s="294">
        <v>1.3010000000000446</v>
      </c>
      <c r="AG20" s="291">
        <v>-0.22599999999999909</v>
      </c>
      <c r="AH20" s="82">
        <v>-0.21899999999999409</v>
      </c>
    </row>
    <row r="21" spans="1:34" ht="29.45" customHeight="1">
      <c r="A21" s="66" t="s">
        <v>326</v>
      </c>
      <c r="B21" s="67">
        <v>51</v>
      </c>
      <c r="C21" s="550">
        <v>0.72</v>
      </c>
      <c r="D21" s="68">
        <v>2.4699999999999998</v>
      </c>
      <c r="E21" s="68">
        <v>12.345242619609401</v>
      </c>
      <c r="F21" s="69">
        <v>5</v>
      </c>
      <c r="G21" s="69">
        <v>163.91825466211358</v>
      </c>
      <c r="H21" s="69">
        <v>534.35509376268953</v>
      </c>
      <c r="I21" s="67">
        <v>0.8</v>
      </c>
      <c r="J21" s="67">
        <v>800</v>
      </c>
      <c r="K21" s="67">
        <v>1</v>
      </c>
      <c r="L21" s="68">
        <v>0.25017466611324118</v>
      </c>
      <c r="M21" s="68">
        <v>0.67000000000000037</v>
      </c>
      <c r="N21" s="68">
        <v>0.29170000000000001</v>
      </c>
      <c r="O21" s="70">
        <v>0.53600000000000037</v>
      </c>
      <c r="P21" s="85">
        <v>491.54500000000002</v>
      </c>
      <c r="Q21" s="85">
        <v>491.423</v>
      </c>
      <c r="R21" s="78">
        <v>490.09799999999996</v>
      </c>
      <c r="S21" s="78">
        <v>490.02149999999995</v>
      </c>
      <c r="T21" s="71">
        <v>0.15</v>
      </c>
      <c r="U21" s="72">
        <v>1.5E-3</v>
      </c>
      <c r="V21" s="68">
        <v>1.0486016990393778</v>
      </c>
      <c r="W21" s="68">
        <v>0.81060330226308386</v>
      </c>
      <c r="X21" s="84">
        <v>1.4470000000000596</v>
      </c>
      <c r="Y21" s="84">
        <v>1.4015000000000555</v>
      </c>
      <c r="Z21" s="67">
        <v>1.3800000000000001</v>
      </c>
      <c r="AA21" s="88">
        <v>8.3654306391006965E-4</v>
      </c>
      <c r="AB21" s="67">
        <v>51</v>
      </c>
      <c r="AC21" s="86">
        <v>491.76400000000001</v>
      </c>
      <c r="AD21" s="80">
        <v>491.66500000000002</v>
      </c>
      <c r="AE21" s="87">
        <v>1.6660000000000537</v>
      </c>
      <c r="AF21" s="294">
        <v>1.6435000000000741</v>
      </c>
      <c r="AG21" s="291">
        <v>-0.21899999999999409</v>
      </c>
      <c r="AH21" s="82">
        <v>-0.24200000000001864</v>
      </c>
    </row>
    <row r="22" spans="1:34" ht="29.45" customHeight="1">
      <c r="A22" s="66" t="s">
        <v>327</v>
      </c>
      <c r="B22" s="67">
        <v>49</v>
      </c>
      <c r="C22" s="550">
        <v>0.38</v>
      </c>
      <c r="D22" s="68">
        <v>2.8499999999999996</v>
      </c>
      <c r="E22" s="68">
        <v>13.155845921872485</v>
      </c>
      <c r="F22" s="69">
        <v>5</v>
      </c>
      <c r="G22" s="69">
        <v>159.73118521887801</v>
      </c>
      <c r="H22" s="69">
        <v>595.49563350966741</v>
      </c>
      <c r="I22" s="67">
        <v>0.8</v>
      </c>
      <c r="J22" s="67">
        <v>800</v>
      </c>
      <c r="K22" s="67">
        <v>1</v>
      </c>
      <c r="L22" s="68">
        <v>0.27879947814502565</v>
      </c>
      <c r="M22" s="68">
        <v>0.73000000000000043</v>
      </c>
      <c r="N22" s="68">
        <v>0.29980000000000001</v>
      </c>
      <c r="O22" s="70">
        <v>0.58400000000000041</v>
      </c>
      <c r="P22" s="85">
        <v>491.423</v>
      </c>
      <c r="Q22" s="85">
        <v>491.161</v>
      </c>
      <c r="R22" s="78">
        <v>490.02149999999995</v>
      </c>
      <c r="S22" s="78">
        <v>489.94799999999992</v>
      </c>
      <c r="T22" s="71">
        <v>0.15</v>
      </c>
      <c r="U22" s="72">
        <v>1.5E-3</v>
      </c>
      <c r="V22" s="68">
        <v>1.0679248440384266</v>
      </c>
      <c r="W22" s="68">
        <v>0.76472297767545983</v>
      </c>
      <c r="X22" s="84">
        <v>1.4015000000000555</v>
      </c>
      <c r="Y22" s="84">
        <v>1.2130000000000791</v>
      </c>
      <c r="Z22" s="67">
        <v>1.3800000000000001</v>
      </c>
      <c r="AA22" s="88">
        <v>1.0389282559225481E-3</v>
      </c>
      <c r="AB22" s="67">
        <v>49</v>
      </c>
      <c r="AC22" s="86">
        <v>491.66500000000002</v>
      </c>
      <c r="AD22" s="80">
        <v>491.57</v>
      </c>
      <c r="AE22" s="87">
        <v>1.6435000000000741</v>
      </c>
      <c r="AF22" s="294">
        <v>1.6220000000000709</v>
      </c>
      <c r="AG22" s="291">
        <v>-0.24200000000001864</v>
      </c>
      <c r="AH22" s="82">
        <v>-0.40899999999999181</v>
      </c>
    </row>
    <row r="23" spans="1:34" ht="29.45" customHeight="1">
      <c r="A23" s="66" t="s">
        <v>328</v>
      </c>
      <c r="B23" s="67">
        <v>57</v>
      </c>
      <c r="C23" s="550">
        <v>0.4</v>
      </c>
      <c r="D23" s="68">
        <v>3.2499999999999996</v>
      </c>
      <c r="E23" s="68">
        <v>13.920568899547945</v>
      </c>
      <c r="F23" s="69">
        <v>5</v>
      </c>
      <c r="G23" s="69">
        <v>155.99665563372437</v>
      </c>
      <c r="H23" s="69">
        <v>657.41782291179732</v>
      </c>
      <c r="I23" s="67">
        <v>0.8</v>
      </c>
      <c r="J23" s="67">
        <v>800</v>
      </c>
      <c r="K23" s="67">
        <v>1</v>
      </c>
      <c r="L23" s="68">
        <v>0.30779024334873217</v>
      </c>
      <c r="M23" s="68">
        <v>0.80000000000000049</v>
      </c>
      <c r="N23" s="68">
        <v>0.30420000000000003</v>
      </c>
      <c r="O23" s="70">
        <v>0.64000000000000046</v>
      </c>
      <c r="P23" s="85">
        <v>491.161</v>
      </c>
      <c r="Q23" s="85">
        <v>491.01400000000001</v>
      </c>
      <c r="R23" s="78">
        <v>489.94799999999992</v>
      </c>
      <c r="S23" s="78">
        <v>489.8624999999999</v>
      </c>
      <c r="T23" s="71">
        <v>0.15</v>
      </c>
      <c r="U23" s="72">
        <v>1.5E-3</v>
      </c>
      <c r="V23" s="68">
        <v>1.0783483482925043</v>
      </c>
      <c r="W23" s="68">
        <v>0.88097691391122768</v>
      </c>
      <c r="X23" s="84">
        <v>1.2130000000000791</v>
      </c>
      <c r="Y23" s="84">
        <v>1.1515000000001123</v>
      </c>
      <c r="Z23" s="67">
        <v>1.3800000000000001</v>
      </c>
      <c r="AA23" s="88">
        <v>1.2662263386144592E-3</v>
      </c>
      <c r="AB23" s="67">
        <v>57</v>
      </c>
      <c r="AC23" s="86">
        <v>491.57</v>
      </c>
      <c r="AD23" s="80">
        <v>491.63400000000001</v>
      </c>
      <c r="AE23" s="87">
        <v>1.6220000000000709</v>
      </c>
      <c r="AF23" s="294">
        <v>1.7715000000001169</v>
      </c>
      <c r="AG23" s="291">
        <v>-0.40899999999999181</v>
      </c>
      <c r="AH23" s="82">
        <v>-0.62000000000000455</v>
      </c>
    </row>
    <row r="24" spans="1:34" ht="29.45" customHeight="1">
      <c r="A24" s="66" t="s">
        <v>329</v>
      </c>
      <c r="B24" s="67">
        <v>26</v>
      </c>
      <c r="C24" s="550">
        <v>0.3</v>
      </c>
      <c r="D24" s="68">
        <v>3.5499999999999994</v>
      </c>
      <c r="E24" s="68">
        <v>14.801545813459173</v>
      </c>
      <c r="F24" s="69">
        <v>5</v>
      </c>
      <c r="G24" s="69">
        <v>151.93162733588923</v>
      </c>
      <c r="H24" s="69">
        <v>698.27841276837682</v>
      </c>
      <c r="I24" s="67">
        <v>0.8</v>
      </c>
      <c r="J24" s="67">
        <v>800</v>
      </c>
      <c r="K24" s="67">
        <v>1</v>
      </c>
      <c r="L24" s="68">
        <v>0.28312135159993312</v>
      </c>
      <c r="M24" s="68">
        <v>0.74000000000000044</v>
      </c>
      <c r="N24" s="68">
        <v>0.30080000000000001</v>
      </c>
      <c r="O24" s="70">
        <v>0.59200000000000041</v>
      </c>
      <c r="P24" s="85">
        <v>491.01400000000001</v>
      </c>
      <c r="Q24" s="85">
        <v>491.38099999999997</v>
      </c>
      <c r="R24" s="78">
        <v>489.8624999999999</v>
      </c>
      <c r="S24" s="78">
        <v>489.81049999999988</v>
      </c>
      <c r="T24" s="71">
        <v>0.2</v>
      </c>
      <c r="U24" s="72">
        <v>2E-3</v>
      </c>
      <c r="V24" s="68">
        <v>1.2358739947069548</v>
      </c>
      <c r="W24" s="68">
        <v>0.35062905699871405</v>
      </c>
      <c r="X24" s="84">
        <v>1.1515000000001123</v>
      </c>
      <c r="Y24" s="84">
        <v>1.570500000000095</v>
      </c>
      <c r="Z24" s="67">
        <v>1.3800000000000001</v>
      </c>
      <c r="AA24" s="88">
        <v>1.4285177051775082E-3</v>
      </c>
      <c r="AB24" s="67">
        <v>26</v>
      </c>
      <c r="AC24" s="86">
        <v>491.63400000000001</v>
      </c>
      <c r="AD24" s="80">
        <v>491.67200000000003</v>
      </c>
      <c r="AE24" s="87">
        <v>1.7715000000001169</v>
      </c>
      <c r="AF24" s="294">
        <v>1.8615000000001487</v>
      </c>
      <c r="AG24" s="291">
        <v>-0.62000000000000455</v>
      </c>
      <c r="AH24" s="82">
        <v>-0.29100000000005366</v>
      </c>
    </row>
    <row r="25" spans="1:34" ht="29.45" customHeight="1">
      <c r="A25" s="66" t="s">
        <v>330</v>
      </c>
      <c r="B25" s="67">
        <v>50</v>
      </c>
      <c r="C25" s="550">
        <v>0.63</v>
      </c>
      <c r="D25" s="68">
        <v>0.63</v>
      </c>
      <c r="E25" s="68">
        <v>10</v>
      </c>
      <c r="F25" s="69">
        <v>5</v>
      </c>
      <c r="G25" s="69">
        <v>177.57447849224559</v>
      </c>
      <c r="H25" s="69">
        <v>173.50610859286988</v>
      </c>
      <c r="I25" s="67">
        <v>0.6</v>
      </c>
      <c r="J25" s="67">
        <v>600</v>
      </c>
      <c r="K25" s="67">
        <v>1</v>
      </c>
      <c r="L25" s="68">
        <v>9.5829756046775308E-2</v>
      </c>
      <c r="M25" s="68">
        <v>0.38000000000000012</v>
      </c>
      <c r="N25" s="68">
        <v>0.20619999999999999</v>
      </c>
      <c r="O25" s="70">
        <v>0.22800000000000006</v>
      </c>
      <c r="P25" s="85">
        <v>491.36599999999999</v>
      </c>
      <c r="Q25" s="85">
        <v>491.36</v>
      </c>
      <c r="R25" s="78">
        <v>490.65600000000001</v>
      </c>
      <c r="S25" s="78">
        <v>490.40600000000001</v>
      </c>
      <c r="T25" s="71">
        <v>0.5</v>
      </c>
      <c r="U25" s="72">
        <v>5.0000000000000001E-3</v>
      </c>
      <c r="V25" s="68">
        <v>1.2540810146600949</v>
      </c>
      <c r="W25" s="68">
        <v>0.66449720838744963</v>
      </c>
      <c r="X25" s="84">
        <v>0.70999999999997954</v>
      </c>
      <c r="Y25" s="84">
        <v>0.95400000000000773</v>
      </c>
      <c r="Z25" s="67">
        <v>1.1600000000000001</v>
      </c>
      <c r="AA25" s="88">
        <v>4.0914868095274977E-4</v>
      </c>
      <c r="AB25" s="67">
        <v>50</v>
      </c>
      <c r="AC25" s="86">
        <v>491.81400000000002</v>
      </c>
      <c r="AD25" s="80">
        <v>491.589</v>
      </c>
      <c r="AE25" s="87">
        <v>1.1580000000000155</v>
      </c>
      <c r="AF25" s="294">
        <v>1.1829999999999927</v>
      </c>
      <c r="AG25" s="291">
        <v>-0.44800000000003593</v>
      </c>
      <c r="AH25" s="82">
        <v>-0.22899999999998499</v>
      </c>
    </row>
    <row r="26" spans="1:34" ht="29.45" customHeight="1">
      <c r="A26" s="66" t="s">
        <v>331</v>
      </c>
      <c r="B26" s="67">
        <v>21</v>
      </c>
      <c r="C26" s="550">
        <v>0.73</v>
      </c>
      <c r="D26" s="68">
        <v>1.3599999999999999</v>
      </c>
      <c r="E26" s="68">
        <v>10.66449720838745</v>
      </c>
      <c r="F26" s="69">
        <v>5</v>
      </c>
      <c r="G26" s="69">
        <v>173.44870248872957</v>
      </c>
      <c r="H26" s="69">
        <v>330.43358295035063</v>
      </c>
      <c r="I26" s="67">
        <v>0.6</v>
      </c>
      <c r="J26" s="67">
        <v>600</v>
      </c>
      <c r="K26" s="67">
        <v>1</v>
      </c>
      <c r="L26" s="68">
        <v>0.28856243690102185</v>
      </c>
      <c r="M26" s="68">
        <v>0.76000000000000045</v>
      </c>
      <c r="N26" s="68">
        <v>0.3024</v>
      </c>
      <c r="O26" s="70">
        <v>0.45600000000000024</v>
      </c>
      <c r="P26" s="85">
        <v>491.36</v>
      </c>
      <c r="Q26" s="85">
        <v>491.22699999999998</v>
      </c>
      <c r="R26" s="78">
        <v>490.40600000000001</v>
      </c>
      <c r="S26" s="78">
        <v>490.36400000000003</v>
      </c>
      <c r="T26" s="71">
        <v>0.2</v>
      </c>
      <c r="U26" s="72">
        <v>2E-3</v>
      </c>
      <c r="V26" s="68">
        <v>1.0238060055798925</v>
      </c>
      <c r="W26" s="68">
        <v>0.34186163989315238</v>
      </c>
      <c r="X26" s="84">
        <v>0.95400000000000773</v>
      </c>
      <c r="Y26" s="84">
        <v>0.8629999999999427</v>
      </c>
      <c r="Z26" s="67">
        <v>1.1600000000000001</v>
      </c>
      <c r="AA26" s="88">
        <v>1.483952416845733E-3</v>
      </c>
      <c r="AB26" s="67">
        <v>21</v>
      </c>
      <c r="AC26" s="86">
        <v>491.589</v>
      </c>
      <c r="AD26" s="80">
        <v>491.73899999999998</v>
      </c>
      <c r="AE26" s="87">
        <v>1.1829999999999927</v>
      </c>
      <c r="AF26" s="294">
        <v>1.3749999999999432</v>
      </c>
      <c r="AG26" s="291">
        <v>-0.22899999999998499</v>
      </c>
      <c r="AH26" s="82">
        <v>-0.51200000000000045</v>
      </c>
    </row>
    <row r="27" spans="1:34" ht="29.45" customHeight="1">
      <c r="A27" s="66" t="s">
        <v>342</v>
      </c>
      <c r="B27" s="67">
        <v>68</v>
      </c>
      <c r="C27" s="550"/>
      <c r="D27" s="68">
        <v>1.3599999999999999</v>
      </c>
      <c r="E27" s="68">
        <v>11.006358848280602</v>
      </c>
      <c r="F27" s="69">
        <v>5</v>
      </c>
      <c r="G27" s="69">
        <v>171.40939932397157</v>
      </c>
      <c r="H27" s="69">
        <v>328.70278028415714</v>
      </c>
      <c r="I27" s="67">
        <v>0.6</v>
      </c>
      <c r="J27" s="67">
        <v>600</v>
      </c>
      <c r="K27" s="67">
        <v>1</v>
      </c>
      <c r="L27" s="68">
        <v>0.18154696397716352</v>
      </c>
      <c r="M27" s="68">
        <v>0.54000000000000026</v>
      </c>
      <c r="N27" s="68">
        <v>0.2621</v>
      </c>
      <c r="O27" s="70">
        <v>0.32400000000000012</v>
      </c>
      <c r="P27" s="85">
        <v>491.22699999999998</v>
      </c>
      <c r="Q27" s="85">
        <v>491.38099999999997</v>
      </c>
      <c r="R27" s="78">
        <v>490.36400000000003</v>
      </c>
      <c r="S27" s="78">
        <v>490.02400000000006</v>
      </c>
      <c r="T27" s="71">
        <v>0.5</v>
      </c>
      <c r="U27" s="72">
        <v>5.0000000000000001E-3</v>
      </c>
      <c r="V27" s="68">
        <v>1.4715595217929445</v>
      </c>
      <c r="W27" s="68">
        <v>0.77015799670303708</v>
      </c>
      <c r="X27" s="84">
        <v>0.8629999999999427</v>
      </c>
      <c r="Y27" s="84">
        <v>1.3569999999999141</v>
      </c>
      <c r="Z27" s="67">
        <v>1.1600000000000001</v>
      </c>
      <c r="AA27" s="88">
        <v>1.4684473214223882E-3</v>
      </c>
      <c r="AB27" s="67">
        <v>68</v>
      </c>
      <c r="AC27" s="86">
        <v>491.73899999999998</v>
      </c>
      <c r="AD27" s="80">
        <v>491.67200000000003</v>
      </c>
      <c r="AE27" s="87">
        <v>1.3749999999999432</v>
      </c>
      <c r="AF27" s="294">
        <v>1.6479999999999677</v>
      </c>
      <c r="AG27" s="291">
        <v>-0.51200000000000045</v>
      </c>
      <c r="AH27" s="82">
        <v>-0.29100000000005366</v>
      </c>
    </row>
    <row r="28" spans="1:34" ht="29.45" customHeight="1">
      <c r="A28" s="290" t="s">
        <v>343</v>
      </c>
      <c r="B28" s="67">
        <v>29</v>
      </c>
      <c r="C28" s="550"/>
      <c r="D28" s="68">
        <v>4.9099999999999993</v>
      </c>
      <c r="E28" s="68">
        <v>15.152174870457888</v>
      </c>
      <c r="F28" s="69">
        <v>5</v>
      </c>
      <c r="G28" s="69">
        <v>150.37956158620835</v>
      </c>
      <c r="H28" s="69">
        <v>914.52851364930075</v>
      </c>
      <c r="I28" s="67">
        <v>1.2</v>
      </c>
      <c r="J28" s="67">
        <v>1200</v>
      </c>
      <c r="K28" s="67">
        <v>1</v>
      </c>
      <c r="L28" s="68">
        <v>7.1293200033652845E-2</v>
      </c>
      <c r="M28" s="68">
        <v>0.32000000000000006</v>
      </c>
      <c r="N28" s="68">
        <v>0.1802</v>
      </c>
      <c r="O28" s="70">
        <v>0.38400000000000006</v>
      </c>
      <c r="P28" s="85">
        <v>491.38099999999997</v>
      </c>
      <c r="Q28" s="85">
        <v>490.99900000000002</v>
      </c>
      <c r="R28" s="78">
        <v>489.27049999999986</v>
      </c>
      <c r="S28" s="78">
        <v>488.86449999999985</v>
      </c>
      <c r="T28" s="71">
        <v>1.4000000000000001</v>
      </c>
      <c r="U28" s="72">
        <v>1.4E-2</v>
      </c>
      <c r="V28" s="68">
        <v>3.0448695407206716</v>
      </c>
      <c r="W28" s="68">
        <v>0.15873695961993042</v>
      </c>
      <c r="X28" s="84">
        <v>2.1105000000001155</v>
      </c>
      <c r="Y28" s="84">
        <v>2.1345000000001733</v>
      </c>
      <c r="Z28" s="67">
        <v>2.4</v>
      </c>
      <c r="AA28" s="88">
        <v>6.3406625256884049E-4</v>
      </c>
      <c r="AB28" s="67">
        <v>29</v>
      </c>
      <c r="AC28" s="86">
        <v>491.67200000000003</v>
      </c>
      <c r="AD28" s="80">
        <v>490.99900000000002</v>
      </c>
      <c r="AE28" s="87">
        <v>2.4015000000001692</v>
      </c>
      <c r="AF28" s="294">
        <v>2.1345000000001733</v>
      </c>
      <c r="AG28" s="291">
        <v>-0.29100000000005366</v>
      </c>
      <c r="AH28" s="82">
        <v>0</v>
      </c>
    </row>
    <row r="29" spans="1:34" ht="29.45" customHeight="1">
      <c r="A29" s="66" t="s">
        <v>344</v>
      </c>
      <c r="B29" s="67">
        <v>36</v>
      </c>
      <c r="C29" s="550"/>
      <c r="D29" s="68">
        <v>4.9099999999999993</v>
      </c>
      <c r="E29" s="68">
        <v>15.310911830077819</v>
      </c>
      <c r="F29" s="69">
        <v>5</v>
      </c>
      <c r="G29" s="69">
        <v>149.68864861247027</v>
      </c>
      <c r="H29" s="69">
        <v>912.09347511439853</v>
      </c>
      <c r="I29" s="67">
        <v>0.8</v>
      </c>
      <c r="J29" s="67">
        <v>800</v>
      </c>
      <c r="K29" s="67">
        <v>1</v>
      </c>
      <c r="L29" s="68">
        <v>0.3019518718648419</v>
      </c>
      <c r="M29" s="68">
        <v>0.79000000000000048</v>
      </c>
      <c r="N29" s="68">
        <v>0.30399999999999999</v>
      </c>
      <c r="O29" s="70">
        <v>0.63200000000000045</v>
      </c>
      <c r="P29" s="85">
        <v>490.99900000000002</v>
      </c>
      <c r="Q29" s="85">
        <v>490.67099999999999</v>
      </c>
      <c r="R29" s="78">
        <v>488.86449999999985</v>
      </c>
      <c r="S29" s="78">
        <v>488.75649999999985</v>
      </c>
      <c r="T29" s="71">
        <v>0.3</v>
      </c>
      <c r="U29" s="72">
        <v>3.0000000000000001E-3</v>
      </c>
      <c r="V29" s="68">
        <v>1.5243463594402307</v>
      </c>
      <c r="W29" s="68">
        <v>0.393611331364567</v>
      </c>
      <c r="X29" s="84">
        <v>2.1345000000001733</v>
      </c>
      <c r="Y29" s="84">
        <v>1.914500000000146</v>
      </c>
      <c r="Z29" s="67">
        <v>1.3800000000000001</v>
      </c>
      <c r="AA29" s="88">
        <v>2.4372893630478566E-3</v>
      </c>
      <c r="AB29" s="67">
        <v>36</v>
      </c>
      <c r="AC29" s="86">
        <v>490.99900000000002</v>
      </c>
      <c r="AD29" s="80">
        <v>490.67099999999999</v>
      </c>
      <c r="AE29" s="87">
        <v>2.1345000000001733</v>
      </c>
      <c r="AF29" s="294">
        <v>1.914500000000146</v>
      </c>
      <c r="AG29" s="291">
        <v>0</v>
      </c>
      <c r="AH29" s="82">
        <v>0</v>
      </c>
    </row>
    <row r="30" spans="1:34" ht="29.45" customHeight="1">
      <c r="A30" s="66" t="s">
        <v>345</v>
      </c>
      <c r="B30" s="67">
        <v>13</v>
      </c>
      <c r="C30" s="550"/>
      <c r="D30" s="68">
        <v>4.9099999999999993</v>
      </c>
      <c r="E30" s="68">
        <v>15.704523161442387</v>
      </c>
      <c r="F30" s="69">
        <v>5</v>
      </c>
      <c r="G30" s="69">
        <v>148.00603654505733</v>
      </c>
      <c r="H30" s="69">
        <v>906.08303041694182</v>
      </c>
      <c r="I30" s="67">
        <v>0.8</v>
      </c>
      <c r="J30" s="67">
        <v>800</v>
      </c>
      <c r="K30" s="67">
        <v>1</v>
      </c>
      <c r="L30" s="68">
        <v>0.2999620922242085</v>
      </c>
      <c r="M30" s="68">
        <v>0.78000000000000047</v>
      </c>
      <c r="N30" s="68">
        <v>0.30359999999999998</v>
      </c>
      <c r="O30" s="70">
        <v>0.62400000000000044</v>
      </c>
      <c r="P30" s="85">
        <v>490.67099999999999</v>
      </c>
      <c r="Q30" s="85">
        <v>490.04700000000003</v>
      </c>
      <c r="R30" s="78">
        <v>488.75649999999985</v>
      </c>
      <c r="S30" s="78">
        <v>488.71749999999986</v>
      </c>
      <c r="T30" s="71">
        <v>0.3</v>
      </c>
      <c r="U30" s="72">
        <v>3.0000000000000001E-3</v>
      </c>
      <c r="V30" s="68">
        <v>1.5230089201055272</v>
      </c>
      <c r="W30" s="68">
        <v>0.14226224403968307</v>
      </c>
      <c r="X30" s="84">
        <v>1.914500000000146</v>
      </c>
      <c r="Y30" s="84">
        <v>1.3295000000001664</v>
      </c>
      <c r="Z30" s="67">
        <v>1.3800000000000001</v>
      </c>
      <c r="AA30" s="88">
        <v>2.4052730703013913E-3</v>
      </c>
      <c r="AB30" s="67">
        <v>13</v>
      </c>
      <c r="AC30" s="295">
        <v>490.67099999999999</v>
      </c>
      <c r="AD30" s="296">
        <v>490.04700000000003</v>
      </c>
      <c r="AE30" s="297">
        <v>1.914500000000146</v>
      </c>
      <c r="AF30" s="298">
        <v>1.3295000000001664</v>
      </c>
      <c r="AG30" s="291">
        <v>0</v>
      </c>
      <c r="AH30" s="82">
        <v>0</v>
      </c>
    </row>
    <row r="31" spans="1:34" ht="29.45" customHeight="1">
      <c r="A31" s="300" t="s">
        <v>349</v>
      </c>
      <c r="B31" s="301">
        <v>52</v>
      </c>
      <c r="C31" s="551">
        <v>15</v>
      </c>
      <c r="D31" s="302">
        <v>19.91</v>
      </c>
      <c r="E31" s="302">
        <v>40</v>
      </c>
      <c r="F31" s="303">
        <v>5</v>
      </c>
      <c r="G31" s="303">
        <v>90.001930357989949</v>
      </c>
      <c r="H31" s="303">
        <v>2095.4030534953349</v>
      </c>
      <c r="I31" s="301">
        <v>0.8</v>
      </c>
      <c r="J31" s="301">
        <v>800</v>
      </c>
      <c r="K31" s="301">
        <v>1</v>
      </c>
      <c r="L31" s="305">
        <v>0.32988907929954048</v>
      </c>
      <c r="M31" s="68">
        <v>0.88000000000000056</v>
      </c>
      <c r="N31" s="68">
        <v>0.30070000000000002</v>
      </c>
      <c r="O31" s="304">
        <v>0.70400000000000051</v>
      </c>
      <c r="P31" s="306">
        <v>490.04700000000003</v>
      </c>
      <c r="Q31" s="307">
        <v>489</v>
      </c>
      <c r="R31" s="307">
        <v>488.697</v>
      </c>
      <c r="S31" s="307">
        <v>487.34500000000003</v>
      </c>
      <c r="T31" s="303">
        <v>2.6</v>
      </c>
      <c r="U31" s="308">
        <v>2.5999999999999999E-2</v>
      </c>
      <c r="V31" s="302">
        <v>4.4550194129834075</v>
      </c>
      <c r="W31" s="302">
        <v>0.1945371246062165</v>
      </c>
      <c r="X31" s="309">
        <v>1.3500000000000227</v>
      </c>
      <c r="Y31" s="309">
        <v>1.6549999999999727</v>
      </c>
      <c r="Z31" s="301"/>
      <c r="AA31" s="310">
        <v>2.5212714819947083E-2</v>
      </c>
      <c r="AB31" s="301">
        <v>52</v>
      </c>
      <c r="AC31" s="307"/>
      <c r="AD31" s="307"/>
      <c r="AE31" s="312"/>
      <c r="AF31" s="311"/>
      <c r="AG31" s="291">
        <v>490.04700000000003</v>
      </c>
      <c r="AH31" s="82">
        <v>489</v>
      </c>
    </row>
    <row r="32" spans="1:34" ht="29.45" customHeight="1">
      <c r="Q32" s="289"/>
    </row>
    <row r="68" ht="28.5" customHeight="1"/>
  </sheetData>
  <mergeCells count="45">
    <mergeCell ref="AH13:AH14"/>
    <mergeCell ref="L13:L14"/>
    <mergeCell ref="M13:M14"/>
    <mergeCell ref="N13:N14"/>
    <mergeCell ref="O13:O14"/>
    <mergeCell ref="P13:S13"/>
    <mergeCell ref="AC13:AC14"/>
    <mergeCell ref="T13:T14"/>
    <mergeCell ref="U13:U14"/>
    <mergeCell ref="V13:V14"/>
    <mergeCell ref="W13:W14"/>
    <mergeCell ref="X13:X14"/>
    <mergeCell ref="AD13:AD14"/>
    <mergeCell ref="AE13:AE14"/>
    <mergeCell ref="AF13:AF14"/>
    <mergeCell ref="AG13:AG14"/>
    <mergeCell ref="F6:I6"/>
    <mergeCell ref="Z3:AA4"/>
    <mergeCell ref="L3:M4"/>
    <mergeCell ref="N3:O4"/>
    <mergeCell ref="G5:H5"/>
    <mergeCell ref="I5:J5"/>
    <mergeCell ref="T3:U4"/>
    <mergeCell ref="V3:W4"/>
    <mergeCell ref="X3:Y4"/>
    <mergeCell ref="P3:Q3"/>
    <mergeCell ref="P4:Q4"/>
    <mergeCell ref="R3:S4"/>
    <mergeCell ref="H3:I4"/>
    <mergeCell ref="J3:K4"/>
    <mergeCell ref="A12:AF12"/>
    <mergeCell ref="A13:A15"/>
    <mergeCell ref="B13:B14"/>
    <mergeCell ref="C13:D13"/>
    <mergeCell ref="E13:E14"/>
    <mergeCell ref="F13:F14"/>
    <mergeCell ref="G13:G14"/>
    <mergeCell ref="H13:H14"/>
    <mergeCell ref="I13:I14"/>
    <mergeCell ref="J13:J14"/>
    <mergeCell ref="K13:K14"/>
    <mergeCell ref="Y13:Y14"/>
    <mergeCell ref="Z13:Z14"/>
    <mergeCell ref="AA13:AA14"/>
    <mergeCell ref="AB13:AB14"/>
  </mergeCells>
  <phoneticPr fontId="14" type="noConversion"/>
  <pageMargins left="0.59055118110236227" right="0.59055118110236227" top="0.59055118110236227" bottom="0.59055118110236227" header="0" footer="0"/>
  <pageSetup paperSize="8" scale="58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Memória de Drenagem</vt:lpstr>
      <vt:lpstr>Memória de Pavimentação</vt:lpstr>
      <vt:lpstr>Calçada e Acessibilidade</vt:lpstr>
      <vt:lpstr>DIMENS</vt:lpstr>
      <vt:lpstr>'Calçada e Acessibilidade'!Area_de_impressao</vt:lpstr>
      <vt:lpstr>DIMENS!Area_de_impressao</vt:lpstr>
      <vt:lpstr>'Memória de Drenagem'!Area_de_impressao</vt:lpstr>
      <vt:lpstr>'Memória de Pavimentação'!Area_de_impressao</vt:lpstr>
      <vt:lpstr>'Memória de Pavimentação'!Titulos_de_impressao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2024-06-12T19:00:23Z</dcterms:modified>
  <cp:category/>
  <cp:contentStatus/>
</cp:coreProperties>
</file>