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ANALISE ISS" sheetId="3" r:id="rId1"/>
    <sheet name="Construção e Restauração Rod" sheetId="4" r:id="rId2"/>
    <sheet name="Construção de Obras de Arte Esp" sheetId="5" r:id="rId3"/>
    <sheet name="Recuperação, Ref e Alarg OAE" sheetId="6" r:id="rId4"/>
  </sheets>
  <definedNames>
    <definedName name="_xlnm._FilterDatabase" localSheetId="0" hidden="1">'ANALISE ISS'!$B$4:$G$4</definedName>
    <definedName name="_xlnm.Print_Area" localSheetId="0">'ANALISE ISS'!$B$2:$H$105</definedName>
    <definedName name="_xlnm.Print_Area" localSheetId="2">'Construção de Obras de Arte Esp'!$B$2:$K$46</definedName>
    <definedName name="_xlnm.Print_Area" localSheetId="1">'Construção e Restauração Rod'!$B$2:$I$46</definedName>
    <definedName name="_xlnm.Print_Area" localSheetId="3">'Recuperação, Ref e Alarg OAE'!$B$2:$M$46</definedName>
    <definedName name="_xlnm.Print_Titles" localSheetId="0">'ANALISE ISS'!$B:$F,'ANALISE ISS'!$1:$3</definedName>
  </definedNames>
  <calcPr calcId="162913"/>
</workbook>
</file>

<file path=xl/calcChain.xml><?xml version="1.0" encoding="utf-8"?>
<calcChain xmlns="http://schemas.openxmlformats.org/spreadsheetml/2006/main">
  <c r="F18" i="5" l="1"/>
  <c r="G50" i="3"/>
  <c r="G66" i="3"/>
  <c r="G84" i="3"/>
  <c r="G33" i="3"/>
  <c r="B23" i="4" l="1"/>
  <c r="H24" i="4"/>
  <c r="F24" i="4"/>
  <c r="D24" i="4"/>
  <c r="D23" i="4"/>
  <c r="H24" i="6"/>
  <c r="F24" i="6"/>
  <c r="D24" i="6"/>
  <c r="D23" i="6"/>
  <c r="L23" i="6"/>
  <c r="J23" i="6"/>
  <c r="B37" i="5"/>
  <c r="B36" i="5"/>
  <c r="B35" i="5"/>
  <c r="B32" i="5"/>
  <c r="B27" i="5"/>
  <c r="B28" i="5"/>
  <c r="B29" i="5"/>
  <c r="B26" i="5"/>
  <c r="E25" i="5"/>
  <c r="F25" i="5"/>
  <c r="G25" i="5"/>
  <c r="H25" i="5"/>
  <c r="I25" i="5"/>
  <c r="J25" i="5"/>
  <c r="K25" i="5"/>
  <c r="D25" i="5"/>
  <c r="J24" i="5"/>
  <c r="H24" i="5"/>
  <c r="F24" i="5"/>
  <c r="F23" i="5"/>
  <c r="D23" i="5"/>
  <c r="B2" i="6" l="1"/>
  <c r="B2" i="5"/>
  <c r="D44" i="6"/>
  <c r="B45" i="6"/>
  <c r="B44" i="6"/>
  <c r="D44" i="5"/>
  <c r="B45" i="5"/>
  <c r="B44" i="5"/>
  <c r="D45" i="6" l="1"/>
  <c r="D45" i="4"/>
  <c r="D45" i="5"/>
  <c r="D37" i="4" l="1"/>
  <c r="H37" i="4" s="1"/>
  <c r="F37" i="4" l="1"/>
  <c r="J39" i="6"/>
  <c r="K32" i="6"/>
  <c r="K33" i="6" s="1"/>
  <c r="K26" i="6"/>
  <c r="K40" i="6" s="1"/>
  <c r="K20" i="6"/>
  <c r="K18" i="6" s="1"/>
  <c r="J19" i="6"/>
  <c r="K14" i="6"/>
  <c r="K9" i="6"/>
  <c r="J7" i="6"/>
  <c r="H39" i="6"/>
  <c r="F39" i="6"/>
  <c r="D39" i="6"/>
  <c r="L39" i="6"/>
  <c r="I32" i="6"/>
  <c r="I33" i="6" s="1"/>
  <c r="G32" i="6"/>
  <c r="G33" i="6" s="1"/>
  <c r="E32" i="6"/>
  <c r="E33" i="6" s="1"/>
  <c r="M32" i="6"/>
  <c r="M33" i="6" s="1"/>
  <c r="C27" i="6"/>
  <c r="E26" i="6"/>
  <c r="M26" i="6"/>
  <c r="E20" i="6"/>
  <c r="E16" i="6" s="1"/>
  <c r="M20" i="6"/>
  <c r="L7" i="6" s="1"/>
  <c r="D19" i="6"/>
  <c r="L19" i="6"/>
  <c r="H18" i="6"/>
  <c r="F18" i="6"/>
  <c r="H17" i="6"/>
  <c r="F17" i="6"/>
  <c r="H16" i="6"/>
  <c r="F16" i="6"/>
  <c r="F19" i="6" s="1"/>
  <c r="I14" i="6"/>
  <c r="G14" i="6"/>
  <c r="E14" i="6"/>
  <c r="M14" i="6"/>
  <c r="H10" i="6"/>
  <c r="F10" i="6"/>
  <c r="H9" i="6"/>
  <c r="F9" i="6"/>
  <c r="I7" i="6"/>
  <c r="G7" i="6"/>
  <c r="D39" i="5"/>
  <c r="E32" i="5"/>
  <c r="E33" i="5" s="1"/>
  <c r="E26" i="5"/>
  <c r="E20" i="5"/>
  <c r="E9" i="5" s="1"/>
  <c r="D19" i="5"/>
  <c r="E14" i="5"/>
  <c r="J39" i="5"/>
  <c r="H39" i="5"/>
  <c r="F39" i="5"/>
  <c r="K32" i="5"/>
  <c r="K33" i="5" s="1"/>
  <c r="I32" i="5"/>
  <c r="I33" i="5" s="1"/>
  <c r="G32" i="5"/>
  <c r="G33" i="5" s="1"/>
  <c r="C27" i="5"/>
  <c r="G26" i="5"/>
  <c r="G20" i="5"/>
  <c r="F13" i="5" s="1"/>
  <c r="F14" i="5" s="1"/>
  <c r="F19" i="5"/>
  <c r="J18" i="5"/>
  <c r="H18" i="5"/>
  <c r="J17" i="5"/>
  <c r="H17" i="5"/>
  <c r="J16" i="5"/>
  <c r="H16" i="5"/>
  <c r="K14" i="5"/>
  <c r="I14" i="5"/>
  <c r="G14" i="5"/>
  <c r="J10" i="5"/>
  <c r="H10" i="5"/>
  <c r="J9" i="5"/>
  <c r="H9" i="5"/>
  <c r="K7" i="5"/>
  <c r="K26" i="5" s="1"/>
  <c r="I7" i="5"/>
  <c r="H18" i="4"/>
  <c r="H19" i="4" s="1"/>
  <c r="H17" i="4"/>
  <c r="H16" i="4"/>
  <c r="F18" i="4"/>
  <c r="G20" i="4" s="1"/>
  <c r="G18" i="4" s="1"/>
  <c r="F17" i="4"/>
  <c r="F16" i="4"/>
  <c r="H10" i="4"/>
  <c r="F10" i="4"/>
  <c r="H9" i="4"/>
  <c r="F9" i="4"/>
  <c r="G7" i="4"/>
  <c r="I7" i="4"/>
  <c r="I26" i="4" s="1"/>
  <c r="H39" i="4"/>
  <c r="I32" i="4"/>
  <c r="I33" i="4" s="1"/>
  <c r="I14" i="4"/>
  <c r="F39" i="4"/>
  <c r="G32" i="4"/>
  <c r="G33" i="4" s="1"/>
  <c r="G26" i="4"/>
  <c r="G14" i="4"/>
  <c r="H19" i="6" l="1"/>
  <c r="K40" i="5"/>
  <c r="K38" i="5" s="1"/>
  <c r="E18" i="5"/>
  <c r="E16" i="5"/>
  <c r="E17" i="5"/>
  <c r="G40" i="5"/>
  <c r="G37" i="5" s="1"/>
  <c r="D7" i="5"/>
  <c r="F19" i="4"/>
  <c r="E40" i="5"/>
  <c r="D26" i="5" s="1"/>
  <c r="E10" i="5"/>
  <c r="D13" i="5"/>
  <c r="D14" i="5" s="1"/>
  <c r="M17" i="6"/>
  <c r="E40" i="6"/>
  <c r="E37" i="6" s="1"/>
  <c r="M10" i="6"/>
  <c r="L13" i="6"/>
  <c r="L14" i="6" s="1"/>
  <c r="D13" i="6"/>
  <c r="D14" i="6" s="1"/>
  <c r="E17" i="6"/>
  <c r="E10" i="6"/>
  <c r="D7" i="6"/>
  <c r="I20" i="6"/>
  <c r="H7" i="6" s="1"/>
  <c r="K38" i="6"/>
  <c r="K37" i="6"/>
  <c r="K35" i="6"/>
  <c r="J26" i="6"/>
  <c r="K36" i="6"/>
  <c r="J32" i="6"/>
  <c r="J33" i="6" s="1"/>
  <c r="K29" i="6"/>
  <c r="K28" i="6"/>
  <c r="K10" i="6"/>
  <c r="J13" i="6"/>
  <c r="J14" i="6" s="1"/>
  <c r="K16" i="6"/>
  <c r="K17" i="6"/>
  <c r="E38" i="6"/>
  <c r="I26" i="6"/>
  <c r="G26" i="6"/>
  <c r="M18" i="6"/>
  <c r="M40" i="6"/>
  <c r="L26" i="6" s="1"/>
  <c r="G20" i="6"/>
  <c r="E18" i="6"/>
  <c r="E9" i="6"/>
  <c r="M9" i="6"/>
  <c r="M16" i="6"/>
  <c r="G10" i="5"/>
  <c r="G16" i="5"/>
  <c r="F7" i="5"/>
  <c r="G18" i="5"/>
  <c r="G36" i="5"/>
  <c r="G35" i="5"/>
  <c r="G29" i="5"/>
  <c r="G38" i="5"/>
  <c r="G28" i="5"/>
  <c r="F26" i="5"/>
  <c r="I26" i="5"/>
  <c r="J19" i="5"/>
  <c r="G17" i="5"/>
  <c r="I20" i="5"/>
  <c r="I10" i="5" s="1"/>
  <c r="K20" i="5"/>
  <c r="K10" i="5" s="1"/>
  <c r="H19" i="5"/>
  <c r="G9" i="5"/>
  <c r="I20" i="4"/>
  <c r="H7" i="4" s="1"/>
  <c r="G9" i="4"/>
  <c r="F13" i="4"/>
  <c r="F14" i="4" s="1"/>
  <c r="G10" i="4"/>
  <c r="F7" i="4"/>
  <c r="G16" i="4"/>
  <c r="G17" i="4"/>
  <c r="E32" i="4"/>
  <c r="C27" i="4"/>
  <c r="G40" i="4" s="1"/>
  <c r="E26" i="4"/>
  <c r="E29" i="6" l="1"/>
  <c r="D26" i="6"/>
  <c r="E36" i="6"/>
  <c r="E28" i="6"/>
  <c r="E27" i="6" s="1"/>
  <c r="E30" i="6" s="1"/>
  <c r="D32" i="6"/>
  <c r="D33" i="6" s="1"/>
  <c r="E35" i="6"/>
  <c r="E39" i="6" s="1"/>
  <c r="I40" i="4"/>
  <c r="I29" i="4" s="1"/>
  <c r="K35" i="5"/>
  <c r="J26" i="5"/>
  <c r="K36" i="5"/>
  <c r="K29" i="5"/>
  <c r="J32" i="5"/>
  <c r="J33" i="5" s="1"/>
  <c r="K37" i="5"/>
  <c r="K28" i="5"/>
  <c r="E8" i="5"/>
  <c r="D8" i="5" s="1"/>
  <c r="D11" i="5" s="1"/>
  <c r="D20" i="5" s="1"/>
  <c r="G19" i="5"/>
  <c r="E38" i="5"/>
  <c r="E19" i="5"/>
  <c r="E28" i="5"/>
  <c r="E37" i="5"/>
  <c r="E36" i="5"/>
  <c r="E35" i="5"/>
  <c r="F32" i="5"/>
  <c r="F33" i="5" s="1"/>
  <c r="D32" i="5"/>
  <c r="D33" i="5" s="1"/>
  <c r="E29" i="5"/>
  <c r="I10" i="6"/>
  <c r="E19" i="6"/>
  <c r="I18" i="6"/>
  <c r="I16" i="6"/>
  <c r="I17" i="6"/>
  <c r="I9" i="6"/>
  <c r="H13" i="6"/>
  <c r="H14" i="6" s="1"/>
  <c r="K19" i="6"/>
  <c r="K27" i="6"/>
  <c r="J27" i="6" s="1"/>
  <c r="J30" i="6" s="1"/>
  <c r="J40" i="6" s="1"/>
  <c r="K8" i="6"/>
  <c r="K39" i="6"/>
  <c r="F7" i="6"/>
  <c r="G9" i="6"/>
  <c r="G16" i="6"/>
  <c r="F13" i="6"/>
  <c r="F14" i="6" s="1"/>
  <c r="G18" i="6"/>
  <c r="G17" i="6"/>
  <c r="M8" i="6"/>
  <c r="M36" i="6"/>
  <c r="M29" i="6"/>
  <c r="M28" i="6"/>
  <c r="M38" i="6"/>
  <c r="L32" i="6"/>
  <c r="L33" i="6" s="1"/>
  <c r="M37" i="6"/>
  <c r="M35" i="6"/>
  <c r="G40" i="6"/>
  <c r="F26" i="6" s="1"/>
  <c r="I40" i="6"/>
  <c r="H26" i="6" s="1"/>
  <c r="M19" i="6"/>
  <c r="E8" i="6"/>
  <c r="G10" i="6"/>
  <c r="K16" i="5"/>
  <c r="I16" i="5"/>
  <c r="I17" i="5"/>
  <c r="G8" i="5"/>
  <c r="F8" i="5" s="1"/>
  <c r="F11" i="5" s="1"/>
  <c r="F20" i="5" s="1"/>
  <c r="G27" i="5"/>
  <c r="F27" i="5" s="1"/>
  <c r="F30" i="5" s="1"/>
  <c r="F40" i="5" s="1"/>
  <c r="I40" i="5"/>
  <c r="G39" i="5"/>
  <c r="K17" i="5"/>
  <c r="J13" i="5"/>
  <c r="J14" i="5" s="1"/>
  <c r="J7" i="5"/>
  <c r="K9" i="5"/>
  <c r="I9" i="5"/>
  <c r="H7" i="5"/>
  <c r="H13" i="5"/>
  <c r="H14" i="5" s="1"/>
  <c r="K18" i="5"/>
  <c r="I18" i="5"/>
  <c r="I10" i="4"/>
  <c r="I9" i="4"/>
  <c r="I18" i="4"/>
  <c r="I17" i="4"/>
  <c r="I16" i="4"/>
  <c r="H13" i="4"/>
  <c r="H14" i="4" s="1"/>
  <c r="G8" i="4"/>
  <c r="F8" i="4" s="1"/>
  <c r="F11" i="4" s="1"/>
  <c r="F20" i="4" s="1"/>
  <c r="G11" i="4"/>
  <c r="G37" i="4"/>
  <c r="G36" i="4"/>
  <c r="G35" i="4"/>
  <c r="F26" i="4"/>
  <c r="G38" i="4"/>
  <c r="G29" i="4"/>
  <c r="G28" i="4"/>
  <c r="F32" i="4"/>
  <c r="F33" i="4" s="1"/>
  <c r="G19" i="4"/>
  <c r="E20" i="4"/>
  <c r="E18" i="4" s="1"/>
  <c r="E40" i="4"/>
  <c r="E35" i="4" s="1"/>
  <c r="D39" i="4"/>
  <c r="E33" i="4"/>
  <c r="E14" i="4"/>
  <c r="E39" i="5" l="1"/>
  <c r="E11" i="5"/>
  <c r="K27" i="5"/>
  <c r="I36" i="4"/>
  <c r="I28" i="4"/>
  <c r="H32" i="4"/>
  <c r="H33" i="4" s="1"/>
  <c r="H26" i="4"/>
  <c r="I35" i="4"/>
  <c r="I38" i="4"/>
  <c r="I37" i="4"/>
  <c r="J27" i="5"/>
  <c r="J30" i="5" s="1"/>
  <c r="J40" i="5" s="1"/>
  <c r="K30" i="5"/>
  <c r="K39" i="5"/>
  <c r="G30" i="5"/>
  <c r="G11" i="5"/>
  <c r="E27" i="5"/>
  <c r="D27" i="5" s="1"/>
  <c r="D30" i="5" s="1"/>
  <c r="D40" i="5" s="1"/>
  <c r="I19" i="5"/>
  <c r="I39" i="4"/>
  <c r="D27" i="6"/>
  <c r="D30" i="6" s="1"/>
  <c r="D40" i="6" s="1"/>
  <c r="K30" i="6"/>
  <c r="K19" i="5"/>
  <c r="I19" i="6"/>
  <c r="I8" i="6"/>
  <c r="H8" i="6" s="1"/>
  <c r="H11" i="6" s="1"/>
  <c r="H20" i="6" s="1"/>
  <c r="G8" i="6"/>
  <c r="F8" i="6" s="1"/>
  <c r="F11" i="6" s="1"/>
  <c r="F20" i="6" s="1"/>
  <c r="M27" i="6"/>
  <c r="J8" i="6"/>
  <c r="J11" i="6" s="1"/>
  <c r="J20" i="6" s="1"/>
  <c r="K11" i="6"/>
  <c r="L27" i="6"/>
  <c r="L30" i="6" s="1"/>
  <c r="L40" i="6" s="1"/>
  <c r="M30" i="6"/>
  <c r="M11" i="6"/>
  <c r="L8" i="6"/>
  <c r="L11" i="6" s="1"/>
  <c r="L20" i="6" s="1"/>
  <c r="G19" i="6"/>
  <c r="M39" i="6"/>
  <c r="E11" i="6"/>
  <c r="D8" i="6"/>
  <c r="D11" i="6" s="1"/>
  <c r="D20" i="6" s="1"/>
  <c r="I38" i="6"/>
  <c r="I36" i="6"/>
  <c r="I28" i="6"/>
  <c r="H32" i="6"/>
  <c r="H33" i="6" s="1"/>
  <c r="I37" i="6"/>
  <c r="I29" i="6"/>
  <c r="I35" i="6"/>
  <c r="G29" i="6"/>
  <c r="G28" i="6"/>
  <c r="G38" i="6"/>
  <c r="G35" i="6"/>
  <c r="G37" i="6"/>
  <c r="G36" i="6"/>
  <c r="F32" i="6"/>
  <c r="F33" i="6" s="1"/>
  <c r="I8" i="5"/>
  <c r="H8" i="5" s="1"/>
  <c r="H11" i="5" s="1"/>
  <c r="H20" i="5" s="1"/>
  <c r="K8" i="5"/>
  <c r="J8" i="5" s="1"/>
  <c r="J11" i="5" s="1"/>
  <c r="J20" i="5" s="1"/>
  <c r="I37" i="5"/>
  <c r="H32" i="5"/>
  <c r="H33" i="5" s="1"/>
  <c r="I35" i="5"/>
  <c r="I29" i="5"/>
  <c r="I38" i="5"/>
  <c r="I28" i="5"/>
  <c r="I36" i="5"/>
  <c r="I27" i="5" s="1"/>
  <c r="H26" i="5"/>
  <c r="I19" i="4"/>
  <c r="G27" i="4"/>
  <c r="F27" i="4" s="1"/>
  <c r="F30" i="4" s="1"/>
  <c r="F40" i="4" s="1"/>
  <c r="I8" i="4"/>
  <c r="G39" i="4"/>
  <c r="D26" i="4"/>
  <c r="E36" i="4"/>
  <c r="E37" i="4"/>
  <c r="E38" i="4"/>
  <c r="D19" i="4"/>
  <c r="E10" i="4"/>
  <c r="D7" i="4"/>
  <c r="E9" i="4"/>
  <c r="E28" i="4"/>
  <c r="D13" i="4"/>
  <c r="D14" i="4" s="1"/>
  <c r="E29" i="4"/>
  <c r="E16" i="4"/>
  <c r="D32" i="4"/>
  <c r="D33" i="4" s="1"/>
  <c r="E17" i="4"/>
  <c r="I27" i="4" l="1"/>
  <c r="E30" i="5"/>
  <c r="I11" i="5"/>
  <c r="K11" i="5"/>
  <c r="G30" i="4"/>
  <c r="I30" i="4"/>
  <c r="H27" i="4"/>
  <c r="H30" i="4" s="1"/>
  <c r="H40" i="4" s="1"/>
  <c r="I11" i="6"/>
  <c r="G11" i="6"/>
  <c r="I27" i="6"/>
  <c r="H27" i="6" s="1"/>
  <c r="H30" i="6" s="1"/>
  <c r="H40" i="6" s="1"/>
  <c r="I39" i="6"/>
  <c r="G39" i="6"/>
  <c r="G27" i="6"/>
  <c r="H27" i="5"/>
  <c r="H30" i="5" s="1"/>
  <c r="H40" i="5" s="1"/>
  <c r="I30" i="5"/>
  <c r="I39" i="5"/>
  <c r="I11" i="4"/>
  <c r="H8" i="4"/>
  <c r="H11" i="4" s="1"/>
  <c r="H20" i="4" s="1"/>
  <c r="E39" i="4"/>
  <c r="E27" i="4"/>
  <c r="E30" i="4" s="1"/>
  <c r="E8" i="4"/>
  <c r="E11" i="4" s="1"/>
  <c r="E19" i="4"/>
  <c r="I30" i="6" l="1"/>
  <c r="F27" i="6"/>
  <c r="F30" i="6" s="1"/>
  <c r="F40" i="6" s="1"/>
  <c r="G30" i="6"/>
  <c r="D27" i="4"/>
  <c r="D30" i="4" s="1"/>
  <c r="D40" i="4" s="1"/>
  <c r="D8" i="4"/>
  <c r="D11" i="4" s="1"/>
  <c r="D20" i="4" s="1"/>
  <c r="G44" i="3" l="1"/>
  <c r="H91" i="3" l="1"/>
  <c r="G57" i="3" l="1"/>
  <c r="G55" i="3"/>
  <c r="G56" i="3"/>
  <c r="G36" i="3"/>
  <c r="G27" i="3"/>
  <c r="G81" i="3"/>
  <c r="G25" i="3"/>
  <c r="G47" i="3"/>
  <c r="G79" i="3"/>
  <c r="G52" i="3"/>
  <c r="G43" i="3"/>
  <c r="G9" i="3"/>
  <c r="G39" i="3" l="1"/>
  <c r="G8" i="3"/>
  <c r="G45" i="3"/>
  <c r="G65" i="3"/>
  <c r="G83" i="3"/>
  <c r="G32" i="3"/>
  <c r="G34" i="3"/>
  <c r="G17" i="3"/>
  <c r="G35" i="3"/>
  <c r="G21" i="3"/>
  <c r="G7" i="3"/>
  <c r="G73" i="3"/>
  <c r="G30" i="3"/>
  <c r="G20" i="3"/>
  <c r="G11" i="3"/>
  <c r="G61" i="3"/>
  <c r="G18" i="3"/>
  <c r="G40" i="3"/>
  <c r="G6" i="3"/>
  <c r="G82" i="3" l="1"/>
  <c r="G28" i="3"/>
  <c r="G29" i="3"/>
  <c r="G74" i="3"/>
  <c r="G15" i="3"/>
  <c r="G16" i="3"/>
  <c r="G46" i="3"/>
  <c r="G49" i="3"/>
  <c r="G12" i="3"/>
  <c r="G76" i="3"/>
  <c r="H101" i="3" l="1"/>
  <c r="G59" i="3" l="1"/>
  <c r="G10" i="3"/>
  <c r="G60" i="3" l="1"/>
  <c r="G64" i="3"/>
  <c r="G68" i="3"/>
  <c r="G13" i="3"/>
  <c r="G77" i="3" l="1"/>
  <c r="G62" i="3"/>
  <c r="G38" i="3"/>
  <c r="G22" i="3" l="1"/>
  <c r="G24" i="3"/>
  <c r="G26" i="3" l="1"/>
  <c r="G58" i="3"/>
  <c r="G51" i="3"/>
  <c r="G78" i="3"/>
  <c r="G53" i="3"/>
  <c r="G72" i="3"/>
  <c r="G14" i="3"/>
  <c r="G48" i="3"/>
  <c r="G41" i="3"/>
  <c r="G31" i="3"/>
  <c r="G37" i="3"/>
  <c r="G69" i="3"/>
  <c r="G42" i="3"/>
  <c r="G67" i="3"/>
  <c r="G19" i="3"/>
  <c r="G71" i="3"/>
  <c r="G54" i="3"/>
  <c r="G70" i="3"/>
  <c r="G23" i="3"/>
  <c r="G80" i="3"/>
  <c r="G75" i="3"/>
  <c r="G63" i="3"/>
  <c r="G5" i="3"/>
  <c r="H90" i="3" l="1"/>
  <c r="H36" i="3" s="1"/>
  <c r="H47" i="3"/>
  <c r="H55" i="3"/>
  <c r="H43" i="3"/>
  <c r="H56" i="3"/>
  <c r="H27" i="3"/>
  <c r="H81" i="3"/>
  <c r="H25" i="3"/>
  <c r="H52" i="3"/>
  <c r="H57" i="3"/>
  <c r="H79" i="3"/>
  <c r="H9" i="3"/>
  <c r="H39" i="3"/>
  <c r="H18" i="3"/>
  <c r="H8" i="3"/>
  <c r="H45" i="3"/>
  <c r="H40" i="3"/>
  <c r="H65" i="3"/>
  <c r="H6" i="3"/>
  <c r="H83" i="3"/>
  <c r="H34" i="3"/>
  <c r="H17" i="3"/>
  <c r="H35" i="3"/>
  <c r="H7" i="3"/>
  <c r="H32" i="3"/>
  <c r="H21" i="3"/>
  <c r="H73" i="3"/>
  <c r="H30" i="3"/>
  <c r="H61" i="3"/>
  <c r="H11" i="3"/>
  <c r="H20" i="3"/>
  <c r="H74" i="3"/>
  <c r="H15" i="3"/>
  <c r="H16" i="3"/>
  <c r="H46" i="3"/>
  <c r="H49" i="3"/>
  <c r="H12" i="3"/>
  <c r="H76" i="3"/>
  <c r="H29" i="3"/>
  <c r="H82" i="3"/>
  <c r="H100" i="3"/>
  <c r="H102" i="3" s="1"/>
  <c r="H103" i="3" s="1"/>
  <c r="H105" i="3" s="1"/>
  <c r="J105" i="3" s="1"/>
  <c r="H28" i="3"/>
  <c r="H22" i="3"/>
  <c r="H13" i="3"/>
  <c r="H63" i="3"/>
  <c r="H64" i="3"/>
  <c r="H10" i="3"/>
  <c r="H59" i="3"/>
  <c r="H68" i="3"/>
  <c r="H44" i="3"/>
  <c r="H62" i="3"/>
  <c r="H38" i="3"/>
  <c r="H77" i="3"/>
  <c r="H23" i="3"/>
  <c r="H54" i="3"/>
  <c r="H58" i="3"/>
  <c r="H60" i="3"/>
  <c r="H26" i="3"/>
  <c r="H42" i="3"/>
  <c r="H53" i="3"/>
  <c r="H14" i="3"/>
  <c r="H72" i="3"/>
  <c r="H24" i="3"/>
  <c r="H41" i="3"/>
  <c r="H70" i="3"/>
  <c r="H31" i="3"/>
  <c r="H51" i="3"/>
  <c r="H5" i="3"/>
  <c r="H48" i="3"/>
  <c r="H67" i="3"/>
  <c r="H37" i="3"/>
  <c r="H80" i="3"/>
  <c r="H75" i="3"/>
  <c r="H69" i="3"/>
  <c r="H19" i="3"/>
  <c r="H78" i="3"/>
  <c r="H71" i="3"/>
  <c r="H66" i="3" l="1"/>
  <c r="H50" i="3"/>
  <c r="H92" i="3"/>
  <c r="H93" i="3" s="1"/>
  <c r="H95" i="3" s="1"/>
  <c r="J95" i="3" s="1"/>
  <c r="H84" i="3"/>
  <c r="H33" i="3"/>
</calcChain>
</file>

<file path=xl/sharedStrings.xml><?xml version="1.0" encoding="utf-8"?>
<sst xmlns="http://schemas.openxmlformats.org/spreadsheetml/2006/main" count="584" uniqueCount="236">
  <si>
    <t xml:space="preserve"> </t>
  </si>
  <si>
    <t>Código</t>
  </si>
  <si>
    <t>Descrição</t>
  </si>
  <si>
    <t>Unidade Medida</t>
  </si>
  <si>
    <t>M0004</t>
  </si>
  <si>
    <t>Aço CA 50</t>
  </si>
  <si>
    <t>kg</t>
  </si>
  <si>
    <t>un</t>
  </si>
  <si>
    <t>M0424</t>
  </si>
  <si>
    <t>Cimento portland cp ii - 32 - saco</t>
  </si>
  <si>
    <t>m</t>
  </si>
  <si>
    <t>M0082</t>
  </si>
  <si>
    <t>Areia média lavada</t>
  </si>
  <si>
    <t>m³</t>
  </si>
  <si>
    <t>m²</t>
  </si>
  <si>
    <t>M0284</t>
  </si>
  <si>
    <t>M0192</t>
  </si>
  <si>
    <t>Brita 2</t>
  </si>
  <si>
    <t>M0191</t>
  </si>
  <si>
    <t>Brita 1</t>
  </si>
  <si>
    <t>M0310</t>
  </si>
  <si>
    <t>M0290</t>
  </si>
  <si>
    <t>M0075</t>
  </si>
  <si>
    <t>Arame liso recozido em aço-carbono - d = 1,24 mm (18 bwg)</t>
  </si>
  <si>
    <t>IMT0000152</t>
  </si>
  <si>
    <t>M0286</t>
  </si>
  <si>
    <t>M1205</t>
  </si>
  <si>
    <t>Prego de ferro</t>
  </si>
  <si>
    <t>M0289</t>
  </si>
  <si>
    <t>M0030</t>
  </si>
  <si>
    <t>Aditivo plastificante e retardador de pega para concreto e argamassa</t>
  </si>
  <si>
    <t>M0560</t>
  </si>
  <si>
    <t>l</t>
  </si>
  <si>
    <t>Total de Materiais a Descontar do ISSQN</t>
  </si>
  <si>
    <t>a</t>
  </si>
  <si>
    <t>Total do Orçamento Referencial (Custo)</t>
  </si>
  <si>
    <t>b</t>
  </si>
  <si>
    <t>c</t>
  </si>
  <si>
    <t>Percentual de Materiais (a/b)</t>
  </si>
  <si>
    <t>Percentual de Serviços (1 - c)</t>
  </si>
  <si>
    <t>d</t>
  </si>
  <si>
    <t>e</t>
  </si>
  <si>
    <t>Aliquota de ISSQN do município</t>
  </si>
  <si>
    <t>f</t>
  </si>
  <si>
    <t>ISSQN Efetivo a ser pago (d x e)</t>
  </si>
  <si>
    <t xml:space="preserve">Quantidade </t>
  </si>
  <si>
    <t>Custo Unitário</t>
  </si>
  <si>
    <t>M0789</t>
  </si>
  <si>
    <t>M1367</t>
  </si>
  <si>
    <t>M3153</t>
  </si>
  <si>
    <t>M3235</t>
  </si>
  <si>
    <t>Película retrorrefletiva tipo I</t>
  </si>
  <si>
    <t>Placa de obra em chapa de aço galvanizado   (4813 - insumo - SINAPI)</t>
  </si>
  <si>
    <t>Caibro de pinho - l = 7,5 cm e e = 7,5 cm</t>
  </si>
  <si>
    <t>Tábua - e = 2,5 cm e l = 30 cm</t>
  </si>
  <si>
    <t>Tábua - e = 2,5 cm e l = 15 cm</t>
  </si>
  <si>
    <t>Tábua - e = 2,5 cm e l = 10 cm</t>
  </si>
  <si>
    <t>Peça de madeira - l = 7,5 cm e e = 2,5 cm</t>
  </si>
  <si>
    <t>Desmoldante para fôrmas de madeira</t>
  </si>
  <si>
    <t>Conjunto para fixação de placas em aço galvanizado composto por barra chata, abraçadeira, parafusos, porcas e arruelas</t>
  </si>
  <si>
    <t>Chapa fina em aço galvanizado</t>
  </si>
  <si>
    <t>Tinta em pó à base de resina poliéster</t>
  </si>
  <si>
    <t>Custo Total</t>
  </si>
  <si>
    <t>ORÇAMENTO SEM DESONERAÇÃO</t>
  </si>
  <si>
    <t>ORÇAMENTO COM DESONERAÇÃO</t>
  </si>
  <si>
    <t>M0285</t>
  </si>
  <si>
    <t>Pontalete para escoramento - D = 15 cm</t>
  </si>
  <si>
    <t>Administração Central</t>
  </si>
  <si>
    <t>Lucro</t>
  </si>
  <si>
    <t>PIS</t>
  </si>
  <si>
    <t>COFINS</t>
  </si>
  <si>
    <t>Valor do Orçamento</t>
  </si>
  <si>
    <t>BDI adotado</t>
  </si>
  <si>
    <t>Porcentagem</t>
  </si>
  <si>
    <t>M1097</t>
  </si>
  <si>
    <t>Pedra de mão ou rachão</t>
  </si>
  <si>
    <t>M1662</t>
  </si>
  <si>
    <t>Suporte em madeira de eucalipto tratado - seção de 8 x 8 cm</t>
  </si>
  <si>
    <t>M1968</t>
  </si>
  <si>
    <t>Defensa metálica semimaleável simples</t>
  </si>
  <si>
    <t>M2128</t>
  </si>
  <si>
    <t>Tinta esmalte sintético acetinado</t>
  </si>
  <si>
    <t>M3237</t>
  </si>
  <si>
    <t>Película retrorrefletiva tipo III</t>
  </si>
  <si>
    <t>Análise ISSQN</t>
  </si>
  <si>
    <t>M0068</t>
  </si>
  <si>
    <t>Caibro de pinho - l = 7,5 cm e e = 10,0 cm</t>
  </si>
  <si>
    <t>M0410</t>
  </si>
  <si>
    <t>Chumbador de expansão controlada por torque em aço zincado para concreto - d = 20,0 mm</t>
  </si>
  <si>
    <t>M0447</t>
  </si>
  <si>
    <t>Compensado resinado - e = 12 mm</t>
  </si>
  <si>
    <t>M1673</t>
  </si>
  <si>
    <t>Tubo de pvc rosqueável para água fria - d = 100 mm (4”)</t>
  </si>
  <si>
    <t>M1977</t>
  </si>
  <si>
    <t>Terminal de ancoragem de defensa metálica em barreira rígida (tipo d)</t>
  </si>
  <si>
    <t>M2036</t>
  </si>
  <si>
    <t>Tinta à base de resina acrílica emulsionada em água para demarcação viária</t>
  </si>
  <si>
    <t>M2037</t>
  </si>
  <si>
    <t>Microesferas refletivas de vidro tipo i-b</t>
  </si>
  <si>
    <t>M2038</t>
  </si>
  <si>
    <t>Microesferas refletivas de vidro tipo ii-a</t>
  </si>
  <si>
    <t>M2044</t>
  </si>
  <si>
    <t>Tinta à base de resina acrílica emulsionada em água para pré-marcação viária</t>
  </si>
  <si>
    <t>M2130</t>
  </si>
  <si>
    <t>Eletrodo revestido e70xx</t>
  </si>
  <si>
    <t>M2389</t>
  </si>
  <si>
    <t>Broca de widia - d = 19 mm e c = 160 mm</t>
  </si>
  <si>
    <t>M0014</t>
  </si>
  <si>
    <t>Aço CA 60</t>
  </si>
  <si>
    <t>M0069</t>
  </si>
  <si>
    <t>Arame farpado em aço galvanizado - d = 1,60 mm</t>
  </si>
  <si>
    <t>M0076</t>
  </si>
  <si>
    <t>Disco de corte abrasivo para policorte - d = 300 mm</t>
  </si>
  <si>
    <t>M0156</t>
  </si>
  <si>
    <t>Bloco de concreto - l = 19 cm, a = 19 cm e c = 39 cm</t>
  </si>
  <si>
    <t>M0345</t>
  </si>
  <si>
    <t>Cal hidratada - saco</t>
  </si>
  <si>
    <t>M0446</t>
  </si>
  <si>
    <t>Compensado resinado - e = 10 mm</t>
  </si>
  <si>
    <t>M0603</t>
  </si>
  <si>
    <t>Ponteiro para rompedor hidráulico de 520 kg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</si>
  <si>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</si>
  <si>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</si>
  <si>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</si>
  <si>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</si>
  <si>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</si>
  <si>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</si>
  <si>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M1795</t>
  </si>
  <si>
    <t>Gás oxigênio</t>
  </si>
  <si>
    <t>M1796</t>
  </si>
  <si>
    <t>Gás acetileno</t>
  </si>
  <si>
    <t>M2979</t>
  </si>
  <si>
    <t>Chumbador em aço CA 25</t>
  </si>
  <si>
    <t>M3504</t>
  </si>
  <si>
    <t>Concreto</t>
  </si>
  <si>
    <t>M0091</t>
  </si>
  <si>
    <t>Ancoragem ativa para 10 cordoalhas - d = 12,7 mm</t>
  </si>
  <si>
    <t>M0601</t>
  </si>
  <si>
    <t>Ponteiro para martelete - D = 32 mm e C = 1,00 m</t>
  </si>
  <si>
    <t>M0810</t>
  </si>
  <si>
    <t>Cabo de aço - d = 52,00 mm (2”)</t>
  </si>
  <si>
    <t>M1152</t>
  </si>
  <si>
    <t>Junta de dilatação em elastômero e perfil vv - l = 50 mm e h = 80 mm</t>
  </si>
  <si>
    <t>M0019</t>
  </si>
  <si>
    <t>Esticador em aço tipo olhal x olhal para cabo de aço - d = 13 mm</t>
  </si>
  <si>
    <t>M1150</t>
  </si>
  <si>
    <t>Adesivo estrutural à base de resina epóxi bicomponente tipo ade-52 ou similar</t>
  </si>
  <si>
    <t>M2433</t>
  </si>
  <si>
    <t>Ancoragem passiva aderente para 10 cordoalhas - D = 12,7 mm</t>
  </si>
  <si>
    <t>M0798</t>
  </si>
  <si>
    <t>Apoio de neoprene fretado</t>
  </si>
  <si>
    <t>dm³</t>
  </si>
  <si>
    <t>M3867</t>
  </si>
  <si>
    <t>Tachão refletivo em plástico injetado bidirecional</t>
  </si>
  <si>
    <t>M2388</t>
  </si>
  <si>
    <t>Broca de widia - d = 16 mm e c = 150 mm</t>
  </si>
  <si>
    <t>M1398</t>
  </si>
  <si>
    <t>Vareta em aço-carbono para solda oxiacetileno aws a 5.2 r45</t>
  </si>
  <si>
    <t>M1397</t>
  </si>
  <si>
    <t>Eletrodo revestido e60xx</t>
  </si>
  <si>
    <t>M2041</t>
  </si>
  <si>
    <t>Adesivo à base de resina poliéster</t>
  </si>
  <si>
    <t>M0450</t>
  </si>
  <si>
    <t>Compensado de virola - e = 6 mm</t>
  </si>
  <si>
    <t>M0018</t>
  </si>
  <si>
    <t>Grampo pesado em aço-carbono para cabo de aço - d = 13 mm (1/2”)</t>
  </si>
  <si>
    <t>M2470</t>
  </si>
  <si>
    <t>Bainha metálica para protensão - d = 65 mm</t>
  </si>
  <si>
    <t>M0427</t>
  </si>
  <si>
    <t>Cordoalha nua tipo cp 190 rb - d = 12,7 mm</t>
  </si>
  <si>
    <t>M0365</t>
  </si>
  <si>
    <t>Cantoneira em ferro de abas iguais - l = 25,4 mm e e = 4,76 mm</t>
  </si>
  <si>
    <t>M1378</t>
  </si>
  <si>
    <t>Chapa grossa em aço astm a36</t>
  </si>
  <si>
    <t>M2462</t>
  </si>
  <si>
    <t>Mangueira cristal trançada de pvc com pressão de trabalho de 1,50 mpa (250 psi) - d = 19,0 mm (3/4”)</t>
  </si>
  <si>
    <t>M3134</t>
  </si>
  <si>
    <t>Luva para bainha metálica - D = 65 mm</t>
  </si>
  <si>
    <t>M1022</t>
  </si>
  <si>
    <t>Massa para vidro</t>
  </si>
  <si>
    <t>M3353</t>
  </si>
  <si>
    <t>Purgador plástico</t>
  </si>
  <si>
    <t>M2419</t>
  </si>
  <si>
    <t>Parafuso de cabeça abaulada em aço inox com porca e arruela - d = 6 mm (m6) e c = 30 mm</t>
  </si>
  <si>
    <t>M0052</t>
  </si>
  <si>
    <t>Fita adesiva de pvc - l = 50 mm e c = 50 m</t>
  </si>
  <si>
    <t>LOTE: CONSTRUÇÃO DE PONTE EM CONCRETO ARMADO SOBRE O RIO ANHANDUÍ, NA RODOVIA CG-284, DIVISA DOS MUNICÍPIOS DE CAMPO GRANDE/MS E NOVA ALVORADA DO SUL/MS. COORDENADAS: 21° 33' 49.84'' S / 53° 52' 24.80" W.</t>
  </si>
  <si>
    <t>Descrição das Parcelas</t>
  </si>
  <si>
    <t>Construção de Obras de Arte Especiais</t>
  </si>
  <si>
    <t>Pequeno Porte</t>
  </si>
  <si>
    <t>Despesas Indiretas</t>
  </si>
  <si>
    <t>% sobre PV</t>
  </si>
  <si>
    <t>% sobre CD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</si>
  <si>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</si>
  <si>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</si>
  <si>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</si>
  <si>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</si>
  <si>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</si>
  <si>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</si>
  <si>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</si>
  <si>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</si>
  <si>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Subtotal 2</t>
  </si>
  <si>
    <t>Tributos</t>
  </si>
  <si>
    <t>0,65% do PV</t>
  </si>
  <si>
    <t>3,00% do PV</t>
  </si>
  <si>
    <t>ISSQN*</t>
  </si>
  <si>
    <t>5,00% do PV</t>
  </si>
  <si>
    <t>Subtotal 3</t>
  </si>
  <si>
    <t>Total - BDI (%)</t>
  </si>
  <si>
    <t>Contribuição Previdenciária sobre a Receita Bruta (CPRB)</t>
  </si>
  <si>
    <t>PV = Preço de Venda</t>
  </si>
  <si>
    <t>CD = Custo Direto</t>
  </si>
  <si>
    <t>2,70% do PV</t>
  </si>
  <si>
    <t>Construção e Restauração Rodoviária</t>
  </si>
  <si>
    <t>Valores de referência para as taxas de BDI</t>
  </si>
  <si>
    <t>Valores de referência para as taxas de BDI - Com desoneração</t>
  </si>
  <si>
    <t>Médio Porte</t>
  </si>
  <si>
    <t>Grande Porte</t>
  </si>
  <si>
    <t>Recuperação, Reforço e Alargamento de Obras de Arte Especiais</t>
  </si>
  <si>
    <t>Construção Ferroviária</t>
  </si>
  <si>
    <t>Obras Hidroviárias</t>
  </si>
  <si>
    <t>SELIC (junho/2026) = 14,25% a.a.</t>
  </si>
  <si>
    <t>DF = [(1+SELIC)^(1/12)-1] sobre (PV - Lucro), o que resulta em DF =  1,12% sobre (PV - Lucro)</t>
  </si>
  <si>
    <t>Ofício-Circular nº 6044/2026 (SEI DNIT nº 25172698)</t>
  </si>
  <si>
    <r>
      <rPr>
        <b/>
        <sz val="10"/>
        <rFont val="Calibri"/>
        <family val="2"/>
        <scheme val="minor"/>
      </rPr>
      <t>Observação:</t>
    </r>
    <r>
      <rPr>
        <sz val="10"/>
        <rFont val="Calibri"/>
        <family val="2"/>
        <scheme val="minor"/>
      </rPr>
      <t xml:space="preserve"> 
(*) Limite máximo adotado de 5%, valor variável em função da legislação de cada município. O valor real do ISSQN a ser adotado nos orçamentos dos projetos aprovados pelo DNIT deve ser aquele proveniente das alíquotas dos municípios situados na área de influência das obras.
(** ) No Art. 9°-A da Lei n° 14.973/2024 estabelece que, sobre a Contribuição Previdenciária sobre a Receita Bruta - CPRB adotada para as empresas de construção de obras de Infraestrutura, enquadradas nos grupos 421, 422, 429 e 431 da CNAE 2.0, cuja allquota é de 4,50%, deverão ser aplicadas bases de cálculos especificas a cada ano. Desse modo, durante o regime de transição deverão ser adotadas as allquotas indicadas a seguir:
• 80% de 4,50% em 2025, resultando na alíquota de 3,60%;
• 60% de 4,50% em 2026, resultando na alquota de 2,70%;
• 40% de4,50% em 2027, resultando na al(quotade 1,80%.</t>
    </r>
  </si>
  <si>
    <t>Conservação Rodoviária</t>
  </si>
  <si>
    <t>M0217</t>
  </si>
  <si>
    <t>Enxofre</t>
  </si>
  <si>
    <t>M0220</t>
  </si>
  <si>
    <t>Adubo à base de nitrogênio, fósforo e potássio (npk)</t>
  </si>
  <si>
    <t>M0225</t>
  </si>
  <si>
    <t>Adubo orgânico composto</t>
  </si>
  <si>
    <t>M0741</t>
  </si>
  <si>
    <t>Grama tipo batatais</t>
  </si>
  <si>
    <t>M1755</t>
  </si>
  <si>
    <t>Pó calcário dolomítico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</si>
</sst>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00"/>
    <numFmt numFmtId="165" formatCode="###,##0.0000"/>
    <numFmt numFmtId="166" formatCode="###,##0.00"/>
    <numFmt numFmtId="167" formatCode="0.00&quot;% sobre (PV - Lucro)&quot;"/>
  </numFmts>
  <fonts count="11" x14ac:knownFonts="1">
    <font>
      <sz val="10"/>
      <name val="Arial"/>
    </font>
    <font>
      <sz val="10"/>
      <name val="Arial"/>
      <family val="2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rgb="FFA0A0A0"/>
      </left>
      <right/>
      <top/>
      <bottom style="thin">
        <color rgb="FFA0A0A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5">
    <xf numFmtId="0" fontId="0" fillId="0" borderId="0" xfId="0" applyProtection="1"/>
    <xf numFmtId="0" fontId="2" fillId="0" borderId="5" xfId="0" applyFont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left" vertical="center" wrapText="1"/>
    </xf>
    <xf numFmtId="0" fontId="2" fillId="4" borderId="6" xfId="0" applyFont="1" applyFill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 applyProtection="1">
      <alignment horizontal="right" vertical="center" wrapText="1"/>
    </xf>
    <xf numFmtId="10" fontId="2" fillId="0" borderId="3" xfId="0" applyNumberFormat="1" applyFont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164" fontId="2" fillId="4" borderId="0" xfId="0" applyNumberFormat="1" applyFont="1" applyFill="1" applyBorder="1" applyAlignment="1" applyProtection="1">
      <alignment horizontal="right" vertical="center" wrapText="1"/>
    </xf>
    <xf numFmtId="165" fontId="2" fillId="4" borderId="0" xfId="0" applyNumberFormat="1" applyFont="1" applyFill="1" applyBorder="1" applyAlignment="1" applyProtection="1">
      <alignment horizontal="right" vertical="center" wrapText="1"/>
    </xf>
    <xf numFmtId="166" fontId="2" fillId="4" borderId="0" xfId="0" applyNumberFormat="1" applyFont="1" applyFill="1" applyBorder="1" applyAlignment="1" applyProtection="1">
      <alignment horizontal="right" vertical="center" wrapText="1"/>
    </xf>
    <xf numFmtId="166" fontId="2" fillId="4" borderId="0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164" fontId="2" fillId="2" borderId="8" xfId="0" applyNumberFormat="1" applyFont="1" applyFill="1" applyBorder="1" applyAlignment="1" applyProtection="1">
      <alignment horizontal="right" vertical="center" wrapText="1"/>
    </xf>
    <xf numFmtId="165" fontId="2" fillId="2" borderId="8" xfId="0" applyNumberFormat="1" applyFont="1" applyFill="1" applyBorder="1" applyAlignment="1" applyProtection="1">
      <alignment horizontal="right" vertical="center" wrapText="1"/>
    </xf>
    <xf numFmtId="166" fontId="2" fillId="2" borderId="2" xfId="0" applyNumberFormat="1" applyFont="1" applyFill="1" applyBorder="1" applyAlignment="1" applyProtection="1">
      <alignment horizontal="right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164" fontId="2" fillId="4" borderId="7" xfId="0" applyNumberFormat="1" applyFont="1" applyFill="1" applyBorder="1" applyAlignment="1" applyProtection="1">
      <alignment horizontal="right" vertical="center" wrapText="1"/>
    </xf>
    <xf numFmtId="165" fontId="2" fillId="4" borderId="7" xfId="0" applyNumberFormat="1" applyFont="1" applyFill="1" applyBorder="1" applyAlignment="1" applyProtection="1">
      <alignment horizontal="right" vertical="center" wrapText="1"/>
    </xf>
    <xf numFmtId="165" fontId="2" fillId="4" borderId="4" xfId="0" applyNumberFormat="1" applyFont="1" applyFill="1" applyBorder="1" applyAlignment="1" applyProtection="1">
      <alignment horizontal="right" vertical="center" wrapText="1"/>
    </xf>
    <xf numFmtId="166" fontId="3" fillId="3" borderId="4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</xf>
    <xf numFmtId="164" fontId="2" fillId="4" borderId="8" xfId="0" applyNumberFormat="1" applyFont="1" applyFill="1" applyBorder="1" applyAlignment="1" applyProtection="1">
      <alignment horizontal="right" vertical="center" wrapText="1"/>
    </xf>
    <xf numFmtId="165" fontId="2" fillId="4" borderId="8" xfId="0" applyNumberFormat="1" applyFont="1" applyFill="1" applyBorder="1" applyAlignment="1" applyProtection="1">
      <alignment horizontal="right" vertical="center" wrapText="1"/>
    </xf>
    <xf numFmtId="165" fontId="2" fillId="4" borderId="2" xfId="0" applyNumberFormat="1" applyFont="1" applyFill="1" applyBorder="1" applyAlignment="1" applyProtection="1">
      <alignment horizontal="right" vertical="center" wrapText="1"/>
    </xf>
    <xf numFmtId="10" fontId="3" fillId="3" borderId="1" xfId="0" applyNumberFormat="1" applyFont="1" applyFill="1" applyBorder="1" applyAlignment="1" applyProtection="1">
      <alignment horizontal="right" vertical="center" wrapText="1"/>
    </xf>
    <xf numFmtId="10" fontId="2" fillId="0" borderId="1" xfId="1" applyNumberFormat="1" applyFont="1" applyBorder="1" applyAlignment="1" applyProtection="1">
      <alignment horizontal="right" vertical="center" wrapText="1"/>
    </xf>
    <xf numFmtId="166" fontId="3" fillId="3" borderId="5" xfId="0" applyNumberFormat="1" applyFont="1" applyFill="1" applyBorder="1" applyAlignment="1" applyProtection="1">
      <alignment horizontal="right" vertical="center" wrapText="1"/>
    </xf>
    <xf numFmtId="164" fontId="2" fillId="0" borderId="1" xfId="0" applyNumberFormat="1" applyFont="1" applyBorder="1" applyAlignment="1" applyProtection="1">
      <alignment horizontal="right" vertical="center"/>
    </xf>
    <xf numFmtId="165" fontId="2" fillId="0" borderId="1" xfId="0" applyNumberFormat="1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5" fillId="0" borderId="0" xfId="0" applyFont="1" applyAlignment="1">
      <alignment horizontal="centerContinuous"/>
    </xf>
    <xf numFmtId="2" fontId="2" fillId="0" borderId="0" xfId="0" applyNumberFormat="1" applyFont="1" applyAlignment="1" applyProtection="1">
      <alignment vertical="center" wrapText="1"/>
    </xf>
    <xf numFmtId="0" fontId="5" fillId="0" borderId="0" xfId="0" applyFont="1" applyAlignment="1">
      <alignment horizontal="centerContinuous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Continuous" vertical="center"/>
    </xf>
    <xf numFmtId="0" fontId="7" fillId="5" borderId="18" xfId="0" applyFont="1" applyFill="1" applyBorder="1" applyAlignment="1">
      <alignment horizontal="centerContinuous" vertical="center"/>
    </xf>
    <xf numFmtId="0" fontId="7" fillId="5" borderId="19" xfId="0" applyFont="1" applyFill="1" applyBorder="1" applyAlignment="1">
      <alignment horizontal="centerContinuous" vertical="center"/>
    </xf>
    <xf numFmtId="0" fontId="7" fillId="5" borderId="10" xfId="0" applyFont="1" applyFill="1" applyBorder="1" applyAlignment="1">
      <alignment horizontal="centerContinuous" vertical="center"/>
    </xf>
    <xf numFmtId="0" fontId="7" fillId="5" borderId="11" xfId="0" applyFont="1" applyFill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2" fontId="8" fillId="0" borderId="13" xfId="0" applyNumberFormat="1" applyFont="1" applyBorder="1" applyAlignment="1">
      <alignment horizontal="center" vertical="center"/>
    </xf>
    <xf numFmtId="2" fontId="8" fillId="3" borderId="13" xfId="0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167" fontId="8" fillId="3" borderId="15" xfId="0" applyNumberFormat="1" applyFont="1" applyFill="1" applyBorder="1" applyAlignment="1">
      <alignment horizontal="center" vertical="center"/>
    </xf>
    <xf numFmtId="2" fontId="8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2" fontId="8" fillId="3" borderId="15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2" fontId="6" fillId="0" borderId="1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" fontId="8" fillId="6" borderId="15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10" fillId="0" borderId="17" xfId="0" applyFont="1" applyBorder="1" applyAlignment="1">
      <alignment horizontal="right" vertical="center"/>
    </xf>
    <xf numFmtId="2" fontId="10" fillId="0" borderId="17" xfId="0" applyNumberFormat="1" applyFont="1" applyBorder="1" applyAlignment="1">
      <alignment horizontal="center" vertical="center"/>
    </xf>
    <xf numFmtId="2" fontId="7" fillId="5" borderId="11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vertical="center"/>
    </xf>
    <xf numFmtId="2" fontId="9" fillId="0" borderId="0" xfId="1" applyNumberFormat="1" applyFont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0" fontId="9" fillId="0" borderId="0" xfId="1" applyNumberFormat="1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2" fontId="9" fillId="0" borderId="0" xfId="0" applyNumberFormat="1" applyFont="1"/>
    <xf numFmtId="2" fontId="9" fillId="0" borderId="0" xfId="1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0" fontId="9" fillId="0" borderId="0" xfId="1" applyNumberFormat="1" applyFont="1" applyAlignment="1">
      <alignment horizontal="center"/>
    </xf>
    <xf numFmtId="0" fontId="9" fillId="0" borderId="0" xfId="0" applyFont="1" applyFill="1"/>
    <xf numFmtId="0" fontId="9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/>
    <xf numFmtId="0" fontId="8" fillId="0" borderId="0" xfId="0" applyFont="1" applyFill="1"/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9" fillId="0" borderId="0" xfId="0" applyFont="1" applyFill="1" applyAlignment="1">
      <alignment vertical="center"/>
    </xf>
    <xf numFmtId="2" fontId="9" fillId="0" borderId="0" xfId="0" applyNumberFormat="1" applyFont="1" applyFill="1"/>
    <xf numFmtId="0" fontId="10" fillId="0" borderId="0" xfId="0" applyFont="1" applyFill="1" applyAlignment="1">
      <alignment vertical="center"/>
    </xf>
    <xf numFmtId="0" fontId="9" fillId="0" borderId="0" xfId="0" applyFont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2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centerContinuous"/>
    </xf>
    <xf numFmtId="0" fontId="2" fillId="0" borderId="0" xfId="0" applyFont="1" applyFill="1" applyAlignment="1" applyProtection="1">
      <alignment horizontal="left" vertical="center" wrapText="1"/>
    </xf>
    <xf numFmtId="0" fontId="4" fillId="4" borderId="0" xfId="0" applyFont="1" applyFill="1" applyAlignment="1" applyProtection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5" borderId="10" xfId="0" applyFont="1" applyFill="1" applyBorder="1" applyAlignment="1">
      <alignment horizontal="right" vertical="center"/>
    </xf>
    <xf numFmtId="0" fontId="7" fillId="5" borderId="11" xfId="0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6" formatCode="###,##0.00"/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###,##0.0000"/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###,##0.00000"/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1" name="Tabela1" displayName="Tabela1" ref="B4:H84" totalsRowShown="0" headerRowDxfId="11" dataDxfId="9" headerRowBorderDxfId="10" tableBorderDxfId="8" totalsRowBorderDxfId="7">
  <autoFilter ref="B4:H84"/>
  <sortState ref="B5:H84">
    <sortCondition descending="1" ref="H5"/>
  </sortState>
  <tableColumns count="7">
    <tableColumn id="1" name="Código" dataDxfId="6"/>
    <tableColumn id="2" name="Descrição" dataDxfId="5"/>
    <tableColumn id="3" name="Unidade Medida" dataDxfId="4"/>
    <tableColumn id="4" name="Quantidade " dataDxfId="3"/>
    <tableColumn id="5" name="Custo Unitário" dataDxfId="2"/>
    <tableColumn id="6" name="Custo Total" dataDxfId="1">
      <calculatedColumnFormula>E5*F5</calculatedColumnFormula>
    </tableColumn>
    <tableColumn id="7" name="Porcentagem" dataDxfId="0">
      <calculatedColumnFormula>G5/$H$90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5"/>
  <sheetViews>
    <sheetView tabSelected="1" view="pageBreakPreview" topLeftCell="A61" zoomScaleNormal="100" zoomScaleSheetLayoutView="100" workbookViewId="0">
      <selection activeCell="M86" sqref="M86:M87"/>
    </sheetView>
  </sheetViews>
  <sheetFormatPr defaultRowHeight="11.25" x14ac:dyDescent="0.2"/>
  <cols>
    <col min="1" max="1" width="1.7109375" style="7" customWidth="1"/>
    <col min="2" max="2" width="10.7109375" style="37" customWidth="1"/>
    <col min="3" max="3" width="70.7109375" style="7" customWidth="1"/>
    <col min="4" max="4" width="8.7109375" style="37" customWidth="1"/>
    <col min="5" max="5" width="13.42578125" style="7" bestFit="1" customWidth="1"/>
    <col min="6" max="7" width="10.7109375" style="7" customWidth="1"/>
    <col min="8" max="8" width="10.7109375" style="37" customWidth="1"/>
    <col min="9" max="9" width="1.7109375" style="7" customWidth="1"/>
    <col min="10" max="16384" width="9.140625" style="7"/>
  </cols>
  <sheetData>
    <row r="1" spans="2:9" ht="9.9499999999999993" customHeight="1" x14ac:dyDescent="0.2"/>
    <row r="2" spans="2:9" ht="24.75" customHeight="1" x14ac:dyDescent="0.2">
      <c r="B2" s="98" t="s">
        <v>84</v>
      </c>
      <c r="C2" s="98"/>
      <c r="D2" s="98"/>
      <c r="E2" s="98"/>
      <c r="F2" s="98"/>
      <c r="G2" s="98"/>
      <c r="H2" s="98"/>
    </row>
    <row r="3" spans="2:9" ht="27.95" customHeight="1" x14ac:dyDescent="0.2">
      <c r="B3" s="97" t="s">
        <v>186</v>
      </c>
      <c r="C3" s="97"/>
      <c r="D3" s="97"/>
      <c r="E3" s="97"/>
      <c r="F3" s="97"/>
      <c r="G3" s="97"/>
      <c r="H3" s="97"/>
      <c r="I3" s="7" t="s">
        <v>0</v>
      </c>
    </row>
    <row r="4" spans="2:9" ht="20.100000000000001" customHeight="1" x14ac:dyDescent="0.2">
      <c r="B4" s="8" t="s">
        <v>1</v>
      </c>
      <c r="C4" s="1" t="s">
        <v>2</v>
      </c>
      <c r="D4" s="1" t="s">
        <v>3</v>
      </c>
      <c r="E4" s="1" t="s">
        <v>45</v>
      </c>
      <c r="F4" s="1" t="s">
        <v>46</v>
      </c>
      <c r="G4" s="1" t="s">
        <v>62</v>
      </c>
      <c r="H4" s="9" t="s">
        <v>73</v>
      </c>
    </row>
    <row r="5" spans="2:9" ht="11.25" customHeight="1" x14ac:dyDescent="0.2">
      <c r="B5" s="38" t="s">
        <v>4</v>
      </c>
      <c r="C5" s="5" t="s">
        <v>5</v>
      </c>
      <c r="D5" s="38" t="s">
        <v>6</v>
      </c>
      <c r="E5" s="35">
        <v>59803.196129999997</v>
      </c>
      <c r="F5" s="36">
        <v>7.6965000000000003</v>
      </c>
      <c r="G5" s="10">
        <f>E5*F5</f>
        <v>460275.29901454499</v>
      </c>
      <c r="H5" s="11">
        <f>G5/$H$90</f>
        <v>0.36216315604957466</v>
      </c>
    </row>
    <row r="6" spans="2:9" ht="11.25" customHeight="1" x14ac:dyDescent="0.2">
      <c r="B6" s="38" t="s">
        <v>74</v>
      </c>
      <c r="C6" s="5" t="s">
        <v>75</v>
      </c>
      <c r="D6" s="38" t="s">
        <v>13</v>
      </c>
      <c r="E6" s="35">
        <v>1890.02367</v>
      </c>
      <c r="F6" s="36">
        <v>118.90600000000001</v>
      </c>
      <c r="G6" s="10">
        <f>E6*F6</f>
        <v>224735.15450502001</v>
      </c>
      <c r="H6" s="11">
        <f>G6/$H$90</f>
        <v>0.1768306772166256</v>
      </c>
    </row>
    <row r="7" spans="2:9" ht="11.25" customHeight="1" x14ac:dyDescent="0.2">
      <c r="B7" s="38" t="s">
        <v>8</v>
      </c>
      <c r="C7" s="5" t="s">
        <v>9</v>
      </c>
      <c r="D7" s="38" t="s">
        <v>6</v>
      </c>
      <c r="E7" s="35">
        <v>182954.84567000001</v>
      </c>
      <c r="F7" s="36">
        <v>0.73099999999999998</v>
      </c>
      <c r="G7" s="10">
        <f>E7*F7</f>
        <v>133739.99218477</v>
      </c>
      <c r="H7" s="11">
        <f>G7/$H$90</f>
        <v>0.10523201606382783</v>
      </c>
    </row>
    <row r="8" spans="2:9" ht="11.25" customHeight="1" x14ac:dyDescent="0.2">
      <c r="B8" s="38" t="s">
        <v>78</v>
      </c>
      <c r="C8" s="5" t="s">
        <v>79</v>
      </c>
      <c r="D8" s="38" t="s">
        <v>7</v>
      </c>
      <c r="E8" s="35">
        <v>52</v>
      </c>
      <c r="F8" s="36">
        <v>1300.4852000000001</v>
      </c>
      <c r="G8" s="10">
        <f>E8*F8</f>
        <v>67625.2304</v>
      </c>
      <c r="H8" s="11">
        <f>G8/$H$90</f>
        <v>5.3210256823861622E-2</v>
      </c>
    </row>
    <row r="9" spans="2:9" ht="11.25" customHeight="1" x14ac:dyDescent="0.2">
      <c r="B9" s="38" t="s">
        <v>168</v>
      </c>
      <c r="C9" s="5" t="s">
        <v>169</v>
      </c>
      <c r="D9" s="38" t="s">
        <v>6</v>
      </c>
      <c r="E9" s="35">
        <v>5198.8125</v>
      </c>
      <c r="F9" s="36">
        <v>9.1241000000000003</v>
      </c>
      <c r="G9" s="10">
        <f>E9*F9</f>
        <v>47434.485131250003</v>
      </c>
      <c r="H9" s="11">
        <f>G9/$H$90</f>
        <v>3.7323364685223431E-2</v>
      </c>
    </row>
    <row r="10" spans="2:9" ht="11.25" customHeight="1" x14ac:dyDescent="0.2">
      <c r="B10" s="38" t="s">
        <v>11</v>
      </c>
      <c r="C10" s="5" t="s">
        <v>12</v>
      </c>
      <c r="D10" s="38" t="s">
        <v>13</v>
      </c>
      <c r="E10" s="35">
        <v>298.64963999999998</v>
      </c>
      <c r="F10" s="36">
        <v>131.08449999999999</v>
      </c>
      <c r="G10" s="10">
        <f>E10*F10</f>
        <v>39148.338734579993</v>
      </c>
      <c r="H10" s="11">
        <f>G10/$H$90</f>
        <v>3.0803490738192461E-2</v>
      </c>
    </row>
    <row r="11" spans="2:9" ht="11.25" customHeight="1" x14ac:dyDescent="0.2">
      <c r="B11" s="38" t="s">
        <v>89</v>
      </c>
      <c r="C11" s="5" t="s">
        <v>90</v>
      </c>
      <c r="D11" s="38" t="s">
        <v>14</v>
      </c>
      <c r="E11" s="35">
        <v>969.28178000000003</v>
      </c>
      <c r="F11" s="36">
        <v>30.673500000000001</v>
      </c>
      <c r="G11" s="10">
        <f>E11*F11</f>
        <v>29731.264678830001</v>
      </c>
      <c r="H11" s="11">
        <f>G11/$H$90</f>
        <v>2.339375732845932E-2</v>
      </c>
    </row>
    <row r="12" spans="2:9" ht="11.25" customHeight="1" x14ac:dyDescent="0.2">
      <c r="B12" s="38" t="s">
        <v>18</v>
      </c>
      <c r="C12" s="5" t="s">
        <v>19</v>
      </c>
      <c r="D12" s="38" t="s">
        <v>13</v>
      </c>
      <c r="E12" s="35">
        <v>195.08646999999999</v>
      </c>
      <c r="F12" s="36">
        <v>134.52600000000001</v>
      </c>
      <c r="G12" s="10">
        <f>E12*F12</f>
        <v>26244.202463220001</v>
      </c>
      <c r="H12" s="11">
        <f>G12/$H$90</f>
        <v>2.06499962358037E-2</v>
      </c>
    </row>
    <row r="13" spans="2:9" ht="11.25" customHeight="1" x14ac:dyDescent="0.2">
      <c r="B13" s="38" t="s">
        <v>16</v>
      </c>
      <c r="C13" s="5" t="s">
        <v>17</v>
      </c>
      <c r="D13" s="38" t="s">
        <v>13</v>
      </c>
      <c r="E13" s="35">
        <v>205.48552000000001</v>
      </c>
      <c r="F13" s="36">
        <v>125.15600000000001</v>
      </c>
      <c r="G13" s="10">
        <f>E13*F13</f>
        <v>25717.745741120001</v>
      </c>
      <c r="H13" s="11">
        <f>G13/$H$90</f>
        <v>2.0235758868716085E-2</v>
      </c>
    </row>
    <row r="14" spans="2:9" ht="11.25" customHeight="1" x14ac:dyDescent="0.2">
      <c r="B14" s="38" t="s">
        <v>172</v>
      </c>
      <c r="C14" s="5" t="s">
        <v>173</v>
      </c>
      <c r="D14" s="38" t="s">
        <v>6</v>
      </c>
      <c r="E14" s="35">
        <v>2110.24064</v>
      </c>
      <c r="F14" s="36">
        <v>11.2637</v>
      </c>
      <c r="G14" s="10">
        <f>E14*F14</f>
        <v>23769.117496768002</v>
      </c>
      <c r="H14" s="11">
        <f>G14/$H$90</f>
        <v>1.8702499629185267E-2</v>
      </c>
    </row>
    <row r="15" spans="2:9" ht="11.25" customHeight="1" x14ac:dyDescent="0.2">
      <c r="B15" s="38" t="s">
        <v>149</v>
      </c>
      <c r="C15" s="5" t="s">
        <v>150</v>
      </c>
      <c r="D15" s="38" t="s">
        <v>151</v>
      </c>
      <c r="E15" s="35">
        <v>133.12</v>
      </c>
      <c r="F15" s="36">
        <v>133.70869999999999</v>
      </c>
      <c r="G15" s="10">
        <f>E15*F15</f>
        <v>17799.302144000001</v>
      </c>
      <c r="H15" s="11">
        <f>G15/$H$90</f>
        <v>1.400520830414429E-2</v>
      </c>
    </row>
    <row r="16" spans="2:9" ht="11.25" customHeight="1" x14ac:dyDescent="0.2">
      <c r="B16" s="38" t="s">
        <v>21</v>
      </c>
      <c r="C16" s="5" t="s">
        <v>56</v>
      </c>
      <c r="D16" s="38" t="s">
        <v>10</v>
      </c>
      <c r="E16" s="35">
        <v>5110.1938600000003</v>
      </c>
      <c r="F16" s="36">
        <v>3.43</v>
      </c>
      <c r="G16" s="10">
        <f>E16*F16</f>
        <v>17527.9649398</v>
      </c>
      <c r="H16" s="11">
        <f>G16/$H$90</f>
        <v>1.3791709255993902E-2</v>
      </c>
    </row>
    <row r="17" spans="2:8" ht="11.25" customHeight="1" x14ac:dyDescent="0.2">
      <c r="B17" s="38" t="s">
        <v>135</v>
      </c>
      <c r="C17" s="5" t="s">
        <v>136</v>
      </c>
      <c r="D17" s="38" t="s">
        <v>7</v>
      </c>
      <c r="E17" s="35">
        <v>24</v>
      </c>
      <c r="F17" s="36">
        <v>715.38400000000001</v>
      </c>
      <c r="G17" s="10">
        <f>E17*F17</f>
        <v>17169.216</v>
      </c>
      <c r="H17" s="11">
        <f>G17/$H$90</f>
        <v>1.3509431131259467E-2</v>
      </c>
    </row>
    <row r="18" spans="2:8" ht="11.25" customHeight="1" x14ac:dyDescent="0.2">
      <c r="B18" s="38" t="s">
        <v>15</v>
      </c>
      <c r="C18" s="5" t="s">
        <v>53</v>
      </c>
      <c r="D18" s="38" t="s">
        <v>10</v>
      </c>
      <c r="E18" s="35">
        <v>1360.97867</v>
      </c>
      <c r="F18" s="36">
        <v>12.42</v>
      </c>
      <c r="G18" s="10">
        <f>E18*F18</f>
        <v>16903.355081400001</v>
      </c>
      <c r="H18" s="11">
        <f>G18/$H$90</f>
        <v>1.3300241045333583E-2</v>
      </c>
    </row>
    <row r="19" spans="2:8" ht="11.25" customHeight="1" x14ac:dyDescent="0.2">
      <c r="B19" s="38" t="s">
        <v>107</v>
      </c>
      <c r="C19" s="5" t="s">
        <v>108</v>
      </c>
      <c r="D19" s="38" t="s">
        <v>6</v>
      </c>
      <c r="E19" s="35">
        <v>1792.78</v>
      </c>
      <c r="F19" s="36">
        <v>8.7841000000000005</v>
      </c>
      <c r="G19" s="10">
        <f>E19*F19</f>
        <v>15747.958798000001</v>
      </c>
      <c r="H19" s="11">
        <f>G19/$H$90</f>
        <v>1.2391128682841E-2</v>
      </c>
    </row>
    <row r="20" spans="2:8" ht="11.25" customHeight="1" x14ac:dyDescent="0.2">
      <c r="B20" s="38" t="s">
        <v>166</v>
      </c>
      <c r="C20" s="5" t="s">
        <v>167</v>
      </c>
      <c r="D20" s="38" t="s">
        <v>10</v>
      </c>
      <c r="E20" s="35">
        <v>550.86720000000003</v>
      </c>
      <c r="F20" s="36">
        <v>22.385899999999999</v>
      </c>
      <c r="G20" s="10">
        <f>E20*F20</f>
        <v>12331.658052480001</v>
      </c>
      <c r="H20" s="11">
        <f>G20/$H$90</f>
        <v>9.7030455667993128E-3</v>
      </c>
    </row>
    <row r="21" spans="2:8" ht="11.25" customHeight="1" x14ac:dyDescent="0.2">
      <c r="B21" s="38" t="s">
        <v>232</v>
      </c>
      <c r="C21" s="5" t="s">
        <v>233</v>
      </c>
      <c r="D21" s="38" t="s">
        <v>14</v>
      </c>
      <c r="E21" s="35">
        <v>1600</v>
      </c>
      <c r="F21" s="36">
        <v>6.8887999999999998</v>
      </c>
      <c r="G21" s="10">
        <f>E21*F21</f>
        <v>11022.08</v>
      </c>
      <c r="H21" s="11">
        <f>G21/$H$90</f>
        <v>8.6726167743030515E-3</v>
      </c>
    </row>
    <row r="22" spans="2:8" ht="11.25" customHeight="1" x14ac:dyDescent="0.2">
      <c r="B22" s="38" t="s">
        <v>22</v>
      </c>
      <c r="C22" s="5" t="s">
        <v>23</v>
      </c>
      <c r="D22" s="38" t="s">
        <v>6</v>
      </c>
      <c r="E22" s="35">
        <v>843.67145000000005</v>
      </c>
      <c r="F22" s="36">
        <v>11.737</v>
      </c>
      <c r="G22" s="10">
        <f>E22*F22</f>
        <v>9902.1718086500005</v>
      </c>
      <c r="H22" s="11">
        <f>G22/$H$90</f>
        <v>7.7914278729358513E-3</v>
      </c>
    </row>
    <row r="23" spans="2:8" ht="11.25" customHeight="1" x14ac:dyDescent="0.2">
      <c r="B23" s="38" t="s">
        <v>25</v>
      </c>
      <c r="C23" s="5" t="s">
        <v>54</v>
      </c>
      <c r="D23" s="38" t="s">
        <v>10</v>
      </c>
      <c r="E23" s="35">
        <v>952.36900000000003</v>
      </c>
      <c r="F23" s="36">
        <v>10.039999999999999</v>
      </c>
      <c r="G23" s="10">
        <f>E23*F23</f>
        <v>9561.7847599999986</v>
      </c>
      <c r="H23" s="11">
        <f>G23/$H$90</f>
        <v>7.5235976242098834E-3</v>
      </c>
    </row>
    <row r="24" spans="2:8" ht="11.25" customHeight="1" x14ac:dyDescent="0.2">
      <c r="B24" s="38" t="s">
        <v>113</v>
      </c>
      <c r="C24" s="5" t="s">
        <v>114</v>
      </c>
      <c r="D24" s="38" t="s">
        <v>7</v>
      </c>
      <c r="E24" s="35">
        <v>1255.6284000000001</v>
      </c>
      <c r="F24" s="36">
        <v>6.86</v>
      </c>
      <c r="G24" s="10">
        <f>E24*F24</f>
        <v>8613.6108240000012</v>
      </c>
      <c r="H24" s="11">
        <f>G24/$H$90</f>
        <v>6.777536156473256E-3</v>
      </c>
    </row>
    <row r="25" spans="2:8" ht="11.25" customHeight="1" x14ac:dyDescent="0.2">
      <c r="B25" s="38" t="s">
        <v>139</v>
      </c>
      <c r="C25" s="5" t="s">
        <v>140</v>
      </c>
      <c r="D25" s="38" t="s">
        <v>10</v>
      </c>
      <c r="E25" s="35">
        <v>16.8</v>
      </c>
      <c r="F25" s="36">
        <v>440.72019999999998</v>
      </c>
      <c r="G25" s="10">
        <f>E25*F25</f>
        <v>7404.0993600000002</v>
      </c>
      <c r="H25" s="11">
        <f>G25/$H$90</f>
        <v>5.8258437888440741E-3</v>
      </c>
    </row>
    <row r="26" spans="2:8" ht="11.25" customHeight="1" x14ac:dyDescent="0.2">
      <c r="B26" s="38" t="s">
        <v>26</v>
      </c>
      <c r="C26" s="5" t="s">
        <v>27</v>
      </c>
      <c r="D26" s="38" t="s">
        <v>6</v>
      </c>
      <c r="E26" s="35">
        <v>440.37725</v>
      </c>
      <c r="F26" s="36">
        <v>14.164999999999999</v>
      </c>
      <c r="G26" s="10">
        <f>E26*F26</f>
        <v>6237.94374625</v>
      </c>
      <c r="H26" s="11">
        <f>G26/$H$90</f>
        <v>4.9082655515915842E-3</v>
      </c>
    </row>
    <row r="27" spans="2:8" ht="11.25" customHeight="1" x14ac:dyDescent="0.2">
      <c r="B27" s="38" t="s">
        <v>141</v>
      </c>
      <c r="C27" s="5" t="s">
        <v>142</v>
      </c>
      <c r="D27" s="38" t="s">
        <v>10</v>
      </c>
      <c r="E27" s="35">
        <v>12</v>
      </c>
      <c r="F27" s="36">
        <v>401.58440000000002</v>
      </c>
      <c r="G27" s="10">
        <f>E27*F27</f>
        <v>4819.0128000000004</v>
      </c>
      <c r="H27" s="11">
        <f>G27/$H$90</f>
        <v>3.7917934949538673E-3</v>
      </c>
    </row>
    <row r="28" spans="2:8" ht="11.25" customHeight="1" x14ac:dyDescent="0.2">
      <c r="B28" s="38" t="s">
        <v>20</v>
      </c>
      <c r="C28" s="5" t="s">
        <v>57</v>
      </c>
      <c r="D28" s="38" t="s">
        <v>10</v>
      </c>
      <c r="E28" s="35">
        <v>1120.97216</v>
      </c>
      <c r="F28" s="36">
        <v>3.69</v>
      </c>
      <c r="G28" s="10">
        <f>E28*F28</f>
        <v>4136.3872704000005</v>
      </c>
      <c r="H28" s="11">
        <f>G28/$H$90</f>
        <v>3.2546762159487734E-3</v>
      </c>
    </row>
    <row r="29" spans="2:8" ht="11.25" customHeight="1" x14ac:dyDescent="0.2">
      <c r="B29" s="38" t="s">
        <v>29</v>
      </c>
      <c r="C29" s="5" t="s">
        <v>30</v>
      </c>
      <c r="D29" s="38" t="s">
        <v>6</v>
      </c>
      <c r="E29" s="35">
        <v>509.82517000000001</v>
      </c>
      <c r="F29" s="36">
        <v>6.6001000000000003</v>
      </c>
      <c r="G29" s="10">
        <f>E29*F29</f>
        <v>3364.8971045170001</v>
      </c>
      <c r="H29" s="11">
        <f>G29/$H$90</f>
        <v>2.6476366595450137E-3</v>
      </c>
    </row>
    <row r="30" spans="2:8" ht="11.25" customHeight="1" x14ac:dyDescent="0.2">
      <c r="B30" s="38" t="s">
        <v>24</v>
      </c>
      <c r="C30" s="5" t="s">
        <v>52</v>
      </c>
      <c r="D30" s="38" t="s">
        <v>14</v>
      </c>
      <c r="E30" s="35">
        <v>8</v>
      </c>
      <c r="F30" s="36">
        <v>400</v>
      </c>
      <c r="G30" s="10">
        <f>E30*F30</f>
        <v>3200</v>
      </c>
      <c r="H30" s="11">
        <f>G30/$H$90</f>
        <v>2.5178889717521343E-3</v>
      </c>
    </row>
    <row r="31" spans="2:8" ht="11.25" customHeight="1" x14ac:dyDescent="0.2">
      <c r="B31" s="38" t="s">
        <v>123</v>
      </c>
      <c r="C31" s="5" t="s">
        <v>124</v>
      </c>
      <c r="D31" s="38" t="s">
        <v>7</v>
      </c>
      <c r="E31" s="35">
        <v>95.76</v>
      </c>
      <c r="F31" s="36">
        <v>29.66</v>
      </c>
      <c r="G31" s="10">
        <f>E31*F31</f>
        <v>2840.2416000000003</v>
      </c>
      <c r="H31" s="11">
        <f>G31/$H$90</f>
        <v>2.2348165630473866E-3</v>
      </c>
    </row>
    <row r="32" spans="2:8" ht="11.25" customHeight="1" x14ac:dyDescent="0.2">
      <c r="B32" s="38" t="s">
        <v>147</v>
      </c>
      <c r="C32" s="5" t="s">
        <v>148</v>
      </c>
      <c r="D32" s="38" t="s">
        <v>7</v>
      </c>
      <c r="E32" s="35">
        <v>24</v>
      </c>
      <c r="F32" s="36">
        <v>114.86799999999999</v>
      </c>
      <c r="G32" s="10">
        <f>E32*F32</f>
        <v>2756.8319999999999</v>
      </c>
      <c r="H32" s="11">
        <f>G32/$H$90</f>
        <v>2.1691865280541811E-3</v>
      </c>
    </row>
    <row r="33" spans="2:8" ht="11.25" customHeight="1" x14ac:dyDescent="0.2">
      <c r="B33" s="38" t="s">
        <v>152</v>
      </c>
      <c r="C33" s="5" t="s">
        <v>153</v>
      </c>
      <c r="D33" s="38" t="s">
        <v>7</v>
      </c>
      <c r="E33" s="35">
        <v>36</v>
      </c>
      <c r="F33" s="36">
        <v>64.840699999999998</v>
      </c>
      <c r="G33" s="10">
        <f>E33*F33</f>
        <v>2334.2651999999998</v>
      </c>
      <c r="H33" s="11">
        <f>G33/$H$90</f>
        <v>1.8366939388202469E-3</v>
      </c>
    </row>
    <row r="34" spans="2:8" ht="11.25" customHeight="1" x14ac:dyDescent="0.2">
      <c r="B34" s="38" t="s">
        <v>145</v>
      </c>
      <c r="C34" s="5" t="s">
        <v>146</v>
      </c>
      <c r="D34" s="38" t="s">
        <v>6</v>
      </c>
      <c r="E34" s="35">
        <v>14.976000000000001</v>
      </c>
      <c r="F34" s="36">
        <v>135.1294</v>
      </c>
      <c r="G34" s="10">
        <f>E34*F34</f>
        <v>2023.6978944000002</v>
      </c>
      <c r="H34" s="11">
        <f>G34/$H$90</f>
        <v>1.5923270657711801E-3</v>
      </c>
    </row>
    <row r="35" spans="2:8" ht="11.25" customHeight="1" x14ac:dyDescent="0.2">
      <c r="B35" s="38" t="s">
        <v>129</v>
      </c>
      <c r="C35" s="5" t="s">
        <v>130</v>
      </c>
      <c r="D35" s="38" t="s">
        <v>6</v>
      </c>
      <c r="E35" s="35">
        <v>14.54468</v>
      </c>
      <c r="F35" s="36">
        <v>116.24769999999999</v>
      </c>
      <c r="G35" s="10">
        <f>E35*F35</f>
        <v>1690.7855972359998</v>
      </c>
      <c r="H35" s="11">
        <f>G35/$H$90</f>
        <v>1.3303782527743343E-3</v>
      </c>
    </row>
    <row r="36" spans="2:8" ht="11.25" customHeight="1" x14ac:dyDescent="0.2">
      <c r="B36" s="38" t="s">
        <v>93</v>
      </c>
      <c r="C36" s="5" t="s">
        <v>94</v>
      </c>
      <c r="D36" s="38" t="s">
        <v>7</v>
      </c>
      <c r="E36" s="35">
        <v>4</v>
      </c>
      <c r="F36" s="36">
        <v>372.06479999999999</v>
      </c>
      <c r="G36" s="10">
        <f>E36*F36</f>
        <v>1488.2592</v>
      </c>
      <c r="H36" s="11">
        <f>G36/$H$90</f>
        <v>1.1710223208714545E-3</v>
      </c>
    </row>
    <row r="37" spans="2:8" ht="11.25" customHeight="1" x14ac:dyDescent="0.2">
      <c r="B37" s="38" t="s">
        <v>28</v>
      </c>
      <c r="C37" s="5" t="s">
        <v>55</v>
      </c>
      <c r="D37" s="38" t="s">
        <v>10</v>
      </c>
      <c r="E37" s="35">
        <v>301.60735</v>
      </c>
      <c r="F37" s="36">
        <v>4.6399999999999997</v>
      </c>
      <c r="G37" s="10">
        <f>E37*F37</f>
        <v>1399.4581039999998</v>
      </c>
      <c r="H37" s="11">
        <f>G37/$H$90</f>
        <v>1.1011500395283597E-3</v>
      </c>
    </row>
    <row r="38" spans="2:8" ht="11.25" customHeight="1" x14ac:dyDescent="0.2">
      <c r="B38" s="38" t="s">
        <v>91</v>
      </c>
      <c r="C38" s="5" t="s">
        <v>92</v>
      </c>
      <c r="D38" s="38" t="s">
        <v>10</v>
      </c>
      <c r="E38" s="35">
        <v>17</v>
      </c>
      <c r="F38" s="36">
        <v>79.383099999999999</v>
      </c>
      <c r="G38" s="10">
        <f>E38*F38</f>
        <v>1349.5127</v>
      </c>
      <c r="H38" s="11">
        <f>G38/$H$90</f>
        <v>1.0618509826779521E-3</v>
      </c>
    </row>
    <row r="39" spans="2:8" ht="11.25" customHeight="1" x14ac:dyDescent="0.2">
      <c r="B39" s="38" t="s">
        <v>164</v>
      </c>
      <c r="C39" s="5" t="s">
        <v>165</v>
      </c>
      <c r="D39" s="38" t="s">
        <v>7</v>
      </c>
      <c r="E39" s="35">
        <v>57.6</v>
      </c>
      <c r="F39" s="36">
        <v>17.152999999999999</v>
      </c>
      <c r="G39" s="10">
        <f>E39*F39</f>
        <v>988.01279999999997</v>
      </c>
      <c r="H39" s="11">
        <f>G39/$H$90</f>
        <v>7.7740829158435849E-4</v>
      </c>
    </row>
    <row r="40" spans="2:8" ht="11.25" customHeight="1" x14ac:dyDescent="0.2">
      <c r="B40" s="38" t="s">
        <v>65</v>
      </c>
      <c r="C40" s="5" t="s">
        <v>66</v>
      </c>
      <c r="D40" s="38" t="s">
        <v>10</v>
      </c>
      <c r="E40" s="35">
        <v>120.86830999999999</v>
      </c>
      <c r="F40" s="36">
        <v>5.83</v>
      </c>
      <c r="G40" s="10">
        <f>E40*F40</f>
        <v>704.66224729999999</v>
      </c>
      <c r="H40" s="11">
        <f>G40/$H$90</f>
        <v>5.5445665665210784E-4</v>
      </c>
    </row>
    <row r="41" spans="2:8" ht="11.25" customHeight="1" x14ac:dyDescent="0.2">
      <c r="B41" s="38" t="s">
        <v>109</v>
      </c>
      <c r="C41" s="5" t="s">
        <v>110</v>
      </c>
      <c r="D41" s="38" t="s">
        <v>10</v>
      </c>
      <c r="E41" s="35">
        <v>912</v>
      </c>
      <c r="F41" s="36">
        <v>0.74239999999999995</v>
      </c>
      <c r="G41" s="10">
        <f>E41*F41</f>
        <v>677.06880000000001</v>
      </c>
      <c r="H41" s="11">
        <f>G41/$H$90</f>
        <v>5.3274502019920358E-4</v>
      </c>
    </row>
    <row r="42" spans="2:8" ht="11.25" customHeight="1" x14ac:dyDescent="0.2">
      <c r="B42" s="38" t="s">
        <v>76</v>
      </c>
      <c r="C42" s="5" t="s">
        <v>77</v>
      </c>
      <c r="D42" s="38" t="s">
        <v>10</v>
      </c>
      <c r="E42" s="35">
        <v>36</v>
      </c>
      <c r="F42" s="36">
        <v>17.86</v>
      </c>
      <c r="G42" s="10">
        <f>E42*F42</f>
        <v>642.96</v>
      </c>
      <c r="H42" s="11">
        <f>G42/$H$90</f>
        <v>5.0590684164929765E-4</v>
      </c>
    </row>
    <row r="43" spans="2:8" ht="11.25" customHeight="1" x14ac:dyDescent="0.2">
      <c r="B43" s="38" t="s">
        <v>143</v>
      </c>
      <c r="C43" s="5" t="s">
        <v>144</v>
      </c>
      <c r="D43" s="38" t="s">
        <v>7</v>
      </c>
      <c r="E43" s="35">
        <v>4.8</v>
      </c>
      <c r="F43" s="36">
        <v>131.34620000000001</v>
      </c>
      <c r="G43" s="10">
        <f>E43*F43</f>
        <v>630.46176000000003</v>
      </c>
      <c r="H43" s="11">
        <f>G43/$H$90</f>
        <v>4.9607272269232533E-4</v>
      </c>
    </row>
    <row r="44" spans="2:8" ht="11.25" customHeight="1" x14ac:dyDescent="0.2">
      <c r="B44" s="38" t="s">
        <v>50</v>
      </c>
      <c r="C44" s="5" t="s">
        <v>51</v>
      </c>
      <c r="D44" s="38" t="s">
        <v>14</v>
      </c>
      <c r="E44" s="35">
        <v>4.2300000000000004</v>
      </c>
      <c r="F44" s="36">
        <v>148.57050000000001</v>
      </c>
      <c r="G44" s="10">
        <f>E44*F44</f>
        <v>628.45321500000011</v>
      </c>
      <c r="H44" s="11">
        <f>G44/$H$90</f>
        <v>4.9449231853458545E-4</v>
      </c>
    </row>
    <row r="45" spans="2:8" ht="11.25" customHeight="1" x14ac:dyDescent="0.2">
      <c r="B45" s="38" t="s">
        <v>117</v>
      </c>
      <c r="C45" s="5" t="s">
        <v>118</v>
      </c>
      <c r="D45" s="38" t="s">
        <v>14</v>
      </c>
      <c r="E45" s="35">
        <v>19.244679999999999</v>
      </c>
      <c r="F45" s="36">
        <v>29.263000000000002</v>
      </c>
      <c r="G45" s="10">
        <f>E45*F45</f>
        <v>563.15707083999996</v>
      </c>
      <c r="H45" s="11">
        <f>G45/$H$90</f>
        <v>4.4311468063508485E-4</v>
      </c>
    </row>
    <row r="46" spans="2:8" ht="11.25" customHeight="1" x14ac:dyDescent="0.2">
      <c r="B46" s="38" t="s">
        <v>85</v>
      </c>
      <c r="C46" s="5" t="s">
        <v>86</v>
      </c>
      <c r="D46" s="38" t="s">
        <v>10</v>
      </c>
      <c r="E46" s="35">
        <v>32.018250000000002</v>
      </c>
      <c r="F46" s="36">
        <v>16.559999999999999</v>
      </c>
      <c r="G46" s="10">
        <f>E46*F46</f>
        <v>530.22221999999999</v>
      </c>
      <c r="H46" s="11">
        <f>G46/$H$90</f>
        <v>4.1720021259872937E-4</v>
      </c>
    </row>
    <row r="47" spans="2:8" ht="11.25" customHeight="1" x14ac:dyDescent="0.2">
      <c r="B47" s="38" t="s">
        <v>48</v>
      </c>
      <c r="C47" s="5" t="s">
        <v>60</v>
      </c>
      <c r="D47" s="38" t="s">
        <v>6</v>
      </c>
      <c r="E47" s="35">
        <v>49.808250000000001</v>
      </c>
      <c r="F47" s="36">
        <v>10.551500000000001</v>
      </c>
      <c r="G47" s="10">
        <f>E47*F47</f>
        <v>525.55174987500004</v>
      </c>
      <c r="H47" s="11">
        <f>G47/$H$90</f>
        <v>4.1352529846728087E-4</v>
      </c>
    </row>
    <row r="48" spans="2:8" ht="11.25" customHeight="1" x14ac:dyDescent="0.2">
      <c r="B48" s="38" t="s">
        <v>176</v>
      </c>
      <c r="C48" s="5" t="s">
        <v>177</v>
      </c>
      <c r="D48" s="38" t="s">
        <v>7</v>
      </c>
      <c r="E48" s="35">
        <v>84.748800000000003</v>
      </c>
      <c r="F48" s="36">
        <v>6.0091999999999999</v>
      </c>
      <c r="G48" s="10">
        <f>E48*F48</f>
        <v>509.27248896000003</v>
      </c>
      <c r="H48" s="11">
        <f>G48/$H$90</f>
        <v>4.0071611986535773E-4</v>
      </c>
    </row>
    <row r="49" spans="2:8" ht="11.25" customHeight="1" x14ac:dyDescent="0.2">
      <c r="B49" s="38" t="s">
        <v>127</v>
      </c>
      <c r="C49" s="5" t="s">
        <v>128</v>
      </c>
      <c r="D49" s="38" t="s">
        <v>13</v>
      </c>
      <c r="E49" s="35">
        <v>17.517569999999999</v>
      </c>
      <c r="F49" s="36">
        <v>22</v>
      </c>
      <c r="G49" s="10">
        <f>E49*F49</f>
        <v>385.38653999999997</v>
      </c>
      <c r="H49" s="11">
        <f>G49/$H$90</f>
        <v>3.0323766216491024E-4</v>
      </c>
    </row>
    <row r="50" spans="2:8" x14ac:dyDescent="0.2">
      <c r="B50" s="38" t="s">
        <v>82</v>
      </c>
      <c r="C50" s="5" t="s">
        <v>83</v>
      </c>
      <c r="D50" s="38" t="s">
        <v>14</v>
      </c>
      <c r="E50" s="35">
        <v>1.6919999999999999</v>
      </c>
      <c r="F50" s="36">
        <v>214.02260000000001</v>
      </c>
      <c r="G50" s="10">
        <f>E50*F50</f>
        <v>362.12623919999999</v>
      </c>
      <c r="H50" s="11">
        <f>G50/$H$90</f>
        <v>2.849355200199236E-4</v>
      </c>
    </row>
    <row r="51" spans="2:8" ht="22.5" x14ac:dyDescent="0.2">
      <c r="B51" s="38" t="s">
        <v>47</v>
      </c>
      <c r="C51" s="5" t="s">
        <v>59</v>
      </c>
      <c r="D51" s="38" t="s">
        <v>6</v>
      </c>
      <c r="E51" s="35">
        <v>8.3640000000000008</v>
      </c>
      <c r="F51" s="36">
        <v>39.934899999999999</v>
      </c>
      <c r="G51" s="10">
        <f>E51*F51</f>
        <v>334.01550360000005</v>
      </c>
      <c r="H51" s="11">
        <f>G51/$H$90</f>
        <v>2.6281686028396106E-4</v>
      </c>
    </row>
    <row r="52" spans="2:8" x14ac:dyDescent="0.2">
      <c r="B52" s="38" t="s">
        <v>31</v>
      </c>
      <c r="C52" s="5" t="s">
        <v>58</v>
      </c>
      <c r="D52" s="38" t="s">
        <v>32</v>
      </c>
      <c r="E52" s="35">
        <v>30.32086</v>
      </c>
      <c r="F52" s="36">
        <v>10.9093</v>
      </c>
      <c r="G52" s="10">
        <f>E52*F52</f>
        <v>330.77935799800002</v>
      </c>
      <c r="H52" s="11">
        <f>G52/$H$90</f>
        <v>2.602705304957548E-4</v>
      </c>
    </row>
    <row r="53" spans="2:8" x14ac:dyDescent="0.2">
      <c r="B53" s="38" t="s">
        <v>125</v>
      </c>
      <c r="C53" s="5" t="s">
        <v>126</v>
      </c>
      <c r="D53" s="38" t="s">
        <v>7</v>
      </c>
      <c r="E53" s="35">
        <v>4.5599999999999996</v>
      </c>
      <c r="F53" s="36">
        <v>69.34</v>
      </c>
      <c r="G53" s="10">
        <f>E53*F53</f>
        <v>316.19040000000001</v>
      </c>
      <c r="H53" s="11">
        <f>G53/$H$90</f>
        <v>2.4879135035434254E-4</v>
      </c>
    </row>
    <row r="54" spans="2:8" x14ac:dyDescent="0.2">
      <c r="B54" s="38" t="s">
        <v>174</v>
      </c>
      <c r="C54" s="5" t="s">
        <v>175</v>
      </c>
      <c r="D54" s="38" t="s">
        <v>10</v>
      </c>
      <c r="E54" s="35">
        <v>37.241999999999997</v>
      </c>
      <c r="F54" s="36">
        <v>8.3484999999999996</v>
      </c>
      <c r="G54" s="10">
        <f>E54*F54</f>
        <v>310.91483699999998</v>
      </c>
      <c r="H54" s="11">
        <f>G54/$H$90</f>
        <v>2.4464032476137888E-4</v>
      </c>
    </row>
    <row r="55" spans="2:8" x14ac:dyDescent="0.2">
      <c r="B55" s="38" t="s">
        <v>156</v>
      </c>
      <c r="C55" s="5" t="s">
        <v>157</v>
      </c>
      <c r="D55" s="38" t="s">
        <v>6</v>
      </c>
      <c r="E55" s="35">
        <v>8.3658599999999996</v>
      </c>
      <c r="F55" s="36">
        <v>32.868299999999998</v>
      </c>
      <c r="G55" s="10">
        <f>E55*F55</f>
        <v>274.97159623799996</v>
      </c>
      <c r="H55" s="11">
        <f>G55/$H$90</f>
        <v>2.1635873428523151E-4</v>
      </c>
    </row>
    <row r="56" spans="2:8" x14ac:dyDescent="0.2">
      <c r="B56" s="38" t="s">
        <v>228</v>
      </c>
      <c r="C56" s="5" t="s">
        <v>229</v>
      </c>
      <c r="D56" s="38" t="s">
        <v>6</v>
      </c>
      <c r="E56" s="35">
        <v>96</v>
      </c>
      <c r="F56" s="36">
        <v>2.7681</v>
      </c>
      <c r="G56" s="10">
        <f>E56*F56</f>
        <v>265.73759999999999</v>
      </c>
      <c r="H56" s="11">
        <f>G56/$H$90</f>
        <v>2.0909305388121249E-4</v>
      </c>
    </row>
    <row r="57" spans="2:8" x14ac:dyDescent="0.2">
      <c r="B57" s="38" t="s">
        <v>87</v>
      </c>
      <c r="C57" s="5" t="s">
        <v>88</v>
      </c>
      <c r="D57" s="38" t="s">
        <v>7</v>
      </c>
      <c r="E57" s="35">
        <v>20</v>
      </c>
      <c r="F57" s="36">
        <v>12.8597</v>
      </c>
      <c r="G57" s="10">
        <f>E57*F57</f>
        <v>257.19400000000002</v>
      </c>
      <c r="H57" s="11">
        <f>G57/$H$90</f>
        <v>2.0237060506275579E-4</v>
      </c>
    </row>
    <row r="58" spans="2:8" x14ac:dyDescent="0.2">
      <c r="B58" s="38" t="s">
        <v>137</v>
      </c>
      <c r="C58" s="5" t="s">
        <v>138</v>
      </c>
      <c r="D58" s="38" t="s">
        <v>7</v>
      </c>
      <c r="E58" s="35">
        <v>0.28658</v>
      </c>
      <c r="F58" s="36">
        <v>857.25429999999994</v>
      </c>
      <c r="G58" s="10">
        <f>E58*F58</f>
        <v>245.67193729399997</v>
      </c>
      <c r="H58" s="11">
        <f>G58/$H$90</f>
        <v>1.9330458174423264E-4</v>
      </c>
    </row>
    <row r="59" spans="2:8" x14ac:dyDescent="0.2">
      <c r="B59" s="38" t="s">
        <v>160</v>
      </c>
      <c r="C59" s="5" t="s">
        <v>161</v>
      </c>
      <c r="D59" s="38" t="s">
        <v>6</v>
      </c>
      <c r="E59" s="35">
        <v>7.8400800000000004</v>
      </c>
      <c r="F59" s="36">
        <v>28.677399999999999</v>
      </c>
      <c r="G59" s="10">
        <f>E59*F59</f>
        <v>224.83311019199999</v>
      </c>
      <c r="H59" s="11">
        <f>G59/$H$90</f>
        <v>1.7690775269911538E-4</v>
      </c>
    </row>
    <row r="60" spans="2:8" x14ac:dyDescent="0.2">
      <c r="B60" s="38" t="s">
        <v>170</v>
      </c>
      <c r="C60" s="5" t="s">
        <v>171</v>
      </c>
      <c r="D60" s="38" t="s">
        <v>6</v>
      </c>
      <c r="E60" s="35">
        <v>13.269349999999999</v>
      </c>
      <c r="F60" s="36">
        <v>10.039999999999999</v>
      </c>
      <c r="G60" s="10">
        <f>E60*F60</f>
        <v>133.22427399999998</v>
      </c>
      <c r="H60" s="11">
        <f>G60/$H$90</f>
        <v>1.0482622821071393E-4</v>
      </c>
    </row>
    <row r="61" spans="2:8" x14ac:dyDescent="0.2">
      <c r="B61" s="38" t="s">
        <v>162</v>
      </c>
      <c r="C61" s="5" t="s">
        <v>163</v>
      </c>
      <c r="D61" s="38" t="s">
        <v>14</v>
      </c>
      <c r="E61" s="35">
        <v>3.8253599999999999</v>
      </c>
      <c r="F61" s="36">
        <v>28.125</v>
      </c>
      <c r="G61" s="10">
        <f>E61*F61</f>
        <v>107.58825</v>
      </c>
      <c r="H61" s="11">
        <f>G61/$H$90</f>
        <v>8.4654771301597372E-5</v>
      </c>
    </row>
    <row r="62" spans="2:8" x14ac:dyDescent="0.2">
      <c r="B62" s="38" t="s">
        <v>131</v>
      </c>
      <c r="C62" s="5" t="s">
        <v>132</v>
      </c>
      <c r="D62" s="38" t="s">
        <v>6</v>
      </c>
      <c r="E62" s="35">
        <v>11.67403</v>
      </c>
      <c r="F62" s="36">
        <v>8.7693999999999992</v>
      </c>
      <c r="G62" s="10">
        <f>E62*F62</f>
        <v>102.374238682</v>
      </c>
      <c r="H62" s="11">
        <f>G62/$H$90</f>
        <v>8.0552177052790178E-5</v>
      </c>
    </row>
    <row r="63" spans="2:8" x14ac:dyDescent="0.2">
      <c r="B63" s="38" t="s">
        <v>230</v>
      </c>
      <c r="C63" s="5" t="s">
        <v>231</v>
      </c>
      <c r="D63" s="38" t="s">
        <v>6</v>
      </c>
      <c r="E63" s="35">
        <v>320</v>
      </c>
      <c r="F63" s="36">
        <v>0.30809999999999998</v>
      </c>
      <c r="G63" s="10">
        <f>E63*F63</f>
        <v>98.591999999999999</v>
      </c>
      <c r="H63" s="11">
        <f>G63/$H$90</f>
        <v>7.7576159219683259E-5</v>
      </c>
    </row>
    <row r="64" spans="2:8" x14ac:dyDescent="0.2">
      <c r="B64" s="38" t="s">
        <v>95</v>
      </c>
      <c r="C64" s="5" t="s">
        <v>96</v>
      </c>
      <c r="D64" s="38" t="s">
        <v>32</v>
      </c>
      <c r="E64" s="35">
        <v>4.2</v>
      </c>
      <c r="F64" s="36">
        <v>21.725300000000001</v>
      </c>
      <c r="G64" s="10">
        <f>E64*F64</f>
        <v>91.246260000000007</v>
      </c>
      <c r="H64" s="11">
        <f>G64/$H$90</f>
        <v>7.1796234927383728E-5</v>
      </c>
    </row>
    <row r="65" spans="2:8" x14ac:dyDescent="0.2">
      <c r="B65" s="38" t="s">
        <v>80</v>
      </c>
      <c r="C65" s="5" t="s">
        <v>81</v>
      </c>
      <c r="D65" s="38" t="s">
        <v>32</v>
      </c>
      <c r="E65" s="35">
        <v>3.07464</v>
      </c>
      <c r="F65" s="36">
        <v>29.625800000000002</v>
      </c>
      <c r="G65" s="10">
        <f>E65*F65</f>
        <v>91.088669712000012</v>
      </c>
      <c r="H65" s="11">
        <f>G65/$H$90</f>
        <v>7.1672236537317972E-5</v>
      </c>
    </row>
    <row r="66" spans="2:8" x14ac:dyDescent="0.2">
      <c r="B66" s="38" t="s">
        <v>180</v>
      </c>
      <c r="C66" s="5" t="s">
        <v>181</v>
      </c>
      <c r="D66" s="38" t="s">
        <v>7</v>
      </c>
      <c r="E66" s="35">
        <v>50.484000000000002</v>
      </c>
      <c r="F66" s="36">
        <v>1.3372999999999999</v>
      </c>
      <c r="G66" s="10">
        <f>E66*F66</f>
        <v>67.512253200000004</v>
      </c>
      <c r="H66" s="11">
        <f>G66/$H$90</f>
        <v>5.3121361809505548E-5</v>
      </c>
    </row>
    <row r="67" spans="2:8" x14ac:dyDescent="0.2">
      <c r="B67" s="38" t="s">
        <v>111</v>
      </c>
      <c r="C67" s="5" t="s">
        <v>112</v>
      </c>
      <c r="D67" s="38" t="s">
        <v>7</v>
      </c>
      <c r="E67" s="35">
        <v>2.3270900000000001</v>
      </c>
      <c r="F67" s="36">
        <v>25.7684</v>
      </c>
      <c r="G67" s="10">
        <f>E67*F67</f>
        <v>59.965385955999999</v>
      </c>
      <c r="H67" s="11">
        <f>G67/$H$90</f>
        <v>4.7183182495460223E-5</v>
      </c>
    </row>
    <row r="68" spans="2:8" x14ac:dyDescent="0.2">
      <c r="B68" s="38" t="s">
        <v>182</v>
      </c>
      <c r="C68" s="5" t="s">
        <v>183</v>
      </c>
      <c r="D68" s="38" t="s">
        <v>7</v>
      </c>
      <c r="E68" s="35">
        <v>48</v>
      </c>
      <c r="F68" s="36">
        <v>1.05</v>
      </c>
      <c r="G68" s="10">
        <f>E68*F68</f>
        <v>50.400000000000006</v>
      </c>
      <c r="H68" s="11">
        <f>G68/$H$90</f>
        <v>3.965675130509612E-5</v>
      </c>
    </row>
    <row r="69" spans="2:8" x14ac:dyDescent="0.2">
      <c r="B69" s="38" t="s">
        <v>184</v>
      </c>
      <c r="C69" s="5" t="s">
        <v>185</v>
      </c>
      <c r="D69" s="38" t="s">
        <v>10</v>
      </c>
      <c r="E69" s="35">
        <v>399.36813000000001</v>
      </c>
      <c r="F69" s="36">
        <v>0.11840000000000001</v>
      </c>
      <c r="G69" s="10">
        <f>E69*F69</f>
        <v>47.285186592000002</v>
      </c>
      <c r="H69" s="11">
        <f>G69/$H$90</f>
        <v>3.7205890577262096E-5</v>
      </c>
    </row>
    <row r="70" spans="2:8" x14ac:dyDescent="0.2">
      <c r="B70" s="38" t="s">
        <v>99</v>
      </c>
      <c r="C70" s="5" t="s">
        <v>100</v>
      </c>
      <c r="D70" s="38" t="s">
        <v>6</v>
      </c>
      <c r="E70" s="35">
        <v>4.9000000000000004</v>
      </c>
      <c r="F70" s="36">
        <v>8.8335000000000008</v>
      </c>
      <c r="G70" s="10">
        <f>E70*F70</f>
        <v>43.284150000000004</v>
      </c>
      <c r="H70" s="11">
        <f>G70/$H$90</f>
        <v>3.4057713730207866E-5</v>
      </c>
    </row>
    <row r="71" spans="2:8" x14ac:dyDescent="0.2">
      <c r="B71" s="38" t="s">
        <v>119</v>
      </c>
      <c r="C71" s="5" t="s">
        <v>120</v>
      </c>
      <c r="D71" s="38" t="s">
        <v>7</v>
      </c>
      <c r="E71" s="35">
        <v>7.1300000000000001E-3</v>
      </c>
      <c r="F71" s="36">
        <v>6029.0847999999996</v>
      </c>
      <c r="G71" s="10">
        <f>E71*F71</f>
        <v>42.987374623999997</v>
      </c>
      <c r="H71" s="11">
        <f>G71/$H$90</f>
        <v>3.3824198903233483E-5</v>
      </c>
    </row>
    <row r="72" spans="2:8" x14ac:dyDescent="0.2">
      <c r="B72" s="38" t="s">
        <v>234</v>
      </c>
      <c r="C72" s="5" t="s">
        <v>235</v>
      </c>
      <c r="D72" s="38" t="s">
        <v>6</v>
      </c>
      <c r="E72" s="35">
        <v>280</v>
      </c>
      <c r="F72" s="36">
        <v>0.14960000000000001</v>
      </c>
      <c r="G72" s="10">
        <f>E72*F72</f>
        <v>41.888000000000005</v>
      </c>
      <c r="H72" s="11">
        <f>G72/$H$90</f>
        <v>3.2959166640235445E-5</v>
      </c>
    </row>
    <row r="73" spans="2:8" x14ac:dyDescent="0.2">
      <c r="B73" s="38" t="s">
        <v>115</v>
      </c>
      <c r="C73" s="5" t="s">
        <v>116</v>
      </c>
      <c r="D73" s="38" t="s">
        <v>6</v>
      </c>
      <c r="E73" s="35">
        <v>51.266109999999998</v>
      </c>
      <c r="F73" s="36">
        <v>0.67859999999999998</v>
      </c>
      <c r="G73" s="10">
        <f>E73*F73</f>
        <v>34.789182245999996</v>
      </c>
      <c r="H73" s="11">
        <f>G73/$H$90</f>
        <v>2.7373530722962045E-5</v>
      </c>
    </row>
    <row r="74" spans="2:8" x14ac:dyDescent="0.2">
      <c r="B74" s="38" t="s">
        <v>103</v>
      </c>
      <c r="C74" s="5" t="s">
        <v>104</v>
      </c>
      <c r="D74" s="38" t="s">
        <v>6</v>
      </c>
      <c r="E74" s="35">
        <v>0.90144000000000002</v>
      </c>
      <c r="F74" s="36">
        <v>35.269399999999997</v>
      </c>
      <c r="G74" s="10">
        <f>E74*F74</f>
        <v>31.793247935999997</v>
      </c>
      <c r="H74" s="11">
        <f>G74/$H$90</f>
        <v>2.5016208860698656E-5</v>
      </c>
    </row>
    <row r="75" spans="2:8" x14ac:dyDescent="0.2">
      <c r="B75" s="38" t="s">
        <v>49</v>
      </c>
      <c r="C75" s="5" t="s">
        <v>61</v>
      </c>
      <c r="D75" s="38" t="s">
        <v>6</v>
      </c>
      <c r="E75" s="35">
        <v>0.47376000000000001</v>
      </c>
      <c r="F75" s="36">
        <v>65.495900000000006</v>
      </c>
      <c r="G75" s="10">
        <f>E75*F75</f>
        <v>31.029337584000004</v>
      </c>
      <c r="H75" s="11">
        <f>G75/$H$90</f>
        <v>2.4415133407352384E-5</v>
      </c>
    </row>
    <row r="76" spans="2:8" x14ac:dyDescent="0.2">
      <c r="B76" s="38" t="s">
        <v>121</v>
      </c>
      <c r="C76" s="5" t="s">
        <v>122</v>
      </c>
      <c r="D76" s="38" t="s">
        <v>6</v>
      </c>
      <c r="E76" s="35">
        <v>1.881</v>
      </c>
      <c r="F76" s="36">
        <v>16.1661</v>
      </c>
      <c r="G76" s="10">
        <f>E76*F76</f>
        <v>30.408434100000001</v>
      </c>
      <c r="H76" s="11">
        <f>G76/$H$90</f>
        <v>2.3926581521450484E-5</v>
      </c>
    </row>
    <row r="77" spans="2:8" x14ac:dyDescent="0.2">
      <c r="B77" s="38" t="s">
        <v>226</v>
      </c>
      <c r="C77" s="5" t="s">
        <v>227</v>
      </c>
      <c r="D77" s="38" t="s">
        <v>6</v>
      </c>
      <c r="E77" s="35">
        <v>4.8</v>
      </c>
      <c r="F77" s="36">
        <v>3.1806999999999999</v>
      </c>
      <c r="G77" s="10">
        <f>E77*F77</f>
        <v>15.267359999999998</v>
      </c>
      <c r="H77" s="11">
        <f>G77/$H$90</f>
        <v>1.201297417867802E-5</v>
      </c>
    </row>
    <row r="78" spans="2:8" x14ac:dyDescent="0.2">
      <c r="B78" s="38" t="s">
        <v>105</v>
      </c>
      <c r="C78" s="5" t="s">
        <v>106</v>
      </c>
      <c r="D78" s="38" t="s">
        <v>7</v>
      </c>
      <c r="E78" s="35">
        <v>0.13420000000000001</v>
      </c>
      <c r="F78" s="36">
        <v>74.960599999999999</v>
      </c>
      <c r="G78" s="10">
        <f>E78*F78</f>
        <v>10.059712520000001</v>
      </c>
      <c r="H78" s="11">
        <f>G78/$H$90</f>
        <v>7.9153872540952745E-6</v>
      </c>
    </row>
    <row r="79" spans="2:8" x14ac:dyDescent="0.2">
      <c r="B79" s="38" t="s">
        <v>97</v>
      </c>
      <c r="C79" s="5" t="s">
        <v>98</v>
      </c>
      <c r="D79" s="38" t="s">
        <v>6</v>
      </c>
      <c r="E79" s="35">
        <v>0.84</v>
      </c>
      <c r="F79" s="36">
        <v>9.3268000000000004</v>
      </c>
      <c r="G79" s="10">
        <f>E79*F79</f>
        <v>7.8345120000000001</v>
      </c>
      <c r="H79" s="11">
        <f>G79/$H$90</f>
        <v>6.1645098012061749E-6</v>
      </c>
    </row>
    <row r="80" spans="2:8" x14ac:dyDescent="0.2">
      <c r="B80" s="38" t="s">
        <v>178</v>
      </c>
      <c r="C80" s="5" t="s">
        <v>179</v>
      </c>
      <c r="D80" s="38" t="s">
        <v>6</v>
      </c>
      <c r="E80" s="35">
        <v>1.6763999999999999</v>
      </c>
      <c r="F80" s="36">
        <v>4.0732999999999997</v>
      </c>
      <c r="G80" s="10">
        <f>E80*F80</f>
        <v>6.8284801199999992</v>
      </c>
      <c r="H80" s="11">
        <f>G80/$H$90</f>
        <v>5.3729233712427156E-6</v>
      </c>
    </row>
    <row r="81" spans="2:10" x14ac:dyDescent="0.2">
      <c r="B81" s="38" t="s">
        <v>154</v>
      </c>
      <c r="C81" s="5" t="s">
        <v>155</v>
      </c>
      <c r="D81" s="38" t="s">
        <v>7</v>
      </c>
      <c r="E81" s="35">
        <v>0.18972</v>
      </c>
      <c r="F81" s="36">
        <v>35.634099999999997</v>
      </c>
      <c r="G81" s="10">
        <f>E81*F81</f>
        <v>6.7605014519999997</v>
      </c>
      <c r="H81" s="11">
        <f>G81/$H$90</f>
        <v>5.3194350154703412E-6</v>
      </c>
    </row>
    <row r="82" spans="2:10" x14ac:dyDescent="0.2">
      <c r="B82" s="38" t="s">
        <v>158</v>
      </c>
      <c r="C82" s="5" t="s">
        <v>159</v>
      </c>
      <c r="D82" s="38" t="s">
        <v>6</v>
      </c>
      <c r="E82" s="35">
        <v>1.499E-2</v>
      </c>
      <c r="F82" s="36">
        <v>29.974</v>
      </c>
      <c r="G82" s="10">
        <f>E82*F82</f>
        <v>0.44931026000000002</v>
      </c>
      <c r="H82" s="11">
        <f>G82/$H$90</f>
        <v>3.5353542142158883E-7</v>
      </c>
    </row>
    <row r="83" spans="2:10" x14ac:dyDescent="0.2">
      <c r="B83" s="38" t="s">
        <v>101</v>
      </c>
      <c r="C83" s="5" t="s">
        <v>102</v>
      </c>
      <c r="D83" s="38" t="s">
        <v>32</v>
      </c>
      <c r="E83" s="35">
        <v>1.358E-2</v>
      </c>
      <c r="F83" s="36">
        <v>21.725300000000001</v>
      </c>
      <c r="G83" s="10">
        <f>E83*F83</f>
        <v>0.29502957400000002</v>
      </c>
      <c r="H83" s="11">
        <f>G83/$H$90</f>
        <v>2.3214115959854073E-7</v>
      </c>
    </row>
    <row r="84" spans="2:10" x14ac:dyDescent="0.2">
      <c r="B84" s="38" t="s">
        <v>133</v>
      </c>
      <c r="C84" s="5" t="s">
        <v>134</v>
      </c>
      <c r="D84" s="38" t="s">
        <v>13</v>
      </c>
      <c r="E84" s="35">
        <v>414.72</v>
      </c>
      <c r="F84" s="36">
        <v>0</v>
      </c>
      <c r="G84" s="10">
        <f>E84*F84</f>
        <v>0</v>
      </c>
      <c r="H84" s="11">
        <f>G84/$H$90</f>
        <v>0</v>
      </c>
    </row>
    <row r="85" spans="2:10" x14ac:dyDescent="0.2">
      <c r="B85" s="12"/>
      <c r="C85" s="6"/>
      <c r="D85" s="12"/>
      <c r="E85" s="13"/>
      <c r="F85" s="14"/>
      <c r="G85" s="15"/>
      <c r="H85" s="16"/>
    </row>
    <row r="86" spans="2:10" x14ac:dyDescent="0.2">
      <c r="B86" s="12"/>
      <c r="C86" s="6"/>
      <c r="D86" s="12"/>
      <c r="E86" s="13"/>
      <c r="F86" s="14"/>
      <c r="G86" s="15"/>
      <c r="H86" s="16"/>
    </row>
    <row r="87" spans="2:10" x14ac:dyDescent="0.2">
      <c r="B87" s="17"/>
      <c r="C87" s="4" t="s">
        <v>63</v>
      </c>
      <c r="D87" s="18"/>
      <c r="E87" s="19"/>
      <c r="F87" s="20"/>
      <c r="G87" s="20"/>
      <c r="H87" s="21"/>
    </row>
    <row r="88" spans="2:10" x14ac:dyDescent="0.2">
      <c r="B88" s="9"/>
      <c r="C88" s="3" t="s">
        <v>71</v>
      </c>
      <c r="D88" s="22"/>
      <c r="E88" s="23"/>
      <c r="F88" s="24"/>
      <c r="G88" s="25"/>
      <c r="H88" s="26">
        <v>5456841.4400000004</v>
      </c>
    </row>
    <row r="89" spans="2:10" x14ac:dyDescent="0.2">
      <c r="B89" s="27"/>
      <c r="C89" s="2" t="s">
        <v>72</v>
      </c>
      <c r="D89" s="28"/>
      <c r="E89" s="29"/>
      <c r="F89" s="30"/>
      <c r="G89" s="31"/>
      <c r="H89" s="32">
        <v>0.29570000000000002</v>
      </c>
    </row>
    <row r="90" spans="2:10" x14ac:dyDescent="0.2">
      <c r="B90" s="27" t="s">
        <v>34</v>
      </c>
      <c r="C90" s="2" t="s">
        <v>33</v>
      </c>
      <c r="D90" s="28"/>
      <c r="E90" s="29"/>
      <c r="F90" s="30"/>
      <c r="G90" s="31"/>
      <c r="H90" s="10">
        <f>SUM(G5:G84)</f>
        <v>1270905.9199592911</v>
      </c>
    </row>
    <row r="91" spans="2:10" x14ac:dyDescent="0.2">
      <c r="B91" s="27" t="s">
        <v>36</v>
      </c>
      <c r="C91" s="2" t="s">
        <v>35</v>
      </c>
      <c r="D91" s="28"/>
      <c r="E91" s="29"/>
      <c r="F91" s="30"/>
      <c r="G91" s="31"/>
      <c r="H91" s="10">
        <f>TRUNC(H88/(1+H89),2)</f>
        <v>4211500.68</v>
      </c>
    </row>
    <row r="92" spans="2:10" x14ac:dyDescent="0.2">
      <c r="B92" s="27" t="s">
        <v>37</v>
      </c>
      <c r="C92" s="2" t="s">
        <v>38</v>
      </c>
      <c r="D92" s="28"/>
      <c r="E92" s="29"/>
      <c r="F92" s="30"/>
      <c r="G92" s="31"/>
      <c r="H92" s="33">
        <f>H90/H91</f>
        <v>0.30177032286726146</v>
      </c>
    </row>
    <row r="93" spans="2:10" x14ac:dyDescent="0.2">
      <c r="B93" s="27" t="s">
        <v>40</v>
      </c>
      <c r="C93" s="2" t="s">
        <v>39</v>
      </c>
      <c r="D93" s="28"/>
      <c r="E93" s="29"/>
      <c r="F93" s="30"/>
      <c r="G93" s="31"/>
      <c r="H93" s="33">
        <f>1-H92</f>
        <v>0.69822967713273854</v>
      </c>
    </row>
    <row r="94" spans="2:10" x14ac:dyDescent="0.2">
      <c r="B94" s="27" t="s">
        <v>41</v>
      </c>
      <c r="C94" s="2" t="s">
        <v>42</v>
      </c>
      <c r="D94" s="28"/>
      <c r="E94" s="29"/>
      <c r="F94" s="30"/>
      <c r="G94" s="31"/>
      <c r="H94" s="33">
        <v>0.05</v>
      </c>
    </row>
    <row r="95" spans="2:10" x14ac:dyDescent="0.2">
      <c r="B95" s="27" t="s">
        <v>43</v>
      </c>
      <c r="C95" s="2" t="s">
        <v>44</v>
      </c>
      <c r="D95" s="28"/>
      <c r="E95" s="29"/>
      <c r="F95" s="30"/>
      <c r="G95" s="31"/>
      <c r="H95" s="33">
        <f>ROUND(H94*H93,3)</f>
        <v>3.5000000000000003E-2</v>
      </c>
      <c r="J95" s="40">
        <f>H95*100</f>
        <v>3.5000000000000004</v>
      </c>
    </row>
    <row r="96" spans="2:10" x14ac:dyDescent="0.2">
      <c r="B96" s="12"/>
      <c r="C96" s="6"/>
      <c r="D96" s="12"/>
      <c r="E96" s="13"/>
      <c r="F96" s="14"/>
      <c r="G96" s="14"/>
      <c r="H96" s="15"/>
      <c r="J96" s="40"/>
    </row>
    <row r="97" spans="2:10" x14ac:dyDescent="0.2">
      <c r="B97" s="17"/>
      <c r="C97" s="4" t="s">
        <v>64</v>
      </c>
      <c r="D97" s="18"/>
      <c r="E97" s="19"/>
      <c r="F97" s="20"/>
      <c r="G97" s="20"/>
      <c r="H97" s="21"/>
      <c r="J97" s="40"/>
    </row>
    <row r="98" spans="2:10" x14ac:dyDescent="0.2">
      <c r="B98" s="1"/>
      <c r="C98" s="3" t="s">
        <v>71</v>
      </c>
      <c r="D98" s="22"/>
      <c r="E98" s="23"/>
      <c r="F98" s="24"/>
      <c r="G98" s="25"/>
      <c r="H98" s="34">
        <v>5552187.4299999997</v>
      </c>
      <c r="J98" s="40"/>
    </row>
    <row r="99" spans="2:10" x14ac:dyDescent="0.2">
      <c r="B99" s="27"/>
      <c r="C99" s="2" t="s">
        <v>72</v>
      </c>
      <c r="D99" s="28"/>
      <c r="E99" s="29"/>
      <c r="F99" s="30"/>
      <c r="G99" s="31"/>
      <c r="H99" s="32">
        <v>0.33529999999999999</v>
      </c>
      <c r="J99" s="40"/>
    </row>
    <row r="100" spans="2:10" x14ac:dyDescent="0.2">
      <c r="B100" s="27" t="s">
        <v>34</v>
      </c>
      <c r="C100" s="2" t="s">
        <v>33</v>
      </c>
      <c r="D100" s="28"/>
      <c r="E100" s="29"/>
      <c r="F100" s="30"/>
      <c r="G100" s="31"/>
      <c r="H100" s="10">
        <f>H90</f>
        <v>1270905.9199592911</v>
      </c>
      <c r="J100" s="40"/>
    </row>
    <row r="101" spans="2:10" x14ac:dyDescent="0.2">
      <c r="B101" s="27" t="s">
        <v>36</v>
      </c>
      <c r="C101" s="2" t="s">
        <v>35</v>
      </c>
      <c r="D101" s="28"/>
      <c r="E101" s="29"/>
      <c r="F101" s="30"/>
      <c r="G101" s="31"/>
      <c r="H101" s="10">
        <f>TRUNC(H98/(1+H99),2)</f>
        <v>4158007.51</v>
      </c>
      <c r="J101" s="40"/>
    </row>
    <row r="102" spans="2:10" x14ac:dyDescent="0.2">
      <c r="B102" s="27" t="s">
        <v>37</v>
      </c>
      <c r="C102" s="2" t="s">
        <v>38</v>
      </c>
      <c r="D102" s="28"/>
      <c r="E102" s="29"/>
      <c r="F102" s="30"/>
      <c r="G102" s="31"/>
      <c r="H102" s="33">
        <f>H100/H101</f>
        <v>0.30565262734681575</v>
      </c>
      <c r="J102" s="40"/>
    </row>
    <row r="103" spans="2:10" x14ac:dyDescent="0.2">
      <c r="B103" s="27" t="s">
        <v>40</v>
      </c>
      <c r="C103" s="2" t="s">
        <v>39</v>
      </c>
      <c r="D103" s="28"/>
      <c r="E103" s="29"/>
      <c r="F103" s="30"/>
      <c r="G103" s="31"/>
      <c r="H103" s="33">
        <f>1-H102</f>
        <v>0.69434737265318425</v>
      </c>
      <c r="J103" s="40"/>
    </row>
    <row r="104" spans="2:10" x14ac:dyDescent="0.2">
      <c r="B104" s="27" t="s">
        <v>41</v>
      </c>
      <c r="C104" s="2" t="s">
        <v>42</v>
      </c>
      <c r="D104" s="28"/>
      <c r="E104" s="29"/>
      <c r="F104" s="30"/>
      <c r="G104" s="31"/>
      <c r="H104" s="33">
        <v>0.05</v>
      </c>
      <c r="J104" s="40"/>
    </row>
    <row r="105" spans="2:10" x14ac:dyDescent="0.2">
      <c r="B105" s="27" t="s">
        <v>43</v>
      </c>
      <c r="C105" s="2" t="s">
        <v>44</v>
      </c>
      <c r="D105" s="28"/>
      <c r="E105" s="29"/>
      <c r="F105" s="30"/>
      <c r="G105" s="31"/>
      <c r="H105" s="33">
        <f>ROUND(H104*H103,3)</f>
        <v>3.5000000000000003E-2</v>
      </c>
      <c r="J105" s="40">
        <f>H105*100</f>
        <v>3.5000000000000004</v>
      </c>
    </row>
  </sheetData>
  <mergeCells count="2">
    <mergeCell ref="B3:H3"/>
    <mergeCell ref="B2:H2"/>
  </mergeCells>
  <printOptions horizontalCentered="1"/>
  <pageMargins left="0.39370078740157483" right="0.39370078740157483" top="0.98425196850393704" bottom="0.39370078740157483" header="0.39370078740157483" footer="0.39370078740157483"/>
  <pageSetup paperSize="9" scale="59" fitToHeight="0" orientation="portrait" r:id="rId1"/>
  <headerFooter differentFirst="1" scaleWithDoc="0">
    <oddHeader>&amp;G</oddHeader>
    <firstHeader>&amp;G</firstHead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7"/>
  <sheetViews>
    <sheetView showGridLines="0" zoomScale="70" zoomScaleNormal="70" zoomScaleSheetLayoutView="85" workbookViewId="0">
      <selection activeCell="M15" sqref="M15"/>
    </sheetView>
  </sheetViews>
  <sheetFormatPr defaultColWidth="9.140625" defaultRowHeight="12.75" x14ac:dyDescent="0.2"/>
  <cols>
    <col min="1" max="1" width="1.7109375" style="82" customWidth="1"/>
    <col min="2" max="2" width="30.7109375" style="79" customWidth="1"/>
    <col min="3" max="3" width="22.7109375" style="80" customWidth="1"/>
    <col min="4" max="5" width="15.7109375" style="80" customWidth="1"/>
    <col min="6" max="9" width="15.7109375" style="79" customWidth="1"/>
    <col min="10" max="16384" width="9.140625" style="82"/>
  </cols>
  <sheetData>
    <row r="1" spans="2:12" ht="9.9499999999999993" customHeight="1" x14ac:dyDescent="0.2"/>
    <row r="2" spans="2:12" ht="18.75" x14ac:dyDescent="0.3">
      <c r="B2" s="39" t="s">
        <v>223</v>
      </c>
      <c r="C2" s="83"/>
      <c r="D2" s="83"/>
      <c r="E2" s="83"/>
      <c r="F2" s="83"/>
      <c r="G2" s="83"/>
      <c r="H2" s="83"/>
      <c r="I2" s="83"/>
    </row>
    <row r="3" spans="2:12" s="85" customFormat="1" ht="15.95" customHeight="1" x14ac:dyDescent="0.2">
      <c r="B3" s="42" t="s">
        <v>214</v>
      </c>
      <c r="C3" s="43"/>
      <c r="D3" s="43"/>
      <c r="E3" s="43"/>
      <c r="F3" s="84"/>
      <c r="G3" s="84"/>
      <c r="H3" s="84"/>
      <c r="I3" s="84"/>
    </row>
    <row r="4" spans="2:12" s="86" customFormat="1" ht="30" customHeight="1" x14ac:dyDescent="0.2">
      <c r="B4" s="101" t="s">
        <v>187</v>
      </c>
      <c r="C4" s="102"/>
      <c r="D4" s="44" t="s">
        <v>213</v>
      </c>
      <c r="E4" s="45"/>
      <c r="F4" s="45"/>
      <c r="G4" s="45"/>
      <c r="H4" s="45"/>
      <c r="I4" s="46"/>
      <c r="J4" s="82"/>
      <c r="K4" s="82"/>
      <c r="L4" s="82"/>
    </row>
    <row r="5" spans="2:12" s="86" customFormat="1" ht="30" customHeight="1" x14ac:dyDescent="0.2">
      <c r="B5" s="101"/>
      <c r="C5" s="102"/>
      <c r="D5" s="47" t="s">
        <v>189</v>
      </c>
      <c r="E5" s="47"/>
      <c r="F5" s="47" t="s">
        <v>216</v>
      </c>
      <c r="G5" s="47"/>
      <c r="H5" s="47" t="s">
        <v>217</v>
      </c>
      <c r="I5" s="47"/>
      <c r="J5" s="82"/>
      <c r="K5" s="82"/>
      <c r="L5" s="82"/>
    </row>
    <row r="6" spans="2:12" s="88" customFormat="1" ht="30" customHeight="1" x14ac:dyDescent="0.2">
      <c r="B6" s="103" t="s">
        <v>190</v>
      </c>
      <c r="C6" s="104"/>
      <c r="D6" s="48" t="s">
        <v>191</v>
      </c>
      <c r="E6" s="48" t="s">
        <v>192</v>
      </c>
      <c r="F6" s="48" t="s">
        <v>191</v>
      </c>
      <c r="G6" s="48" t="s">
        <v>192</v>
      </c>
      <c r="H6" s="48" t="s">
        <v>191</v>
      </c>
      <c r="I6" s="48" t="s">
        <v>192</v>
      </c>
      <c r="J6" s="87"/>
      <c r="K6" s="87"/>
      <c r="L6" s="87"/>
    </row>
    <row r="7" spans="2:12" s="85" customFormat="1" ht="30" customHeight="1" x14ac:dyDescent="0.2">
      <c r="B7" s="49" t="s">
        <v>67</v>
      </c>
      <c r="C7" s="50" t="s">
        <v>193</v>
      </c>
      <c r="D7" s="51">
        <f>E7/(1+E$20/100)</f>
        <v>4.6327488609692118</v>
      </c>
      <c r="E7" s="52">
        <v>6</v>
      </c>
      <c r="F7" s="51">
        <f>G7/(1+G$20/100)</f>
        <v>4.6928100918842572</v>
      </c>
      <c r="G7" s="52">
        <f>E7</f>
        <v>6</v>
      </c>
      <c r="H7" s="51">
        <f>I7/(1+I$20/100)</f>
        <v>4.7544491045114485</v>
      </c>
      <c r="I7" s="52">
        <f>E7</f>
        <v>6</v>
      </c>
      <c r="J7" s="88"/>
      <c r="K7" s="88"/>
      <c r="L7" s="88"/>
    </row>
    <row r="8" spans="2:12" s="85" customFormat="1" ht="30" customHeight="1" x14ac:dyDescent="0.2">
      <c r="B8" s="53" t="s">
        <v>194</v>
      </c>
      <c r="C8" s="54">
        <v>1.1200000000000001</v>
      </c>
      <c r="D8" s="55">
        <f>E8/(1+E$20/100)</f>
        <v>1.0335220212618959</v>
      </c>
      <c r="E8" s="55">
        <f>E20-(E7+E9+E10+E13+E16+E17+E18)</f>
        <v>1.3385426911041414</v>
      </c>
      <c r="F8" s="55">
        <f>G8/(1+G$20/100)</f>
        <v>1.0455407465420918</v>
      </c>
      <c r="G8" s="55">
        <f>G20-(G7+G9+G10+G13+G16+G17+G18)</f>
        <v>1.3367778274474595</v>
      </c>
      <c r="H8" s="55">
        <f>I8/(1+I$20/100)</f>
        <v>1.0578751983677204</v>
      </c>
      <c r="I8" s="55">
        <f>I20-(I7+I9+I10+I13+I16+I17+I18)</f>
        <v>1.3350129637907955</v>
      </c>
      <c r="J8" s="88"/>
      <c r="K8" s="88"/>
      <c r="L8" s="87"/>
    </row>
    <row r="9" spans="2:12" s="85" customFormat="1" ht="30" customHeight="1" x14ac:dyDescent="0.2">
      <c r="B9" s="53" t="s">
        <v>195</v>
      </c>
      <c r="C9" s="56" t="s">
        <v>196</v>
      </c>
      <c r="D9" s="57">
        <v>0.25</v>
      </c>
      <c r="E9" s="55">
        <f>D9*(1+E$20/100)</f>
        <v>0.32378185069289223</v>
      </c>
      <c r="F9" s="57">
        <f>D9</f>
        <v>0.25</v>
      </c>
      <c r="G9" s="55">
        <f>F9*(1+G$20/100)</f>
        <v>0.31963790791238261</v>
      </c>
      <c r="H9" s="57">
        <f>D9</f>
        <v>0.25</v>
      </c>
      <c r="I9" s="55">
        <f>H9*(1+I$20/100)</f>
        <v>0.31549396513187306</v>
      </c>
      <c r="J9" s="87"/>
      <c r="K9" s="87"/>
    </row>
    <row r="10" spans="2:12" s="85" customFormat="1" ht="30" customHeight="1" x14ac:dyDescent="0.2">
      <c r="B10" s="53" t="s">
        <v>197</v>
      </c>
      <c r="C10" s="56" t="s">
        <v>198</v>
      </c>
      <c r="D10" s="57">
        <v>0.5</v>
      </c>
      <c r="E10" s="55">
        <f>D10*(1+E$20/100)</f>
        <v>0.64756370138578445</v>
      </c>
      <c r="F10" s="57">
        <f>D10</f>
        <v>0.5</v>
      </c>
      <c r="G10" s="55">
        <f>F10*(1+G$20/100)</f>
        <v>0.63927581582476523</v>
      </c>
      <c r="H10" s="57">
        <f>D10</f>
        <v>0.5</v>
      </c>
      <c r="I10" s="55">
        <f>H10*(1+I$20/100)</f>
        <v>0.63098793026374611</v>
      </c>
      <c r="L10" s="89"/>
    </row>
    <row r="11" spans="2:12" s="85" customFormat="1" ht="30" customHeight="1" x14ac:dyDescent="0.2">
      <c r="B11" s="58"/>
      <c r="C11" s="59" t="s">
        <v>199</v>
      </c>
      <c r="D11" s="60">
        <f>SUM(D7:D10)</f>
        <v>6.4162708822311076</v>
      </c>
      <c r="E11" s="60">
        <f t="shared" ref="E11" si="0">SUM(E7:E10)</f>
        <v>8.3098882431828187</v>
      </c>
      <c r="F11" s="60">
        <f>SUM(F7:F10)</f>
        <v>6.4883508384263493</v>
      </c>
      <c r="G11" s="60">
        <f t="shared" ref="G11" si="1">SUM(G7:G10)</f>
        <v>8.295691551184607</v>
      </c>
      <c r="H11" s="60">
        <f>SUM(H7:H10)</f>
        <v>6.5623243028791691</v>
      </c>
      <c r="I11" s="60">
        <f t="shared" ref="I11" si="2">SUM(I7:I10)</f>
        <v>8.2814948591864148</v>
      </c>
      <c r="J11" s="89"/>
      <c r="K11" s="89"/>
      <c r="L11" s="89"/>
    </row>
    <row r="12" spans="2:12" s="85" customFormat="1" ht="30" customHeight="1" x14ac:dyDescent="0.2">
      <c r="B12" s="99" t="s">
        <v>200</v>
      </c>
      <c r="C12" s="100"/>
      <c r="D12" s="61" t="s">
        <v>191</v>
      </c>
      <c r="E12" s="61" t="s">
        <v>192</v>
      </c>
      <c r="F12" s="61" t="s">
        <v>191</v>
      </c>
      <c r="G12" s="61" t="s">
        <v>192</v>
      </c>
      <c r="H12" s="61" t="s">
        <v>191</v>
      </c>
      <c r="I12" s="61" t="s">
        <v>192</v>
      </c>
      <c r="J12" s="89"/>
      <c r="K12" s="89"/>
      <c r="L12" s="88"/>
    </row>
    <row r="13" spans="2:12" s="85" customFormat="1" ht="30" customHeight="1" x14ac:dyDescent="0.2">
      <c r="B13" s="49" t="s">
        <v>68</v>
      </c>
      <c r="C13" s="50" t="s">
        <v>193</v>
      </c>
      <c r="D13" s="51">
        <f>E13/(1+E$20/100)</f>
        <v>7.7212481016153536</v>
      </c>
      <c r="E13" s="52">
        <v>10</v>
      </c>
      <c r="F13" s="51">
        <f>G13/(1+G$20/100)</f>
        <v>6.6481476301693645</v>
      </c>
      <c r="G13" s="52">
        <v>8.5</v>
      </c>
      <c r="H13" s="51">
        <f>I13/(1+I$20/100)</f>
        <v>5.5468572885966898</v>
      </c>
      <c r="I13" s="52">
        <v>7</v>
      </c>
      <c r="J13" s="88"/>
      <c r="K13" s="88"/>
    </row>
    <row r="14" spans="2:12" s="85" customFormat="1" ht="30" customHeight="1" x14ac:dyDescent="0.2">
      <c r="B14" s="58"/>
      <c r="C14" s="59" t="s">
        <v>201</v>
      </c>
      <c r="D14" s="55">
        <f t="shared" ref="D14:E14" si="3">D13</f>
        <v>7.7212481016153536</v>
      </c>
      <c r="E14" s="60">
        <f t="shared" si="3"/>
        <v>10</v>
      </c>
      <c r="F14" s="55">
        <f t="shared" ref="F14:I14" si="4">F13</f>
        <v>6.6481476301693645</v>
      </c>
      <c r="G14" s="60">
        <f t="shared" si="4"/>
        <v>8.5</v>
      </c>
      <c r="H14" s="55">
        <f t="shared" si="4"/>
        <v>5.5468572885966898</v>
      </c>
      <c r="I14" s="60">
        <f t="shared" si="4"/>
        <v>7</v>
      </c>
    </row>
    <row r="15" spans="2:12" s="85" customFormat="1" ht="30" customHeight="1" x14ac:dyDescent="0.2">
      <c r="B15" s="99" t="s">
        <v>202</v>
      </c>
      <c r="C15" s="100"/>
      <c r="D15" s="48" t="s">
        <v>191</v>
      </c>
      <c r="E15" s="61" t="s">
        <v>192</v>
      </c>
      <c r="F15" s="48" t="s">
        <v>191</v>
      </c>
      <c r="G15" s="61" t="s">
        <v>192</v>
      </c>
      <c r="H15" s="48" t="s">
        <v>191</v>
      </c>
      <c r="I15" s="61" t="s">
        <v>192</v>
      </c>
    </row>
    <row r="16" spans="2:12" s="85" customFormat="1" ht="30" customHeight="1" x14ac:dyDescent="0.2">
      <c r="B16" s="49" t="s">
        <v>69</v>
      </c>
      <c r="C16" s="50" t="s">
        <v>203</v>
      </c>
      <c r="D16" s="52">
        <v>0.65</v>
      </c>
      <c r="E16" s="51">
        <f>D16*(1+E$20/100)</f>
        <v>0.84183281180151981</v>
      </c>
      <c r="F16" s="52">
        <f>D16</f>
        <v>0.65</v>
      </c>
      <c r="G16" s="51">
        <f>F16*(1+G$20/100)</f>
        <v>0.83105856057219485</v>
      </c>
      <c r="H16" s="52">
        <f>D16</f>
        <v>0.65</v>
      </c>
      <c r="I16" s="51">
        <f>H16*(1+I$20/100)</f>
        <v>0.82028430934287</v>
      </c>
    </row>
    <row r="17" spans="2:9" s="85" customFormat="1" ht="30" customHeight="1" x14ac:dyDescent="0.2">
      <c r="B17" s="53" t="s">
        <v>70</v>
      </c>
      <c r="C17" s="56" t="s">
        <v>204</v>
      </c>
      <c r="D17" s="57">
        <v>3</v>
      </c>
      <c r="E17" s="55">
        <f>D17*(1+E$20/100)</f>
        <v>3.8853822083147067</v>
      </c>
      <c r="F17" s="57">
        <f>D17</f>
        <v>3</v>
      </c>
      <c r="G17" s="55">
        <f>F17*(1+G$20/100)</f>
        <v>3.8356548949485916</v>
      </c>
      <c r="H17" s="57">
        <f>D17</f>
        <v>3</v>
      </c>
      <c r="I17" s="55">
        <f>H17*(1+I$20/100)</f>
        <v>3.7859275815824764</v>
      </c>
    </row>
    <row r="18" spans="2:9" s="85" customFormat="1" ht="30" customHeight="1" x14ac:dyDescent="0.2">
      <c r="B18" s="53" t="s">
        <v>205</v>
      </c>
      <c r="C18" s="56" t="s">
        <v>206</v>
      </c>
      <c r="D18" s="62">
        <v>5</v>
      </c>
      <c r="E18" s="55">
        <f>D18*(1+E$20/100)</f>
        <v>6.4756370138578445</v>
      </c>
      <c r="F18" s="62">
        <f>D18</f>
        <v>5</v>
      </c>
      <c r="G18" s="55">
        <f>F18*(1+G$20/100)</f>
        <v>6.392758158247652</v>
      </c>
      <c r="H18" s="62">
        <f>D18</f>
        <v>5</v>
      </c>
      <c r="I18" s="55">
        <f>H18*(1+I$20/100)</f>
        <v>6.3098793026374613</v>
      </c>
    </row>
    <row r="19" spans="2:9" s="85" customFormat="1" ht="30" customHeight="1" x14ac:dyDescent="0.2">
      <c r="B19" s="58"/>
      <c r="C19" s="59" t="s">
        <v>207</v>
      </c>
      <c r="D19" s="60">
        <f t="shared" ref="D19:E19" si="5">SUM(D16:D18)</f>
        <v>8.65</v>
      </c>
      <c r="E19" s="60">
        <f t="shared" si="5"/>
        <v>11.202852033974072</v>
      </c>
      <c r="F19" s="60">
        <f t="shared" ref="F19:I19" si="6">SUM(F16:F18)</f>
        <v>8.65</v>
      </c>
      <c r="G19" s="60">
        <f t="shared" si="6"/>
        <v>11.059471613768437</v>
      </c>
      <c r="H19" s="60">
        <f t="shared" si="6"/>
        <v>8.65</v>
      </c>
      <c r="I19" s="60">
        <f t="shared" si="6"/>
        <v>10.916091193562806</v>
      </c>
    </row>
    <row r="20" spans="2:9" s="90" customFormat="1" ht="30" customHeight="1" x14ac:dyDescent="0.2">
      <c r="B20" s="105" t="s">
        <v>208</v>
      </c>
      <c r="C20" s="106"/>
      <c r="D20" s="66">
        <f>D11+D14+D19</f>
        <v>22.787518983846461</v>
      </c>
      <c r="E20" s="66">
        <f>((1+(E7/100+E13/100-($C8/100*E13/100)))/(1-($C8/100+D10/100+D9/100+D16/100+D17/100+D18/100))-1)*100</f>
        <v>29.51274027715689</v>
      </c>
      <c r="F20" s="66">
        <f>F11+F14+F19</f>
        <v>21.786498468595717</v>
      </c>
      <c r="G20" s="66">
        <f>((1+(G7/100+G13/100-($C8/100*G13/100)))/(1-($C8/100+F10/100+F9/100+F16/100+F17/100+F18/100))-1)*100</f>
        <v>27.855163164953044</v>
      </c>
      <c r="H20" s="66">
        <f>H11+H14+H19</f>
        <v>20.759181591475858</v>
      </c>
      <c r="I20" s="66">
        <f>((1+(I7/100+I13/100-($C8/100*I13/100)))/(1-($C8/100+H10/100+H9/100+H16/100+H17/100+H18/100))-1)*100</f>
        <v>26.197586052749223</v>
      </c>
    </row>
    <row r="21" spans="2:9" s="91" customFormat="1" x14ac:dyDescent="0.2">
      <c r="B21" s="76"/>
      <c r="C21" s="76"/>
      <c r="D21" s="77"/>
      <c r="E21" s="77"/>
      <c r="F21" s="77"/>
      <c r="G21" s="77"/>
      <c r="H21" s="77"/>
      <c r="I21" s="77"/>
    </row>
    <row r="22" spans="2:9" s="90" customFormat="1" x14ac:dyDescent="0.2">
      <c r="B22" s="42" t="s">
        <v>215</v>
      </c>
      <c r="C22" s="43"/>
      <c r="D22" s="43"/>
      <c r="E22" s="43"/>
      <c r="F22" s="43"/>
      <c r="G22" s="43"/>
      <c r="H22" s="43"/>
      <c r="I22" s="43"/>
    </row>
    <row r="23" spans="2:9" s="86" customFormat="1" ht="30" customHeight="1" x14ac:dyDescent="0.2">
      <c r="B23" s="101" t="str">
        <f>B4</f>
        <v>Descrição das Parcelas</v>
      </c>
      <c r="C23" s="102"/>
      <c r="D23" s="44" t="str">
        <f>D4</f>
        <v>Construção e Restauração Rodoviária</v>
      </c>
      <c r="E23" s="45"/>
      <c r="F23" s="45"/>
      <c r="G23" s="45"/>
      <c r="H23" s="45"/>
      <c r="I23" s="46"/>
    </row>
    <row r="24" spans="2:9" s="86" customFormat="1" ht="30" customHeight="1" x14ac:dyDescent="0.2">
      <c r="B24" s="101"/>
      <c r="C24" s="102"/>
      <c r="D24" s="47" t="str">
        <f>D5</f>
        <v>Pequeno Porte</v>
      </c>
      <c r="E24" s="47"/>
      <c r="F24" s="47" t="str">
        <f>F5</f>
        <v>Médio Porte</v>
      </c>
      <c r="G24" s="47"/>
      <c r="H24" s="47" t="str">
        <f>H5</f>
        <v>Grande Porte</v>
      </c>
      <c r="I24" s="47"/>
    </row>
    <row r="25" spans="2:9" s="92" customFormat="1" ht="30" customHeight="1" x14ac:dyDescent="0.2">
      <c r="B25" s="103" t="s">
        <v>190</v>
      </c>
      <c r="C25" s="104"/>
      <c r="D25" s="48" t="s">
        <v>191</v>
      </c>
      <c r="E25" s="48" t="s">
        <v>192</v>
      </c>
      <c r="F25" s="48" t="s">
        <v>191</v>
      </c>
      <c r="G25" s="48" t="s">
        <v>192</v>
      </c>
      <c r="H25" s="48" t="s">
        <v>191</v>
      </c>
      <c r="I25" s="48" t="s">
        <v>192</v>
      </c>
    </row>
    <row r="26" spans="2:9" s="85" customFormat="1" ht="30" customHeight="1" x14ac:dyDescent="0.2">
      <c r="B26" s="49" t="s">
        <v>67</v>
      </c>
      <c r="C26" s="50" t="s">
        <v>193</v>
      </c>
      <c r="D26" s="51">
        <f>E26/(1+E$40/100)</f>
        <v>4.4929587187629441</v>
      </c>
      <c r="E26" s="52">
        <f>E7</f>
        <v>6</v>
      </c>
      <c r="F26" s="51">
        <f>G26/(1+G$40/100)</f>
        <v>4.5512076416374141</v>
      </c>
      <c r="G26" s="52">
        <f>G7</f>
        <v>6</v>
      </c>
      <c r="H26" s="51">
        <f>I26/(1+I$40/100)</f>
        <v>4.6109867377012019</v>
      </c>
      <c r="I26" s="52">
        <f>I7</f>
        <v>6</v>
      </c>
    </row>
    <row r="27" spans="2:9" s="85" customFormat="1" ht="30" customHeight="1" x14ac:dyDescent="0.2">
      <c r="B27" s="53" t="s">
        <v>194</v>
      </c>
      <c r="C27" s="54">
        <f>C8</f>
        <v>1.1200000000000001</v>
      </c>
      <c r="D27" s="55">
        <f>E27/(1+E$40/100)</f>
        <v>1.036131437249747</v>
      </c>
      <c r="E27" s="55">
        <f>E40-(E26+E28+E29+E32+E35+E36+E37+E38)</f>
        <v>1.3836736575247599</v>
      </c>
      <c r="F27" s="55">
        <f>G27/(1+G$40/100)</f>
        <v>1.0477875054193506</v>
      </c>
      <c r="G27" s="55">
        <f>G40-(G26+G28+G29+G32+G35+G36+G37+G38)</f>
        <v>1.381331182300066</v>
      </c>
      <c r="H27" s="55">
        <f>I27/(1+I$40/100)</f>
        <v>1.0597497732940364</v>
      </c>
      <c r="I27" s="55">
        <f>I40-(I26+I28+I29+I32+I35+I36+I37+I38)</f>
        <v>1.3789887070753615</v>
      </c>
    </row>
    <row r="28" spans="2:9" s="85" customFormat="1" ht="30" customHeight="1" x14ac:dyDescent="0.2">
      <c r="B28" s="53" t="s">
        <v>195</v>
      </c>
      <c r="C28" s="56" t="s">
        <v>196</v>
      </c>
      <c r="D28" s="57">
        <v>0.25</v>
      </c>
      <c r="E28" s="55">
        <f>D28*(1+E$40/100)</f>
        <v>0.33385572712606587</v>
      </c>
      <c r="F28" s="57">
        <v>0.25</v>
      </c>
      <c r="G28" s="55">
        <f>F28*(1+G$40/100)</f>
        <v>0.32958285319197972</v>
      </c>
      <c r="H28" s="57">
        <v>0.25</v>
      </c>
      <c r="I28" s="55">
        <f>H28*(1+I$40/100)</f>
        <v>0.32530997925789351</v>
      </c>
    </row>
    <row r="29" spans="2:9" s="85" customFormat="1" ht="30" customHeight="1" x14ac:dyDescent="0.2">
      <c r="B29" s="53" t="s">
        <v>197</v>
      </c>
      <c r="C29" s="56" t="s">
        <v>198</v>
      </c>
      <c r="D29" s="57">
        <v>0.5</v>
      </c>
      <c r="E29" s="55">
        <f>D29*(1+E$40/100)</f>
        <v>0.66771145425213174</v>
      </c>
      <c r="F29" s="57">
        <v>0.5</v>
      </c>
      <c r="G29" s="55">
        <f>F29*(1+G$40/100)</f>
        <v>0.65916570638395944</v>
      </c>
      <c r="H29" s="57">
        <v>0.5</v>
      </c>
      <c r="I29" s="55">
        <f>H29*(1+I$40/100)</f>
        <v>0.65061995851578702</v>
      </c>
    </row>
    <row r="30" spans="2:9" s="85" customFormat="1" ht="30" customHeight="1" x14ac:dyDescent="0.2">
      <c r="B30" s="58"/>
      <c r="C30" s="59" t="s">
        <v>199</v>
      </c>
      <c r="D30" s="60">
        <f t="shared" ref="D30:E30" si="7">SUM(D26:D29)</f>
        <v>6.2790901560126908</v>
      </c>
      <c r="E30" s="60">
        <f t="shared" si="7"/>
        <v>8.3852408389029573</v>
      </c>
      <c r="F30" s="60">
        <f t="shared" ref="F30:I30" si="8">SUM(F26:F29)</f>
        <v>6.3489951470567645</v>
      </c>
      <c r="G30" s="60">
        <f t="shared" si="8"/>
        <v>8.3700797418760047</v>
      </c>
      <c r="H30" s="60">
        <f t="shared" si="8"/>
        <v>6.4207365109952388</v>
      </c>
      <c r="I30" s="60">
        <f t="shared" si="8"/>
        <v>8.3549186448490413</v>
      </c>
    </row>
    <row r="31" spans="2:9" s="85" customFormat="1" ht="30" customHeight="1" x14ac:dyDescent="0.2">
      <c r="B31" s="99" t="s">
        <v>200</v>
      </c>
      <c r="C31" s="100"/>
      <c r="D31" s="61" t="s">
        <v>191</v>
      </c>
      <c r="E31" s="61" t="s">
        <v>192</v>
      </c>
      <c r="F31" s="61" t="s">
        <v>191</v>
      </c>
      <c r="G31" s="61" t="s">
        <v>192</v>
      </c>
      <c r="H31" s="61" t="s">
        <v>191</v>
      </c>
      <c r="I31" s="61" t="s">
        <v>192</v>
      </c>
    </row>
    <row r="32" spans="2:9" s="85" customFormat="1" ht="30" customHeight="1" x14ac:dyDescent="0.2">
      <c r="B32" s="49" t="s">
        <v>68</v>
      </c>
      <c r="C32" s="50" t="s">
        <v>193</v>
      </c>
      <c r="D32" s="51">
        <f>E32/(1+E$40/100)</f>
        <v>7.4882645312715734</v>
      </c>
      <c r="E32" s="52">
        <f>E13</f>
        <v>10</v>
      </c>
      <c r="F32" s="51">
        <f>G32/(1+G$40/100)</f>
        <v>6.4475441589863358</v>
      </c>
      <c r="G32" s="52">
        <f>G13</f>
        <v>8.5</v>
      </c>
      <c r="H32" s="51">
        <f>I32/(1+I$40/100)</f>
        <v>5.3794845273180689</v>
      </c>
      <c r="I32" s="52">
        <f>I13</f>
        <v>7</v>
      </c>
    </row>
    <row r="33" spans="2:9" s="85" customFormat="1" ht="30" customHeight="1" x14ac:dyDescent="0.2">
      <c r="B33" s="58"/>
      <c r="C33" s="59" t="s">
        <v>201</v>
      </c>
      <c r="D33" s="55">
        <f t="shared" ref="D33:E33" si="9">D32</f>
        <v>7.4882645312715734</v>
      </c>
      <c r="E33" s="60">
        <f t="shared" si="9"/>
        <v>10</v>
      </c>
      <c r="F33" s="55">
        <f t="shared" ref="F33:I33" si="10">F32</f>
        <v>6.4475441589863358</v>
      </c>
      <c r="G33" s="60">
        <f t="shared" si="10"/>
        <v>8.5</v>
      </c>
      <c r="H33" s="55">
        <f t="shared" si="10"/>
        <v>5.3794845273180689</v>
      </c>
      <c r="I33" s="60">
        <f t="shared" si="10"/>
        <v>7</v>
      </c>
    </row>
    <row r="34" spans="2:9" s="85" customFormat="1" ht="30" customHeight="1" x14ac:dyDescent="0.2">
      <c r="B34" s="109" t="s">
        <v>202</v>
      </c>
      <c r="C34" s="110"/>
      <c r="D34" s="48" t="s">
        <v>191</v>
      </c>
      <c r="E34" s="61" t="s">
        <v>192</v>
      </c>
      <c r="F34" s="48" t="s">
        <v>191</v>
      </c>
      <c r="G34" s="61" t="s">
        <v>192</v>
      </c>
      <c r="H34" s="48" t="s">
        <v>191</v>
      </c>
      <c r="I34" s="61" t="s">
        <v>192</v>
      </c>
    </row>
    <row r="35" spans="2:9" s="85" customFormat="1" ht="30" customHeight="1" x14ac:dyDescent="0.2">
      <c r="B35" s="49" t="s">
        <v>69</v>
      </c>
      <c r="C35" s="50" t="s">
        <v>203</v>
      </c>
      <c r="D35" s="52">
        <v>0.65</v>
      </c>
      <c r="E35" s="51">
        <f>D35*(1+E$40/100)</f>
        <v>0.86802489052777132</v>
      </c>
      <c r="F35" s="52">
        <v>0.65</v>
      </c>
      <c r="G35" s="51">
        <f>F35*(1+G$40/100)</f>
        <v>0.8569154182991473</v>
      </c>
      <c r="H35" s="52">
        <v>0.65</v>
      </c>
      <c r="I35" s="51">
        <f>H35*(1+I$40/100)</f>
        <v>0.84580594607052317</v>
      </c>
    </row>
    <row r="36" spans="2:9" s="85" customFormat="1" ht="30" customHeight="1" x14ac:dyDescent="0.2">
      <c r="B36" s="53" t="s">
        <v>70</v>
      </c>
      <c r="C36" s="56" t="s">
        <v>204</v>
      </c>
      <c r="D36" s="57">
        <v>3</v>
      </c>
      <c r="E36" s="55">
        <f>D36*(1+E$40/100)</f>
        <v>4.0062687255127907</v>
      </c>
      <c r="F36" s="57">
        <v>3</v>
      </c>
      <c r="G36" s="55">
        <f>F36*(1+G$40/100)</f>
        <v>3.9549942383037564</v>
      </c>
      <c r="H36" s="57">
        <v>3</v>
      </c>
      <c r="I36" s="55">
        <f>H36*(1+I$40/100)</f>
        <v>3.9037197510947221</v>
      </c>
    </row>
    <row r="37" spans="2:9" s="85" customFormat="1" ht="30" customHeight="1" x14ac:dyDescent="0.2">
      <c r="B37" s="53" t="s">
        <v>205</v>
      </c>
      <c r="C37" s="56" t="s">
        <v>206</v>
      </c>
      <c r="D37" s="62">
        <f>D18</f>
        <v>5</v>
      </c>
      <c r="E37" s="55">
        <f>D37*(1+E$40/100)</f>
        <v>6.6771145425213172</v>
      </c>
      <c r="F37" s="62">
        <f>D37</f>
        <v>5</v>
      </c>
      <c r="G37" s="55">
        <f>F37*(1+G$40/100)</f>
        <v>6.5916570638395946</v>
      </c>
      <c r="H37" s="62">
        <f>D37</f>
        <v>5</v>
      </c>
      <c r="I37" s="55">
        <f>H37*(1+I$40/100)</f>
        <v>6.5061995851578702</v>
      </c>
    </row>
    <row r="38" spans="2:9" s="85" customFormat="1" ht="30" customHeight="1" x14ac:dyDescent="0.2">
      <c r="B38" s="69" t="s">
        <v>209</v>
      </c>
      <c r="C38" s="56" t="s">
        <v>212</v>
      </c>
      <c r="D38" s="57">
        <v>2.7</v>
      </c>
      <c r="E38" s="55">
        <f>D38*(1+E$40/100)</f>
        <v>3.6056418529615115</v>
      </c>
      <c r="F38" s="57">
        <v>2.7</v>
      </c>
      <c r="G38" s="55">
        <f>F38*(1+G$40/100)</f>
        <v>3.5594948144733811</v>
      </c>
      <c r="H38" s="57">
        <v>2.7</v>
      </c>
      <c r="I38" s="55">
        <f>H38*(1+I$40/100)</f>
        <v>3.5133477759852503</v>
      </c>
    </row>
    <row r="39" spans="2:9" s="85" customFormat="1" ht="30" customHeight="1" x14ac:dyDescent="0.2">
      <c r="B39" s="58"/>
      <c r="C39" s="59" t="s">
        <v>207</v>
      </c>
      <c r="D39" s="60">
        <f t="shared" ref="D39:E39" si="11">SUM(D35:D38)</f>
        <v>11.350000000000001</v>
      </c>
      <c r="E39" s="60">
        <f t="shared" si="11"/>
        <v>15.157050011523392</v>
      </c>
      <c r="F39" s="60">
        <f t="shared" ref="F39:I39" si="12">SUM(F35:F38)</f>
        <v>11.350000000000001</v>
      </c>
      <c r="G39" s="60">
        <f t="shared" si="12"/>
        <v>14.96306153491588</v>
      </c>
      <c r="H39" s="60">
        <f t="shared" si="12"/>
        <v>11.350000000000001</v>
      </c>
      <c r="I39" s="60">
        <f t="shared" si="12"/>
        <v>14.769073058308367</v>
      </c>
    </row>
    <row r="40" spans="2:9" s="90" customFormat="1" ht="30" customHeight="1" x14ac:dyDescent="0.2">
      <c r="B40" s="105" t="s">
        <v>208</v>
      </c>
      <c r="C40" s="106"/>
      <c r="D40" s="66">
        <f>D30+D33+D39</f>
        <v>25.117354687284266</v>
      </c>
      <c r="E40" s="66">
        <f>((1+(E26/100+E32/100-($C27/100*E32/100)))/(1-($C27/100+D29/100+D28/100+D35/100+D36/100+D37/100+D38/100))-1)*100</f>
        <v>33.542290850426348</v>
      </c>
      <c r="F40" s="66">
        <f>F30+F33+F39</f>
        <v>24.146539306043103</v>
      </c>
      <c r="G40" s="66">
        <f>((1+(G26/100+G32/100-($C27/100*G32/100)))/(1-($C27/100+F29/100+F28/100+F35/100+F36/100+F37/100+F38/100))-1)*100</f>
        <v>31.833141276791888</v>
      </c>
      <c r="H40" s="66">
        <f>H30+H33+H39</f>
        <v>23.150221038313308</v>
      </c>
      <c r="I40" s="66">
        <f>((1+(I26/100+I32/100-($C27/100*I32/100)))/(1-($C27/100+H29/100+H28/100+H35/100+H36/100+H37/100+H38/100))-1)*100</f>
        <v>30.123991703157404</v>
      </c>
    </row>
    <row r="41" spans="2:9" s="91" customFormat="1" ht="15.95" customHeight="1" x14ac:dyDescent="0.2">
      <c r="B41" s="76"/>
      <c r="C41" s="78"/>
      <c r="D41" s="77"/>
      <c r="E41" s="77"/>
      <c r="F41" s="76"/>
      <c r="G41" s="76"/>
      <c r="H41" s="76"/>
      <c r="I41" s="76"/>
    </row>
    <row r="42" spans="2:9" ht="15.95" customHeight="1" x14ac:dyDescent="0.2">
      <c r="B42" s="79" t="s">
        <v>210</v>
      </c>
      <c r="D42" s="81"/>
      <c r="E42" s="81"/>
    </row>
    <row r="43" spans="2:9" ht="15.95" customHeight="1" x14ac:dyDescent="0.2">
      <c r="B43" s="79" t="s">
        <v>211</v>
      </c>
    </row>
    <row r="44" spans="2:9" ht="15.95" customHeight="1" x14ac:dyDescent="0.2">
      <c r="B44" s="79" t="s">
        <v>221</v>
      </c>
      <c r="D44" s="74">
        <v>0.14249999999999999</v>
      </c>
    </row>
    <row r="45" spans="2:9" ht="32.1" customHeight="1" x14ac:dyDescent="0.2">
      <c r="B45" s="107" t="s">
        <v>222</v>
      </c>
      <c r="C45" s="107"/>
      <c r="D45" s="73">
        <f>ROUND(((1+D44)^(1/12)-1),4)</f>
        <v>1.12E-2</v>
      </c>
    </row>
    <row r="46" spans="2:9" ht="230.1" customHeight="1" x14ac:dyDescent="0.2">
      <c r="B46" s="108" t="s">
        <v>224</v>
      </c>
      <c r="C46" s="108"/>
      <c r="D46" s="75"/>
      <c r="E46" s="75"/>
    </row>
    <row r="47" spans="2:9" x14ac:dyDescent="0.2">
      <c r="C47" s="79"/>
      <c r="D47" s="79"/>
      <c r="E47" s="79"/>
    </row>
    <row r="48" spans="2:9" x14ac:dyDescent="0.2">
      <c r="C48" s="79"/>
      <c r="D48" s="79"/>
      <c r="E48" s="79"/>
    </row>
    <row r="49" spans="3:5" x14ac:dyDescent="0.2">
      <c r="C49" s="79"/>
      <c r="D49" s="79"/>
      <c r="E49" s="79"/>
    </row>
    <row r="50" spans="3:5" x14ac:dyDescent="0.2">
      <c r="C50" s="79"/>
      <c r="D50" s="79"/>
      <c r="E50" s="79"/>
    </row>
    <row r="51" spans="3:5" x14ac:dyDescent="0.2">
      <c r="C51" s="79"/>
      <c r="D51" s="79"/>
      <c r="E51" s="79"/>
    </row>
    <row r="52" spans="3:5" x14ac:dyDescent="0.2">
      <c r="C52" s="79"/>
      <c r="D52" s="79"/>
      <c r="E52" s="79"/>
    </row>
    <row r="53" spans="3:5" x14ac:dyDescent="0.2">
      <c r="C53" s="79"/>
      <c r="D53" s="79"/>
      <c r="E53" s="79"/>
    </row>
    <row r="54" spans="3:5" x14ac:dyDescent="0.2">
      <c r="C54" s="79"/>
      <c r="D54" s="79"/>
      <c r="E54" s="79"/>
    </row>
    <row r="55" spans="3:5" x14ac:dyDescent="0.2">
      <c r="C55" s="79"/>
      <c r="D55" s="79"/>
      <c r="E55" s="79"/>
    </row>
    <row r="56" spans="3:5" x14ac:dyDescent="0.2">
      <c r="C56" s="79"/>
      <c r="D56" s="79"/>
      <c r="E56" s="79"/>
    </row>
    <row r="57" spans="3:5" x14ac:dyDescent="0.2">
      <c r="E57" s="81"/>
    </row>
  </sheetData>
  <mergeCells count="12">
    <mergeCell ref="B45:C45"/>
    <mergeCell ref="B46:C46"/>
    <mergeCell ref="B23:C24"/>
    <mergeCell ref="B25:C25"/>
    <mergeCell ref="B31:C31"/>
    <mergeCell ref="B34:C34"/>
    <mergeCell ref="B40:C40"/>
    <mergeCell ref="B15:C15"/>
    <mergeCell ref="B4:C5"/>
    <mergeCell ref="B6:C6"/>
    <mergeCell ref="B12:C12"/>
    <mergeCell ref="B20:C20"/>
  </mergeCells>
  <pageMargins left="0.511811024" right="0.511811024" top="0.78740157499999996" bottom="0.78740157499999996" header="0.31496062000000002" footer="0.31496062000000002"/>
  <pageSetup paperSize="9" scale="51" orientation="portrait" horizontalDpi="1200" verticalDpi="1200" r:id="rId1"/>
  <ignoredErrors>
    <ignoredError sqref="E7:H10 F16:H18 E26:H32 E40:G40 G20:H20 F37:H3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7"/>
  <sheetViews>
    <sheetView showGridLines="0" zoomScale="70" zoomScaleNormal="70" zoomScaleSheetLayoutView="85" workbookViewId="0">
      <selection activeCell="P18" sqref="P18"/>
    </sheetView>
  </sheetViews>
  <sheetFormatPr defaultColWidth="9.140625" defaultRowHeight="12.75" x14ac:dyDescent="0.2"/>
  <cols>
    <col min="1" max="1" width="1.7109375" style="90" customWidth="1"/>
    <col min="2" max="2" width="30.7109375" style="71" customWidth="1"/>
    <col min="3" max="3" width="22.7109375" style="72" customWidth="1"/>
    <col min="4" max="5" width="15.7109375" style="72" customWidth="1"/>
    <col min="6" max="9" width="15.7109375" style="71" customWidth="1"/>
    <col min="10" max="11" width="15.7109375" style="90" customWidth="1"/>
    <col min="12" max="16384" width="9.140625" style="90"/>
  </cols>
  <sheetData>
    <row r="1" spans="2:12" ht="9.9499999999999993" customHeight="1" x14ac:dyDescent="0.2"/>
    <row r="2" spans="2:12" ht="18.75" x14ac:dyDescent="0.2">
      <c r="B2" s="41" t="str">
        <f>'Construção e Restauração Rod'!B2</f>
        <v>Ofício-Circular nº 6044/2026 (SEI DNIT nº 25172698)</v>
      </c>
      <c r="C2" s="93"/>
      <c r="D2" s="93"/>
      <c r="E2" s="93"/>
      <c r="F2" s="93"/>
      <c r="G2" s="93"/>
      <c r="H2" s="93"/>
      <c r="I2" s="93"/>
      <c r="J2" s="94"/>
      <c r="K2" s="94"/>
    </row>
    <row r="3" spans="2:12" s="85" customFormat="1" ht="15.95" customHeight="1" x14ac:dyDescent="0.2">
      <c r="B3" s="42" t="s">
        <v>214</v>
      </c>
      <c r="C3" s="43"/>
      <c r="D3" s="43"/>
      <c r="E3" s="43"/>
      <c r="F3" s="84"/>
      <c r="G3" s="84"/>
      <c r="H3" s="84"/>
      <c r="I3" s="84"/>
    </row>
    <row r="4" spans="2:12" s="92" customFormat="1" ht="30" customHeight="1" x14ac:dyDescent="0.2">
      <c r="B4" s="101" t="s">
        <v>187</v>
      </c>
      <c r="C4" s="102"/>
      <c r="D4" s="111" t="s">
        <v>225</v>
      </c>
      <c r="E4" s="112"/>
      <c r="F4" s="44" t="s">
        <v>188</v>
      </c>
      <c r="G4" s="45"/>
      <c r="H4" s="45"/>
      <c r="I4" s="45"/>
      <c r="J4" s="45"/>
      <c r="K4" s="46"/>
      <c r="L4" s="90"/>
    </row>
    <row r="5" spans="2:12" s="92" customFormat="1" ht="30" customHeight="1" x14ac:dyDescent="0.2">
      <c r="B5" s="101"/>
      <c r="C5" s="102"/>
      <c r="D5" s="113"/>
      <c r="E5" s="114"/>
      <c r="F5" s="47" t="s">
        <v>189</v>
      </c>
      <c r="G5" s="47"/>
      <c r="H5" s="47" t="s">
        <v>216</v>
      </c>
      <c r="I5" s="47"/>
      <c r="J5" s="47" t="s">
        <v>217</v>
      </c>
      <c r="K5" s="47"/>
      <c r="L5" s="90"/>
    </row>
    <row r="6" spans="2:12" s="92" customFormat="1" ht="30" customHeight="1" x14ac:dyDescent="0.2">
      <c r="B6" s="103" t="s">
        <v>190</v>
      </c>
      <c r="C6" s="104"/>
      <c r="D6" s="48" t="s">
        <v>191</v>
      </c>
      <c r="E6" s="48" t="s">
        <v>192</v>
      </c>
      <c r="F6" s="48" t="s">
        <v>191</v>
      </c>
      <c r="G6" s="48" t="s">
        <v>192</v>
      </c>
      <c r="H6" s="48" t="s">
        <v>191</v>
      </c>
      <c r="I6" s="48" t="s">
        <v>192</v>
      </c>
      <c r="J6" s="48" t="s">
        <v>191</v>
      </c>
      <c r="K6" s="48" t="s">
        <v>192</v>
      </c>
      <c r="L6" s="90"/>
    </row>
    <row r="7" spans="2:12" s="85" customFormat="1" ht="30" customHeight="1" x14ac:dyDescent="0.2">
      <c r="B7" s="49" t="s">
        <v>67</v>
      </c>
      <c r="C7" s="50" t="s">
        <v>193</v>
      </c>
      <c r="D7" s="51">
        <f>E7/(1+E$20/100)</f>
        <v>6.6629380071749118</v>
      </c>
      <c r="E7" s="52">
        <v>9</v>
      </c>
      <c r="F7" s="51">
        <f>G7/(1+G$20/100)</f>
        <v>6.1739956568946806</v>
      </c>
      <c r="G7" s="52">
        <v>8</v>
      </c>
      <c r="H7" s="51">
        <f>I7/(1+I$20/100)</f>
        <v>6.2526631204211505</v>
      </c>
      <c r="I7" s="52">
        <f>G7</f>
        <v>8</v>
      </c>
      <c r="J7" s="51">
        <f>K7/(1+K$20/100)</f>
        <v>6.3333611784033632</v>
      </c>
      <c r="K7" s="52">
        <f>G7</f>
        <v>8</v>
      </c>
      <c r="L7" s="88"/>
    </row>
    <row r="8" spans="2:12" s="85" customFormat="1" ht="30" customHeight="1" x14ac:dyDescent="0.2">
      <c r="B8" s="53" t="s">
        <v>194</v>
      </c>
      <c r="C8" s="54">
        <v>1.1200000000000001</v>
      </c>
      <c r="D8" s="55">
        <f>E8/(1+E$20/100)</f>
        <v>1.0205001257595163</v>
      </c>
      <c r="E8" s="55">
        <f>E20-(E7+E9+E10+E13+E16+E17+E18)</f>
        <v>1.3784461332141191</v>
      </c>
      <c r="F8" s="55">
        <f>G8/(1+G$20/100)</f>
        <v>1.033564060803464</v>
      </c>
      <c r="G8" s="55">
        <f>G20-(G7+G9+G10+G13+G16+G17+G18)</f>
        <v>1.3392481864145829</v>
      </c>
      <c r="H8" s="55">
        <f>I8/(1+I$20/100)</f>
        <v>1.0455933088669984</v>
      </c>
      <c r="I8" s="55">
        <f>I20-(I7+I9+I10+I13+I16+I17+I18)</f>
        <v>1.3377894042646865</v>
      </c>
      <c r="J8" s="55">
        <f>K8/(1+K$20/100)</f>
        <v>1.0579330604516586</v>
      </c>
      <c r="K8" s="55">
        <f>K20-(K7+K9+K10+K13+K16+K17+K18)</f>
        <v>1.3363306221147653</v>
      </c>
    </row>
    <row r="9" spans="2:12" s="85" customFormat="1" ht="30" customHeight="1" x14ac:dyDescent="0.2">
      <c r="B9" s="53" t="s">
        <v>195</v>
      </c>
      <c r="C9" s="56" t="s">
        <v>196</v>
      </c>
      <c r="D9" s="57">
        <v>0.25</v>
      </c>
      <c r="E9" s="55">
        <f>D9*(1+E$20/100)</f>
        <v>0.33768886902101025</v>
      </c>
      <c r="F9" s="57">
        <v>0.25</v>
      </c>
      <c r="G9" s="55">
        <f>F9*(1+G$20/100)</f>
        <v>0.32393932732468672</v>
      </c>
      <c r="H9" s="57">
        <f>F9</f>
        <v>0.25</v>
      </c>
      <c r="I9" s="55">
        <f>H9*(1+I$20/100)</f>
        <v>0.31986370630907895</v>
      </c>
      <c r="J9" s="57">
        <f>F9</f>
        <v>0.25</v>
      </c>
      <c r="K9" s="55">
        <f>J9*(1+K$20/100)</f>
        <v>0.31578808529347113</v>
      </c>
    </row>
    <row r="10" spans="2:12" s="85" customFormat="1" ht="30" customHeight="1" x14ac:dyDescent="0.2">
      <c r="B10" s="53" t="s">
        <v>197</v>
      </c>
      <c r="C10" s="56" t="s">
        <v>198</v>
      </c>
      <c r="D10" s="57">
        <v>0.5</v>
      </c>
      <c r="E10" s="55">
        <f>D10*(1+E$20/100)</f>
        <v>0.6753777380420205</v>
      </c>
      <c r="F10" s="57">
        <v>0.5</v>
      </c>
      <c r="G10" s="55">
        <f>F10*(1+G$20/100)</f>
        <v>0.64787865464937344</v>
      </c>
      <c r="H10" s="57">
        <f>F10</f>
        <v>0.5</v>
      </c>
      <c r="I10" s="55">
        <f>H10*(1+I$20/100)</f>
        <v>0.63972741261815791</v>
      </c>
      <c r="J10" s="57">
        <f>F10</f>
        <v>0.5</v>
      </c>
      <c r="K10" s="55">
        <f>J10*(1+K$20/100)</f>
        <v>0.63157617058694226</v>
      </c>
      <c r="L10" s="88"/>
    </row>
    <row r="11" spans="2:12" s="85" customFormat="1" ht="30" customHeight="1" x14ac:dyDescent="0.2">
      <c r="B11" s="58"/>
      <c r="C11" s="59" t="s">
        <v>199</v>
      </c>
      <c r="D11" s="60">
        <f>SUM(D7:D10)</f>
        <v>8.4334381329344286</v>
      </c>
      <c r="E11" s="60">
        <f t="shared" ref="E11" si="0">SUM(E7:E10)</f>
        <v>11.39151274027715</v>
      </c>
      <c r="F11" s="60">
        <f>SUM(F7:F10)</f>
        <v>7.9575597176981443</v>
      </c>
      <c r="G11" s="60">
        <f t="shared" ref="G11" si="1">SUM(G7:G10)</f>
        <v>10.311066168388644</v>
      </c>
      <c r="H11" s="60">
        <f>SUM(H7:H10)</f>
        <v>8.0482564292881484</v>
      </c>
      <c r="I11" s="60">
        <f t="shared" ref="I11" si="2">SUM(I7:I10)</f>
        <v>10.297380523191922</v>
      </c>
      <c r="J11" s="60">
        <f>SUM(J7:J10)</f>
        <v>8.1412942388550213</v>
      </c>
      <c r="K11" s="60">
        <f t="shared" ref="K11" si="3">SUM(K7:K10)</f>
        <v>10.283694877995179</v>
      </c>
      <c r="L11" s="88"/>
    </row>
    <row r="12" spans="2:12" s="85" customFormat="1" ht="30" customHeight="1" x14ac:dyDescent="0.2">
      <c r="B12" s="99" t="s">
        <v>200</v>
      </c>
      <c r="C12" s="100"/>
      <c r="D12" s="61" t="s">
        <v>191</v>
      </c>
      <c r="E12" s="61" t="s">
        <v>192</v>
      </c>
      <c r="F12" s="61" t="s">
        <v>191</v>
      </c>
      <c r="G12" s="61" t="s">
        <v>192</v>
      </c>
      <c r="H12" s="61" t="s">
        <v>191</v>
      </c>
      <c r="I12" s="61" t="s">
        <v>192</v>
      </c>
      <c r="J12" s="61" t="s">
        <v>191</v>
      </c>
      <c r="K12" s="61" t="s">
        <v>192</v>
      </c>
      <c r="L12" s="88"/>
    </row>
    <row r="13" spans="2:12" s="85" customFormat="1" ht="30" customHeight="1" x14ac:dyDescent="0.2">
      <c r="B13" s="49" t="s">
        <v>68</v>
      </c>
      <c r="C13" s="50" t="s">
        <v>193</v>
      </c>
      <c r="D13" s="51">
        <f>E13/(1+E$20/100)</f>
        <v>8.883917342899883</v>
      </c>
      <c r="E13" s="52">
        <v>12</v>
      </c>
      <c r="F13" s="51">
        <f>G13/(1+G$20/100)</f>
        <v>7.7174945711183502</v>
      </c>
      <c r="G13" s="52">
        <v>10</v>
      </c>
      <c r="H13" s="51">
        <f>I13/(1+I$20/100)</f>
        <v>6.6434545654474721</v>
      </c>
      <c r="I13" s="52">
        <v>8.5</v>
      </c>
      <c r="J13" s="51">
        <f>K13/(1+K$20/100)</f>
        <v>5.5416910311029426</v>
      </c>
      <c r="K13" s="52">
        <v>7</v>
      </c>
    </row>
    <row r="14" spans="2:12" s="85" customFormat="1" ht="30" customHeight="1" x14ac:dyDescent="0.2">
      <c r="B14" s="58"/>
      <c r="C14" s="59" t="s">
        <v>201</v>
      </c>
      <c r="D14" s="55">
        <f t="shared" ref="D14:E14" si="4">D13</f>
        <v>8.883917342899883</v>
      </c>
      <c r="E14" s="60">
        <f t="shared" si="4"/>
        <v>12</v>
      </c>
      <c r="F14" s="55">
        <f t="shared" ref="F14:K14" si="5">F13</f>
        <v>7.7174945711183502</v>
      </c>
      <c r="G14" s="60">
        <f t="shared" si="5"/>
        <v>10</v>
      </c>
      <c r="H14" s="55">
        <f t="shared" si="5"/>
        <v>6.6434545654474721</v>
      </c>
      <c r="I14" s="60">
        <f t="shared" si="5"/>
        <v>8.5</v>
      </c>
      <c r="J14" s="55">
        <f t="shared" si="5"/>
        <v>5.5416910311029426</v>
      </c>
      <c r="K14" s="60">
        <f t="shared" si="5"/>
        <v>7</v>
      </c>
    </row>
    <row r="15" spans="2:12" s="85" customFormat="1" ht="30" customHeight="1" x14ac:dyDescent="0.2">
      <c r="B15" s="99" t="s">
        <v>202</v>
      </c>
      <c r="C15" s="100"/>
      <c r="D15" s="48" t="s">
        <v>191</v>
      </c>
      <c r="E15" s="61" t="s">
        <v>192</v>
      </c>
      <c r="F15" s="48" t="s">
        <v>191</v>
      </c>
      <c r="G15" s="61" t="s">
        <v>192</v>
      </c>
      <c r="H15" s="48" t="s">
        <v>191</v>
      </c>
      <c r="I15" s="61" t="s">
        <v>192</v>
      </c>
      <c r="J15" s="48" t="s">
        <v>191</v>
      </c>
      <c r="K15" s="61" t="s">
        <v>192</v>
      </c>
    </row>
    <row r="16" spans="2:12" s="85" customFormat="1" ht="30" customHeight="1" x14ac:dyDescent="0.2">
      <c r="B16" s="49" t="s">
        <v>69</v>
      </c>
      <c r="C16" s="50" t="s">
        <v>203</v>
      </c>
      <c r="D16" s="52">
        <v>0.65</v>
      </c>
      <c r="E16" s="51">
        <f>D16*(1+E$20/100)</f>
        <v>0.87799105945462663</v>
      </c>
      <c r="F16" s="52">
        <v>0.65</v>
      </c>
      <c r="G16" s="51">
        <f>F16*(1+G$20/100)</f>
        <v>0.84224225104418549</v>
      </c>
      <c r="H16" s="52">
        <f>F16</f>
        <v>0.65</v>
      </c>
      <c r="I16" s="51">
        <f>H16*(1+I$20/100)</f>
        <v>0.83164563640360534</v>
      </c>
      <c r="J16" s="52">
        <f>F16</f>
        <v>0.65</v>
      </c>
      <c r="K16" s="51">
        <f>J16*(1+K$20/100)</f>
        <v>0.82104902176302497</v>
      </c>
    </row>
    <row r="17" spans="2:11" s="85" customFormat="1" ht="30" customHeight="1" x14ac:dyDescent="0.2">
      <c r="B17" s="53" t="s">
        <v>70</v>
      </c>
      <c r="C17" s="56" t="s">
        <v>204</v>
      </c>
      <c r="D17" s="57">
        <v>3</v>
      </c>
      <c r="E17" s="55">
        <f>D17*(1+E$20/100)</f>
        <v>4.052266428252123</v>
      </c>
      <c r="F17" s="57">
        <v>3</v>
      </c>
      <c r="G17" s="55">
        <f>F17*(1+G$20/100)</f>
        <v>3.8872719278962409</v>
      </c>
      <c r="H17" s="57">
        <f>F17</f>
        <v>3</v>
      </c>
      <c r="I17" s="55">
        <f>H17*(1+I$20/100)</f>
        <v>3.8383644757089472</v>
      </c>
      <c r="J17" s="57">
        <f>F17</f>
        <v>3</v>
      </c>
      <c r="K17" s="55">
        <f>J17*(1+K$20/100)</f>
        <v>3.7894570235216536</v>
      </c>
    </row>
    <row r="18" spans="2:11" s="85" customFormat="1" ht="30" customHeight="1" x14ac:dyDescent="0.2">
      <c r="B18" s="53" t="s">
        <v>205</v>
      </c>
      <c r="C18" s="56" t="s">
        <v>206</v>
      </c>
      <c r="D18" s="62">
        <v>5</v>
      </c>
      <c r="E18" s="55">
        <f>D18*(1+E$20/100)</f>
        <v>6.753777380420205</v>
      </c>
      <c r="F18" s="62">
        <f>'ANALISE ISS'!J95</f>
        <v>3.5000000000000004</v>
      </c>
      <c r="G18" s="55">
        <f>F18*(1+G$20/100)</f>
        <v>4.5351505825456151</v>
      </c>
      <c r="H18" s="62">
        <f>F18</f>
        <v>3.5000000000000004</v>
      </c>
      <c r="I18" s="55">
        <f>H18*(1+I$20/100)</f>
        <v>4.4780918883271061</v>
      </c>
      <c r="J18" s="62">
        <f>F18</f>
        <v>3.5000000000000004</v>
      </c>
      <c r="K18" s="55">
        <f>J18*(1+K$20/100)</f>
        <v>4.4210331941085963</v>
      </c>
    </row>
    <row r="19" spans="2:11" ht="30" customHeight="1" x14ac:dyDescent="0.2">
      <c r="B19" s="63"/>
      <c r="C19" s="64" t="s">
        <v>207</v>
      </c>
      <c r="D19" s="65">
        <f t="shared" ref="D19:E19" si="6">SUM(D16:D18)</f>
        <v>8.65</v>
      </c>
      <c r="E19" s="65">
        <f t="shared" si="6"/>
        <v>11.684034868126954</v>
      </c>
      <c r="F19" s="65">
        <f t="shared" ref="F19:K19" si="7">SUM(F16:F18)</f>
        <v>7.15</v>
      </c>
      <c r="G19" s="65">
        <f t="shared" si="7"/>
        <v>9.264664761486042</v>
      </c>
      <c r="H19" s="65">
        <f t="shared" si="7"/>
        <v>7.15</v>
      </c>
      <c r="I19" s="65">
        <f t="shared" si="7"/>
        <v>9.1481020004396587</v>
      </c>
      <c r="J19" s="65">
        <f t="shared" si="7"/>
        <v>7.15</v>
      </c>
      <c r="K19" s="65">
        <f t="shared" si="7"/>
        <v>9.0315392393932754</v>
      </c>
    </row>
    <row r="20" spans="2:11" ht="30" customHeight="1" x14ac:dyDescent="0.2">
      <c r="B20" s="105" t="s">
        <v>208</v>
      </c>
      <c r="C20" s="106"/>
      <c r="D20" s="66">
        <f>D11+D14+D19</f>
        <v>25.96735547583431</v>
      </c>
      <c r="E20" s="66">
        <f>((1+(E7/100+E13/100-($C8/100*E13/100)))/(1-($C8/100+D10/100+D9/100+D16/100+D17/100+D18/100))-1)*100</f>
        <v>35.075547608404101</v>
      </c>
      <c r="F20" s="66">
        <f>F11+F14+F19</f>
        <v>22.825054288816496</v>
      </c>
      <c r="G20" s="66">
        <f>((1+(G7/100+G13/100-($C8/100*G13/100)))/(1-($C8/100+F10/100+F9/100+F16/100+F17/100+F18/100))-1)*100</f>
        <v>29.575730929874688</v>
      </c>
      <c r="H20" s="66">
        <f>H11+H14+H19</f>
        <v>21.841710994735621</v>
      </c>
      <c r="I20" s="66">
        <f>((1+(I7/100+I13/100-($C8/100*I13/100)))/(1-($C8/100+H10/100+H9/100+H16/100+H17/100+H18/100))-1)*100</f>
        <v>27.945482523631583</v>
      </c>
      <c r="J20" s="66">
        <f>J11+J14+J19</f>
        <v>20.832985269957966</v>
      </c>
      <c r="K20" s="66">
        <f>((1+(K7/100+K13/100-($C8/100*K13/100)))/(1-($C8/100+J10/100+J9/100+J16/100+J17/100+J18/100))-1)*100</f>
        <v>26.315234117388453</v>
      </c>
    </row>
    <row r="21" spans="2:11" s="95" customFormat="1" x14ac:dyDescent="0.2">
      <c r="B21" s="67"/>
      <c r="C21" s="67"/>
      <c r="D21" s="68"/>
      <c r="E21" s="68"/>
      <c r="F21" s="68"/>
      <c r="G21" s="68"/>
      <c r="H21" s="68"/>
      <c r="I21" s="68"/>
      <c r="J21" s="68"/>
      <c r="K21" s="68"/>
    </row>
    <row r="22" spans="2:11" x14ac:dyDescent="0.2">
      <c r="B22" s="42" t="s">
        <v>215</v>
      </c>
      <c r="C22" s="43"/>
      <c r="D22" s="43"/>
      <c r="E22" s="43"/>
      <c r="F22" s="43"/>
      <c r="G22" s="43"/>
      <c r="H22" s="43"/>
      <c r="I22" s="43"/>
      <c r="J22" s="43"/>
      <c r="K22" s="43"/>
    </row>
    <row r="23" spans="2:11" s="92" customFormat="1" ht="30" customHeight="1" x14ac:dyDescent="0.2">
      <c r="B23" s="101" t="s">
        <v>187</v>
      </c>
      <c r="C23" s="102"/>
      <c r="D23" s="111" t="str">
        <f>D4</f>
        <v>Conservação Rodoviária</v>
      </c>
      <c r="E23" s="112"/>
      <c r="F23" s="44" t="str">
        <f>F4</f>
        <v>Construção de Obras de Arte Especiais</v>
      </c>
      <c r="G23" s="45"/>
      <c r="H23" s="45"/>
      <c r="I23" s="45"/>
      <c r="J23" s="45"/>
      <c r="K23" s="46"/>
    </row>
    <row r="24" spans="2:11" s="92" customFormat="1" ht="30" customHeight="1" x14ac:dyDescent="0.2">
      <c r="B24" s="101"/>
      <c r="C24" s="102"/>
      <c r="D24" s="113"/>
      <c r="E24" s="114"/>
      <c r="F24" s="47" t="str">
        <f>F5</f>
        <v>Pequeno Porte</v>
      </c>
      <c r="G24" s="47"/>
      <c r="H24" s="47" t="str">
        <f>H5</f>
        <v>Médio Porte</v>
      </c>
      <c r="I24" s="47"/>
      <c r="J24" s="47" t="str">
        <f>J5</f>
        <v>Grande Porte</v>
      </c>
      <c r="K24" s="47"/>
    </row>
    <row r="25" spans="2:11" s="92" customFormat="1" ht="30" customHeight="1" x14ac:dyDescent="0.2">
      <c r="B25" s="103" t="s">
        <v>190</v>
      </c>
      <c r="C25" s="104"/>
      <c r="D25" s="48" t="str">
        <f>D6</f>
        <v>% sobre PV</v>
      </c>
      <c r="E25" s="48" t="str">
        <f t="shared" ref="E25:K25" si="8">E6</f>
        <v>% sobre CD</v>
      </c>
      <c r="F25" s="48" t="str">
        <f t="shared" si="8"/>
        <v>% sobre PV</v>
      </c>
      <c r="G25" s="48" t="str">
        <f t="shared" si="8"/>
        <v>% sobre CD</v>
      </c>
      <c r="H25" s="48" t="str">
        <f t="shared" si="8"/>
        <v>% sobre PV</v>
      </c>
      <c r="I25" s="48" t="str">
        <f t="shared" si="8"/>
        <v>% sobre CD</v>
      </c>
      <c r="J25" s="48" t="str">
        <f t="shared" si="8"/>
        <v>% sobre PV</v>
      </c>
      <c r="K25" s="48" t="str">
        <f t="shared" si="8"/>
        <v>% sobre CD</v>
      </c>
    </row>
    <row r="26" spans="2:11" s="85" customFormat="1" ht="30" customHeight="1" x14ac:dyDescent="0.2">
      <c r="B26" s="49" t="str">
        <f>B7</f>
        <v>Administração Central</v>
      </c>
      <c r="C26" s="50" t="s">
        <v>193</v>
      </c>
      <c r="D26" s="51">
        <f>E26/(1+E$40/100)</f>
        <v>6.4618882461180025</v>
      </c>
      <c r="E26" s="52">
        <f>E7</f>
        <v>9</v>
      </c>
      <c r="F26" s="51">
        <f>G26/(1+G$40/100)</f>
        <v>5.8889793702497286</v>
      </c>
      <c r="G26" s="52">
        <f>G7</f>
        <v>8</v>
      </c>
      <c r="H26" s="51">
        <f>I26/(1+I$40/100)</f>
        <v>5.9640152296125253</v>
      </c>
      <c r="I26" s="52">
        <f>I7</f>
        <v>8</v>
      </c>
      <c r="J26" s="51">
        <f>K26/(1+K$40/100)</f>
        <v>6.0409879430846765</v>
      </c>
      <c r="K26" s="52">
        <f>K7</f>
        <v>8</v>
      </c>
    </row>
    <row r="27" spans="2:11" s="85" customFormat="1" ht="30" customHeight="1" x14ac:dyDescent="0.2">
      <c r="B27" s="53" t="str">
        <f t="shared" ref="B27:B29" si="9">B8</f>
        <v>Despesas Financeiras</v>
      </c>
      <c r="C27" s="54">
        <f>C8</f>
        <v>1.1200000000000001</v>
      </c>
      <c r="D27" s="55">
        <f>E27/(1+E$40/100)</f>
        <v>1.0235024688579633</v>
      </c>
      <c r="E27" s="55">
        <f>E40-(E26+E28+E29+E32+E35+E36+E37+E38)</f>
        <v>1.4255155565798461</v>
      </c>
      <c r="F27" s="55">
        <f>G27/(1+G$40/100)</f>
        <v>1.037554288816501</v>
      </c>
      <c r="G27" s="55">
        <f>G40-(G26+G28+G29+G32+G35+G36+G37+G38)</f>
        <v>1.4094860566950871</v>
      </c>
      <c r="H27" s="55">
        <f>I27/(1+I$40/100)</f>
        <v>1.0490282187676065</v>
      </c>
      <c r="I27" s="55">
        <f>I40-(I26+I28+I29+I32+I35+I36+I37+I38)</f>
        <v>1.407143581470379</v>
      </c>
      <c r="J27" s="55">
        <f>K27/(1+K$40/100)</f>
        <v>1.0607983181577749</v>
      </c>
      <c r="K27" s="55">
        <f>K40-(K26+K28+K29+K32+K35+K36+K37+K38)</f>
        <v>1.4048011062456851</v>
      </c>
    </row>
    <row r="28" spans="2:11" s="85" customFormat="1" ht="30" customHeight="1" x14ac:dyDescent="0.2">
      <c r="B28" s="53" t="str">
        <f t="shared" si="9"/>
        <v>Seguros e Garantias Contratuais</v>
      </c>
      <c r="C28" s="56" t="s">
        <v>196</v>
      </c>
      <c r="D28" s="57">
        <v>0.25</v>
      </c>
      <c r="E28" s="55">
        <f>D28*(1+E$40/100)</f>
        <v>0.34819543673657521</v>
      </c>
      <c r="F28" s="57">
        <v>0.25</v>
      </c>
      <c r="G28" s="55">
        <f>F28*(1+G$40/100)</f>
        <v>0.33961742336943995</v>
      </c>
      <c r="H28" s="57">
        <v>0.25</v>
      </c>
      <c r="I28" s="55">
        <f>H28*(1+I$40/100)</f>
        <v>0.33534454943535374</v>
      </c>
      <c r="J28" s="57">
        <v>0.25</v>
      </c>
      <c r="K28" s="55">
        <f>J28*(1+K$40/100)</f>
        <v>0.33107167550126759</v>
      </c>
    </row>
    <row r="29" spans="2:11" s="85" customFormat="1" ht="30" customHeight="1" x14ac:dyDescent="0.2">
      <c r="B29" s="53" t="str">
        <f t="shared" si="9"/>
        <v>Riscos</v>
      </c>
      <c r="C29" s="56" t="s">
        <v>198</v>
      </c>
      <c r="D29" s="57">
        <v>0.5</v>
      </c>
      <c r="E29" s="55">
        <f>D29*(1+E$40/100)</f>
        <v>0.69639087347315043</v>
      </c>
      <c r="F29" s="57">
        <v>0.5</v>
      </c>
      <c r="G29" s="55">
        <f>F29*(1+G$40/100)</f>
        <v>0.6792348467388799</v>
      </c>
      <c r="H29" s="57">
        <v>0.5</v>
      </c>
      <c r="I29" s="55">
        <f>H29*(1+I$40/100)</f>
        <v>0.67068909887070749</v>
      </c>
      <c r="J29" s="57">
        <v>0.5</v>
      </c>
      <c r="K29" s="55">
        <f>J29*(1+K$40/100)</f>
        <v>0.66214335100253519</v>
      </c>
    </row>
    <row r="30" spans="2:11" s="85" customFormat="1" ht="30" customHeight="1" x14ac:dyDescent="0.2">
      <c r="B30" s="58"/>
      <c r="C30" s="59" t="s">
        <v>199</v>
      </c>
      <c r="D30" s="60">
        <f t="shared" ref="D30:E30" si="10">SUM(D26:D29)</f>
        <v>8.2353907149759653</v>
      </c>
      <c r="E30" s="60">
        <f t="shared" si="10"/>
        <v>11.470101866789571</v>
      </c>
      <c r="F30" s="60">
        <f t="shared" ref="F30:K30" si="11">SUM(F26:F29)</f>
        <v>7.6765336590662301</v>
      </c>
      <c r="G30" s="60">
        <f t="shared" si="11"/>
        <v>10.428338326803406</v>
      </c>
      <c r="H30" s="60">
        <f t="shared" si="11"/>
        <v>7.7630434483801318</v>
      </c>
      <c r="I30" s="60">
        <f t="shared" si="11"/>
        <v>10.413177229776441</v>
      </c>
      <c r="J30" s="60">
        <f t="shared" si="11"/>
        <v>7.8517862612424514</v>
      </c>
      <c r="K30" s="60">
        <f t="shared" si="11"/>
        <v>10.398016132749488</v>
      </c>
    </row>
    <row r="31" spans="2:11" s="85" customFormat="1" ht="30" customHeight="1" x14ac:dyDescent="0.2">
      <c r="B31" s="99" t="s">
        <v>200</v>
      </c>
      <c r="C31" s="100"/>
      <c r="D31" s="61" t="s">
        <v>191</v>
      </c>
      <c r="E31" s="61" t="s">
        <v>192</v>
      </c>
      <c r="F31" s="61" t="s">
        <v>191</v>
      </c>
      <c r="G31" s="61" t="s">
        <v>192</v>
      </c>
      <c r="H31" s="61" t="s">
        <v>191</v>
      </c>
      <c r="I31" s="61" t="s">
        <v>192</v>
      </c>
      <c r="J31" s="61" t="s">
        <v>191</v>
      </c>
      <c r="K31" s="61" t="s">
        <v>192</v>
      </c>
    </row>
    <row r="32" spans="2:11" s="85" customFormat="1" ht="30" customHeight="1" x14ac:dyDescent="0.2">
      <c r="B32" s="49" t="str">
        <f>B13</f>
        <v>Lucro</v>
      </c>
      <c r="C32" s="50" t="s">
        <v>193</v>
      </c>
      <c r="D32" s="51">
        <f>E32/(1+E$40/100)</f>
        <v>8.6158509948240045</v>
      </c>
      <c r="E32" s="52">
        <f>E13</f>
        <v>12</v>
      </c>
      <c r="F32" s="51">
        <f>G32/(1+G$40/100)</f>
        <v>7.3612242128121608</v>
      </c>
      <c r="G32" s="52">
        <f>G13</f>
        <v>10</v>
      </c>
      <c r="H32" s="51">
        <f>I32/(1+I$40/100)</f>
        <v>6.3367661814633074</v>
      </c>
      <c r="I32" s="52">
        <f>I13</f>
        <v>8.5</v>
      </c>
      <c r="J32" s="51">
        <f>K32/(1+K$40/100)</f>
        <v>5.2858644501990923</v>
      </c>
      <c r="K32" s="52">
        <f>K13</f>
        <v>7</v>
      </c>
    </row>
    <row r="33" spans="2:11" s="85" customFormat="1" ht="30" customHeight="1" x14ac:dyDescent="0.2">
      <c r="B33" s="58"/>
      <c r="C33" s="59" t="s">
        <v>201</v>
      </c>
      <c r="D33" s="55">
        <f t="shared" ref="D33:E33" si="12">D32</f>
        <v>8.6158509948240045</v>
      </c>
      <c r="E33" s="60">
        <f t="shared" si="12"/>
        <v>12</v>
      </c>
      <c r="F33" s="55">
        <f t="shared" ref="F33:K33" si="13">F32</f>
        <v>7.3612242128121608</v>
      </c>
      <c r="G33" s="60">
        <f t="shared" si="13"/>
        <v>10</v>
      </c>
      <c r="H33" s="55">
        <f t="shared" si="13"/>
        <v>6.3367661814633074</v>
      </c>
      <c r="I33" s="60">
        <f t="shared" si="13"/>
        <v>8.5</v>
      </c>
      <c r="J33" s="55">
        <f t="shared" si="13"/>
        <v>5.2858644501990923</v>
      </c>
      <c r="K33" s="60">
        <f t="shared" si="13"/>
        <v>7</v>
      </c>
    </row>
    <row r="34" spans="2:11" s="85" customFormat="1" ht="30" customHeight="1" x14ac:dyDescent="0.2">
      <c r="B34" s="109" t="s">
        <v>202</v>
      </c>
      <c r="C34" s="110"/>
      <c r="D34" s="48" t="s">
        <v>191</v>
      </c>
      <c r="E34" s="61" t="s">
        <v>192</v>
      </c>
      <c r="F34" s="48" t="s">
        <v>191</v>
      </c>
      <c r="G34" s="61" t="s">
        <v>192</v>
      </c>
      <c r="H34" s="48" t="s">
        <v>191</v>
      </c>
      <c r="I34" s="61" t="s">
        <v>192</v>
      </c>
      <c r="J34" s="48" t="s">
        <v>191</v>
      </c>
      <c r="K34" s="61" t="s">
        <v>192</v>
      </c>
    </row>
    <row r="35" spans="2:11" s="85" customFormat="1" ht="30" customHeight="1" x14ac:dyDescent="0.2">
      <c r="B35" s="49" t="str">
        <f>B16</f>
        <v>PIS</v>
      </c>
      <c r="C35" s="50" t="s">
        <v>203</v>
      </c>
      <c r="D35" s="52">
        <v>0.65</v>
      </c>
      <c r="E35" s="51">
        <f>D35*(1+E$40/100)</f>
        <v>0.90530813551509559</v>
      </c>
      <c r="F35" s="52">
        <v>0.65</v>
      </c>
      <c r="G35" s="51">
        <f>F35*(1+G$40/100)</f>
        <v>0.88300530076054395</v>
      </c>
      <c r="H35" s="52">
        <v>0.65</v>
      </c>
      <c r="I35" s="51">
        <f>H35*(1+I$40/100)</f>
        <v>0.87189582853191971</v>
      </c>
      <c r="J35" s="52">
        <v>0.65</v>
      </c>
      <c r="K35" s="51">
        <f>J35*(1+K$40/100)</f>
        <v>0.86078635630329581</v>
      </c>
    </row>
    <row r="36" spans="2:11" s="85" customFormat="1" ht="30" customHeight="1" x14ac:dyDescent="0.2">
      <c r="B36" s="53" t="str">
        <f>B17</f>
        <v>COFINS</v>
      </c>
      <c r="C36" s="56" t="s">
        <v>204</v>
      </c>
      <c r="D36" s="57">
        <v>3</v>
      </c>
      <c r="E36" s="55">
        <f>D36*(1+E$40/100)</f>
        <v>4.1783452408389028</v>
      </c>
      <c r="F36" s="57">
        <v>3</v>
      </c>
      <c r="G36" s="55">
        <f>F36*(1+G$40/100)</f>
        <v>4.0754090804332792</v>
      </c>
      <c r="H36" s="57">
        <v>3</v>
      </c>
      <c r="I36" s="55">
        <f>H36*(1+I$40/100)</f>
        <v>4.0241345932242449</v>
      </c>
      <c r="J36" s="57">
        <v>3</v>
      </c>
      <c r="K36" s="55">
        <f>J36*(1+K$40/100)</f>
        <v>3.9728601060152111</v>
      </c>
    </row>
    <row r="37" spans="2:11" s="85" customFormat="1" ht="30" customHeight="1" x14ac:dyDescent="0.2">
      <c r="B37" s="53" t="str">
        <f>B18</f>
        <v>ISSQN*</v>
      </c>
      <c r="C37" s="56" t="s">
        <v>206</v>
      </c>
      <c r="D37" s="62">
        <v>5</v>
      </c>
      <c r="E37" s="55">
        <f>D37*(1+E$40/100)</f>
        <v>6.9639087347315041</v>
      </c>
      <c r="F37" s="62">
        <v>5</v>
      </c>
      <c r="G37" s="55">
        <f>F37*(1+G$40/100)</f>
        <v>6.7923484673887993</v>
      </c>
      <c r="H37" s="62">
        <v>5</v>
      </c>
      <c r="I37" s="55">
        <f>H37*(1+I$40/100)</f>
        <v>6.7068909887070749</v>
      </c>
      <c r="J37" s="62">
        <v>5</v>
      </c>
      <c r="K37" s="55">
        <f>J37*(1+K$40/100)</f>
        <v>6.6214335100253514</v>
      </c>
    </row>
    <row r="38" spans="2:11" s="85" customFormat="1" ht="30" customHeight="1" x14ac:dyDescent="0.2">
      <c r="B38" s="69" t="s">
        <v>209</v>
      </c>
      <c r="C38" s="56" t="s">
        <v>212</v>
      </c>
      <c r="D38" s="57">
        <v>2.7</v>
      </c>
      <c r="E38" s="55">
        <f>D38*(1+E$40/100)</f>
        <v>3.7605107167550127</v>
      </c>
      <c r="F38" s="57">
        <v>2.7</v>
      </c>
      <c r="G38" s="55">
        <f>F38*(1+G$40/100)</f>
        <v>3.6678681723899516</v>
      </c>
      <c r="H38" s="57">
        <v>2.7</v>
      </c>
      <c r="I38" s="55">
        <f>H38*(1+I$40/100)</f>
        <v>3.6217211339018207</v>
      </c>
      <c r="J38" s="57">
        <v>2.7</v>
      </c>
      <c r="K38" s="55">
        <f>J38*(1+K$40/100)</f>
        <v>3.5755740954136903</v>
      </c>
    </row>
    <row r="39" spans="2:11" ht="30" customHeight="1" x14ac:dyDescent="0.2">
      <c r="B39" s="63"/>
      <c r="C39" s="64" t="s">
        <v>207</v>
      </c>
      <c r="D39" s="65">
        <f t="shared" ref="D39:E39" si="14">SUM(D35:D38)</f>
        <v>11.350000000000001</v>
      </c>
      <c r="E39" s="65">
        <f t="shared" si="14"/>
        <v>15.808072827840515</v>
      </c>
      <c r="F39" s="65">
        <f t="shared" ref="F39:K39" si="15">SUM(F35:F38)</f>
        <v>11.350000000000001</v>
      </c>
      <c r="G39" s="65">
        <f t="shared" si="15"/>
        <v>15.418631020972574</v>
      </c>
      <c r="H39" s="65">
        <f t="shared" si="15"/>
        <v>11.350000000000001</v>
      </c>
      <c r="I39" s="65">
        <f t="shared" si="15"/>
        <v>15.224642544365059</v>
      </c>
      <c r="J39" s="65">
        <f t="shared" si="15"/>
        <v>11.350000000000001</v>
      </c>
      <c r="K39" s="65">
        <f t="shared" si="15"/>
        <v>15.030654067757549</v>
      </c>
    </row>
    <row r="40" spans="2:11" ht="30" customHeight="1" x14ac:dyDescent="0.2">
      <c r="B40" s="105" t="s">
        <v>208</v>
      </c>
      <c r="C40" s="106"/>
      <c r="D40" s="66">
        <f>D30+D33+D39</f>
        <v>28.201241709799973</v>
      </c>
      <c r="E40" s="66">
        <f>((1+(E26/100+E32/100-($C27/100*E32/100)))/(1-($C27/100+D29/100+D28/100+D35/100+D36/100+D37/100+D38/100))-1)*100</f>
        <v>39.278174694630088</v>
      </c>
      <c r="F40" s="66">
        <f>F30+F33+F39</f>
        <v>26.387757871878392</v>
      </c>
      <c r="G40" s="66">
        <f>((1+(G26/100+G32/100-($C27/100*G32/100)))/(1-($C27/100+F29/100+F28/100+F35/100+F36/100+F37/100+F38/100))-1)*100</f>
        <v>35.846969347775982</v>
      </c>
      <c r="H40" s="66">
        <f>H30+H33+H39</f>
        <v>25.44980962984344</v>
      </c>
      <c r="I40" s="66">
        <f>((1+(I26/100+I32/100-($C27/100*I32/100)))/(1-($C27/100+H29/100+H28/100+H35/100+H36/100+H37/100+H38/100))-1)*100</f>
        <v>34.137819774141498</v>
      </c>
      <c r="J40" s="66">
        <f>J30+J33+J39</f>
        <v>24.487650711441546</v>
      </c>
      <c r="K40" s="66">
        <f>((1+(K26/100+K32/100-($C27/100*K32/100)))/(1-($C27/100+J29/100+J28/100+J35/100+J36/100+J37/100+J38/100))-1)*100</f>
        <v>32.428670200507035</v>
      </c>
    </row>
    <row r="41" spans="2:11" s="95" customFormat="1" ht="15.95" customHeight="1" x14ac:dyDescent="0.2">
      <c r="B41" s="67"/>
      <c r="C41" s="70"/>
      <c r="D41" s="68"/>
      <c r="E41" s="68"/>
      <c r="F41" s="67"/>
      <c r="G41" s="67"/>
      <c r="H41" s="67"/>
      <c r="I41" s="67"/>
    </row>
    <row r="42" spans="2:11" ht="15.95" customHeight="1" x14ac:dyDescent="0.2">
      <c r="B42" s="71" t="s">
        <v>210</v>
      </c>
      <c r="D42" s="73"/>
      <c r="E42" s="73"/>
    </row>
    <row r="43" spans="2:11" ht="15.95" customHeight="1" x14ac:dyDescent="0.2">
      <c r="B43" s="71" t="s">
        <v>211</v>
      </c>
    </row>
    <row r="44" spans="2:11" ht="15.95" customHeight="1" x14ac:dyDescent="0.2">
      <c r="B44" s="71" t="str">
        <f>'Construção e Restauração Rod'!B44</f>
        <v>SELIC (junho/2026) = 14,25% a.a.</v>
      </c>
      <c r="D44" s="74">
        <f>'Construção e Restauração Rod'!D44</f>
        <v>0.14249999999999999</v>
      </c>
    </row>
    <row r="45" spans="2:11" ht="32.1" customHeight="1" x14ac:dyDescent="0.2">
      <c r="B45" s="107" t="str">
        <f>'Construção e Restauração Rod'!B45:C45</f>
        <v>DF = [(1+SELIC)^(1/12)-1] sobre (PV - Lucro), o que resulta em DF =  1,12% sobre (PV - Lucro)</v>
      </c>
      <c r="C45" s="107"/>
      <c r="D45" s="73">
        <f>ROUND(((1+D44)^(1/12)-1),4)</f>
        <v>1.12E-2</v>
      </c>
    </row>
    <row r="46" spans="2:11" ht="230.1" customHeight="1" x14ac:dyDescent="0.2">
      <c r="B46" s="108" t="s">
        <v>224</v>
      </c>
      <c r="C46" s="108"/>
      <c r="D46" s="75"/>
      <c r="E46" s="75"/>
    </row>
    <row r="47" spans="2:11" x14ac:dyDescent="0.2">
      <c r="C47" s="71"/>
      <c r="D47" s="71"/>
      <c r="E47" s="71"/>
    </row>
    <row r="48" spans="2:11" x14ac:dyDescent="0.2">
      <c r="C48" s="71"/>
      <c r="D48" s="71"/>
      <c r="E48" s="71"/>
    </row>
    <row r="49" spans="3:5" x14ac:dyDescent="0.2">
      <c r="C49" s="71"/>
      <c r="D49" s="71"/>
      <c r="E49" s="71"/>
    </row>
    <row r="50" spans="3:5" x14ac:dyDescent="0.2">
      <c r="C50" s="71"/>
      <c r="D50" s="71"/>
      <c r="E50" s="71"/>
    </row>
    <row r="51" spans="3:5" x14ac:dyDescent="0.2">
      <c r="C51" s="71"/>
      <c r="D51" s="71"/>
      <c r="E51" s="71"/>
    </row>
    <row r="52" spans="3:5" x14ac:dyDescent="0.2">
      <c r="C52" s="71"/>
      <c r="D52" s="71"/>
      <c r="E52" s="71"/>
    </row>
    <row r="53" spans="3:5" x14ac:dyDescent="0.2">
      <c r="C53" s="71"/>
      <c r="D53" s="71"/>
      <c r="E53" s="71"/>
    </row>
    <row r="54" spans="3:5" x14ac:dyDescent="0.2">
      <c r="C54" s="71"/>
      <c r="D54" s="71"/>
      <c r="E54" s="71"/>
    </row>
    <row r="55" spans="3:5" x14ac:dyDescent="0.2">
      <c r="C55" s="71"/>
      <c r="D55" s="71"/>
      <c r="E55" s="71"/>
    </row>
    <row r="56" spans="3:5" x14ac:dyDescent="0.2">
      <c r="C56" s="71"/>
      <c r="D56" s="71"/>
      <c r="E56" s="71"/>
    </row>
    <row r="57" spans="3:5" x14ac:dyDescent="0.2">
      <c r="E57" s="73"/>
    </row>
  </sheetData>
  <mergeCells count="14">
    <mergeCell ref="B34:C34"/>
    <mergeCell ref="B40:C40"/>
    <mergeCell ref="B45:C45"/>
    <mergeCell ref="B46:C46"/>
    <mergeCell ref="D4:E5"/>
    <mergeCell ref="D23:E24"/>
    <mergeCell ref="B20:C20"/>
    <mergeCell ref="B23:C24"/>
    <mergeCell ref="B25:C25"/>
    <mergeCell ref="B31:C31"/>
    <mergeCell ref="B4:C5"/>
    <mergeCell ref="B6:C6"/>
    <mergeCell ref="B12:C12"/>
    <mergeCell ref="B15:C15"/>
  </mergeCells>
  <pageMargins left="0.511811024" right="0.511811024" top="0.78740157499999996" bottom="0.78740157499999996" header="0.31496062000000002" footer="0.31496062000000002"/>
  <pageSetup paperSize="9" scale="50" orientation="portrait" r:id="rId1"/>
  <ignoredErrors>
    <ignoredError sqref="E7:J10 H16:J18 E26:I32 J26:J32 F1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7"/>
  <sheetViews>
    <sheetView showGridLines="0" zoomScale="70" zoomScaleNormal="70" zoomScaleSheetLayoutView="85" workbookViewId="0">
      <selection activeCell="D18" sqref="D18"/>
    </sheetView>
  </sheetViews>
  <sheetFormatPr defaultColWidth="9.140625" defaultRowHeight="12.75" x14ac:dyDescent="0.2"/>
  <cols>
    <col min="1" max="1" width="1.7109375" style="82" customWidth="1"/>
    <col min="2" max="2" width="30.7109375" style="79" customWidth="1"/>
    <col min="3" max="3" width="22.7109375" style="80" customWidth="1"/>
    <col min="4" max="7" width="15.7109375" style="79" customWidth="1"/>
    <col min="8" max="9" width="15.7109375" style="82" customWidth="1"/>
    <col min="10" max="13" width="15.7109375" style="80" customWidth="1"/>
    <col min="14" max="16384" width="9.140625" style="82"/>
  </cols>
  <sheetData>
    <row r="1" spans="2:13" ht="9.9499999999999993" customHeight="1" x14ac:dyDescent="0.2"/>
    <row r="2" spans="2:13" ht="18.75" x14ac:dyDescent="0.3">
      <c r="B2" s="39" t="str">
        <f>'Construção e Restauração Rod'!B2</f>
        <v>Ofício-Circular nº 6044/2026 (SEI DNIT nº 25172698)</v>
      </c>
      <c r="C2" s="83"/>
      <c r="D2" s="83"/>
      <c r="E2" s="83"/>
      <c r="F2" s="83"/>
      <c r="G2" s="83"/>
      <c r="H2" s="96"/>
      <c r="I2" s="96"/>
      <c r="J2" s="83"/>
      <c r="K2" s="83"/>
      <c r="L2" s="83"/>
      <c r="M2" s="83"/>
    </row>
    <row r="3" spans="2:13" s="85" customFormat="1" ht="15.95" customHeight="1" x14ac:dyDescent="0.2">
      <c r="B3" s="42" t="s">
        <v>214</v>
      </c>
      <c r="C3" s="43"/>
      <c r="D3" s="84"/>
      <c r="E3" s="84"/>
      <c r="F3" s="84"/>
      <c r="G3" s="84"/>
      <c r="J3" s="43"/>
      <c r="K3" s="43"/>
      <c r="L3" s="43"/>
      <c r="M3" s="43"/>
    </row>
    <row r="4" spans="2:13" s="86" customFormat="1" ht="30" customHeight="1" x14ac:dyDescent="0.2">
      <c r="B4" s="101" t="s">
        <v>187</v>
      </c>
      <c r="C4" s="102"/>
      <c r="D4" s="44" t="s">
        <v>218</v>
      </c>
      <c r="E4" s="45"/>
      <c r="F4" s="45"/>
      <c r="G4" s="45"/>
      <c r="H4" s="45"/>
      <c r="I4" s="46"/>
      <c r="J4" s="111" t="s">
        <v>219</v>
      </c>
      <c r="K4" s="112"/>
      <c r="L4" s="111" t="s">
        <v>220</v>
      </c>
      <c r="M4" s="112"/>
    </row>
    <row r="5" spans="2:13" s="86" customFormat="1" ht="30" customHeight="1" x14ac:dyDescent="0.2">
      <c r="B5" s="101"/>
      <c r="C5" s="102"/>
      <c r="D5" s="47" t="s">
        <v>189</v>
      </c>
      <c r="E5" s="47"/>
      <c r="F5" s="47" t="s">
        <v>216</v>
      </c>
      <c r="G5" s="47"/>
      <c r="H5" s="47" t="s">
        <v>217</v>
      </c>
      <c r="I5" s="47"/>
      <c r="J5" s="113"/>
      <c r="K5" s="114"/>
      <c r="L5" s="113"/>
      <c r="M5" s="114"/>
    </row>
    <row r="6" spans="2:13" s="92" customFormat="1" ht="30" customHeight="1" x14ac:dyDescent="0.2">
      <c r="B6" s="103" t="s">
        <v>190</v>
      </c>
      <c r="C6" s="104"/>
      <c r="D6" s="48" t="s">
        <v>191</v>
      </c>
      <c r="E6" s="48" t="s">
        <v>192</v>
      </c>
      <c r="F6" s="48" t="s">
        <v>191</v>
      </c>
      <c r="G6" s="48" t="s">
        <v>192</v>
      </c>
      <c r="H6" s="48" t="s">
        <v>191</v>
      </c>
      <c r="I6" s="48" t="s">
        <v>192</v>
      </c>
      <c r="J6" s="48" t="s">
        <v>191</v>
      </c>
      <c r="K6" s="48" t="s">
        <v>192</v>
      </c>
      <c r="L6" s="48" t="s">
        <v>191</v>
      </c>
      <c r="M6" s="48" t="s">
        <v>192</v>
      </c>
    </row>
    <row r="7" spans="2:13" s="85" customFormat="1" ht="30" customHeight="1" x14ac:dyDescent="0.2">
      <c r="B7" s="49" t="s">
        <v>67</v>
      </c>
      <c r="C7" s="50" t="s">
        <v>193</v>
      </c>
      <c r="D7" s="51">
        <f>E7/(1+E$20/100)</f>
        <v>6.6629380071749118</v>
      </c>
      <c r="E7" s="52">
        <v>9</v>
      </c>
      <c r="F7" s="51">
        <f>G7/(1+G$20/100)</f>
        <v>6.7737702711795977</v>
      </c>
      <c r="G7" s="52">
        <f>E7</f>
        <v>9</v>
      </c>
      <c r="H7" s="51">
        <f>I7/(1+I$20/100)</f>
        <v>6.888352105544076</v>
      </c>
      <c r="I7" s="52">
        <f>E7</f>
        <v>9</v>
      </c>
      <c r="J7" s="51">
        <f>K7/(1+K$20/100)</f>
        <v>4.7544491045114485</v>
      </c>
      <c r="K7" s="52">
        <v>6</v>
      </c>
      <c r="L7" s="51">
        <f>M7/(1+M$20/100)</f>
        <v>5.450855623163787</v>
      </c>
      <c r="M7" s="52">
        <v>7</v>
      </c>
    </row>
    <row r="8" spans="2:13" s="85" customFormat="1" ht="30" customHeight="1" x14ac:dyDescent="0.2">
      <c r="B8" s="53" t="s">
        <v>194</v>
      </c>
      <c r="C8" s="54">
        <v>1.1200000000000001</v>
      </c>
      <c r="D8" s="55">
        <f>E8/(1+E$20/100)</f>
        <v>1.0205001257595163</v>
      </c>
      <c r="E8" s="55">
        <f>E20-(E7+E9+E10+E13+E16+E17+E18)</f>
        <v>1.3784461332141191</v>
      </c>
      <c r="F8" s="55">
        <f>G8/(1+G$20/100)</f>
        <v>1.0357041921808705</v>
      </c>
      <c r="G8" s="55">
        <f>G20-(G7+G9+G10+G13+G16+G17+G18)</f>
        <v>1.3760929816718743</v>
      </c>
      <c r="H8" s="55">
        <f>I8/(1+I$20/100)</f>
        <v>1.0514226279270136</v>
      </c>
      <c r="I8" s="55">
        <f>I20-(I7+I9+I10+I13+I16+I17+I18)</f>
        <v>1.3737398301296189</v>
      </c>
      <c r="J8" s="55">
        <f>K8/(1+K$20/100)</f>
        <v>1.0578751983677204</v>
      </c>
      <c r="K8" s="55">
        <f>K20-(K7+K9+K10+K13+K16+K17+K18)</f>
        <v>1.3350129637907955</v>
      </c>
      <c r="L8" s="55">
        <f>M8/(1+M$20/100)</f>
        <v>1.0502290480234919</v>
      </c>
      <c r="M8" s="55">
        <f>M20-(M7+M9+M10+M13+M16+M17+M18)</f>
        <v>1.348706303084473</v>
      </c>
    </row>
    <row r="9" spans="2:13" s="85" customFormat="1" ht="30" customHeight="1" x14ac:dyDescent="0.2">
      <c r="B9" s="53" t="s">
        <v>195</v>
      </c>
      <c r="C9" s="56" t="s">
        <v>196</v>
      </c>
      <c r="D9" s="57">
        <v>0.25</v>
      </c>
      <c r="E9" s="55">
        <f>D9*(1+E$20/100)</f>
        <v>0.33768886902101025</v>
      </c>
      <c r="F9" s="57">
        <f>D9</f>
        <v>0.25</v>
      </c>
      <c r="G9" s="55">
        <f>F9*(1+G$20/100)</f>
        <v>0.33216361198033079</v>
      </c>
      <c r="H9" s="57">
        <f>D9</f>
        <v>0.25</v>
      </c>
      <c r="I9" s="55">
        <f>H9*(1+I$20/100)</f>
        <v>0.32663835493965127</v>
      </c>
      <c r="J9" s="57">
        <v>0.25</v>
      </c>
      <c r="K9" s="55">
        <f>J9*(1+K$20/100)</f>
        <v>0.31549396513187306</v>
      </c>
      <c r="L9" s="57">
        <v>0.25</v>
      </c>
      <c r="M9" s="55">
        <f>L9*(1+M$20/100)</f>
        <v>0.32105051408135893</v>
      </c>
    </row>
    <row r="10" spans="2:13" s="85" customFormat="1" ht="30" customHeight="1" x14ac:dyDescent="0.2">
      <c r="B10" s="53" t="s">
        <v>197</v>
      </c>
      <c r="C10" s="56" t="s">
        <v>198</v>
      </c>
      <c r="D10" s="57">
        <v>0.5</v>
      </c>
      <c r="E10" s="55">
        <f>D10*(1+E$20/100)</f>
        <v>0.6753777380420205</v>
      </c>
      <c r="F10" s="57">
        <f>D10</f>
        <v>0.5</v>
      </c>
      <c r="G10" s="55">
        <f>F10*(1+G$20/100)</f>
        <v>0.66432722396066157</v>
      </c>
      <c r="H10" s="57">
        <f>D10</f>
        <v>0.5</v>
      </c>
      <c r="I10" s="55">
        <f>H10*(1+I$20/100)</f>
        <v>0.65327670987930253</v>
      </c>
      <c r="J10" s="57">
        <v>0.5</v>
      </c>
      <c r="K10" s="55">
        <f>J10*(1+K$20/100)</f>
        <v>0.63098793026374611</v>
      </c>
      <c r="L10" s="57">
        <v>0.5</v>
      </c>
      <c r="M10" s="55">
        <f>L10*(1+M$20/100)</f>
        <v>0.64210102816271786</v>
      </c>
    </row>
    <row r="11" spans="2:13" s="85" customFormat="1" ht="30" customHeight="1" x14ac:dyDescent="0.2">
      <c r="B11" s="58"/>
      <c r="C11" s="59" t="s">
        <v>199</v>
      </c>
      <c r="D11" s="60">
        <f>SUM(D7:D10)</f>
        <v>8.4334381329344286</v>
      </c>
      <c r="E11" s="60">
        <f t="shared" ref="E11" si="0">SUM(E7:E10)</f>
        <v>11.39151274027715</v>
      </c>
      <c r="F11" s="60">
        <f>SUM(F7:F10)</f>
        <v>8.559474463360468</v>
      </c>
      <c r="G11" s="60">
        <f t="shared" ref="G11" si="1">SUM(G7:G10)</f>
        <v>11.372583817612867</v>
      </c>
      <c r="H11" s="60">
        <f>SUM(H7:H10)</f>
        <v>8.68977473347109</v>
      </c>
      <c r="I11" s="60">
        <f t="shared" ref="I11" si="2">SUM(I7:I10)</f>
        <v>11.353654894948573</v>
      </c>
      <c r="J11" s="60">
        <f>SUM(J7:J10)</f>
        <v>6.5623243028791691</v>
      </c>
      <c r="K11" s="60">
        <f t="shared" ref="K11" si="3">SUM(K7:K10)</f>
        <v>8.2814948591864148</v>
      </c>
      <c r="L11" s="60">
        <f>SUM(L7:L10)</f>
        <v>7.2510846711872787</v>
      </c>
      <c r="M11" s="60">
        <f t="shared" ref="M11" si="4">SUM(M7:M10)</f>
        <v>9.3118578453285501</v>
      </c>
    </row>
    <row r="12" spans="2:13" s="85" customFormat="1" ht="30" customHeight="1" x14ac:dyDescent="0.2">
      <c r="B12" s="99" t="s">
        <v>200</v>
      </c>
      <c r="C12" s="100"/>
      <c r="D12" s="61" t="s">
        <v>191</v>
      </c>
      <c r="E12" s="61" t="s">
        <v>192</v>
      </c>
      <c r="F12" s="61" t="s">
        <v>191</v>
      </c>
      <c r="G12" s="61" t="s">
        <v>192</v>
      </c>
      <c r="H12" s="61" t="s">
        <v>191</v>
      </c>
      <c r="I12" s="61" t="s">
        <v>192</v>
      </c>
      <c r="J12" s="61" t="s">
        <v>191</v>
      </c>
      <c r="K12" s="61" t="s">
        <v>192</v>
      </c>
      <c r="L12" s="61" t="s">
        <v>191</v>
      </c>
      <c r="M12" s="61" t="s">
        <v>192</v>
      </c>
    </row>
    <row r="13" spans="2:13" s="85" customFormat="1" ht="30" customHeight="1" x14ac:dyDescent="0.2">
      <c r="B13" s="49" t="s">
        <v>68</v>
      </c>
      <c r="C13" s="50" t="s">
        <v>193</v>
      </c>
      <c r="D13" s="51">
        <f>E13/(1+E$20/100)</f>
        <v>8.883917342899883</v>
      </c>
      <c r="E13" s="52">
        <v>12</v>
      </c>
      <c r="F13" s="51">
        <f>G13/(1+G$20/100)</f>
        <v>7.5264114124217754</v>
      </c>
      <c r="G13" s="52">
        <v>10</v>
      </c>
      <c r="H13" s="51">
        <f>I13/(1+I$20/100)</f>
        <v>6.1229796493725122</v>
      </c>
      <c r="I13" s="52">
        <v>8</v>
      </c>
      <c r="J13" s="51">
        <f>K13/(1+K$20/100)</f>
        <v>5.5468572885966898</v>
      </c>
      <c r="K13" s="52">
        <v>7</v>
      </c>
      <c r="L13" s="51">
        <f>M13/(1+M$20/100)</f>
        <v>6.2295492836157571</v>
      </c>
      <c r="M13" s="52">
        <v>8</v>
      </c>
    </row>
    <row r="14" spans="2:13" s="85" customFormat="1" ht="30" customHeight="1" x14ac:dyDescent="0.2">
      <c r="B14" s="58"/>
      <c r="C14" s="59" t="s">
        <v>201</v>
      </c>
      <c r="D14" s="55">
        <f t="shared" ref="D14:I14" si="5">D13</f>
        <v>8.883917342899883</v>
      </c>
      <c r="E14" s="60">
        <f t="shared" si="5"/>
        <v>12</v>
      </c>
      <c r="F14" s="55">
        <f t="shared" si="5"/>
        <v>7.5264114124217754</v>
      </c>
      <c r="G14" s="60">
        <f t="shared" si="5"/>
        <v>10</v>
      </c>
      <c r="H14" s="55">
        <f t="shared" si="5"/>
        <v>6.1229796493725122</v>
      </c>
      <c r="I14" s="60">
        <f t="shared" si="5"/>
        <v>8</v>
      </c>
      <c r="J14" s="55">
        <f t="shared" ref="J14:K14" si="6">J13</f>
        <v>5.5468572885966898</v>
      </c>
      <c r="K14" s="60">
        <f t="shared" si="6"/>
        <v>7</v>
      </c>
      <c r="L14" s="55">
        <f>L13</f>
        <v>6.2295492836157571</v>
      </c>
      <c r="M14" s="60">
        <f>M13</f>
        <v>8</v>
      </c>
    </row>
    <row r="15" spans="2:13" s="85" customFormat="1" ht="30" customHeight="1" x14ac:dyDescent="0.2">
      <c r="B15" s="99" t="s">
        <v>202</v>
      </c>
      <c r="C15" s="100"/>
      <c r="D15" s="48" t="s">
        <v>191</v>
      </c>
      <c r="E15" s="61" t="s">
        <v>192</v>
      </c>
      <c r="F15" s="48" t="s">
        <v>191</v>
      </c>
      <c r="G15" s="61" t="s">
        <v>192</v>
      </c>
      <c r="H15" s="48" t="s">
        <v>191</v>
      </c>
      <c r="I15" s="61" t="s">
        <v>192</v>
      </c>
      <c r="J15" s="48" t="s">
        <v>191</v>
      </c>
      <c r="K15" s="61" t="s">
        <v>192</v>
      </c>
      <c r="L15" s="48" t="s">
        <v>191</v>
      </c>
      <c r="M15" s="61" t="s">
        <v>192</v>
      </c>
    </row>
    <row r="16" spans="2:13" s="85" customFormat="1" ht="30" customHeight="1" x14ac:dyDescent="0.2">
      <c r="B16" s="49" t="s">
        <v>69</v>
      </c>
      <c r="C16" s="50" t="s">
        <v>203</v>
      </c>
      <c r="D16" s="52">
        <v>0.65</v>
      </c>
      <c r="E16" s="51">
        <f>D16*(1+E$20/100)</f>
        <v>0.87799105945462663</v>
      </c>
      <c r="F16" s="52">
        <f>D16</f>
        <v>0.65</v>
      </c>
      <c r="G16" s="51">
        <f>F16*(1+G$20/100)</f>
        <v>0.86362539114886006</v>
      </c>
      <c r="H16" s="52">
        <f>D16</f>
        <v>0.65</v>
      </c>
      <c r="I16" s="51">
        <f>H16*(1+I$20/100)</f>
        <v>0.84925972284309337</v>
      </c>
      <c r="J16" s="52">
        <v>0.65</v>
      </c>
      <c r="K16" s="51">
        <f>J16*(1+K$20/100)</f>
        <v>0.82028430934287</v>
      </c>
      <c r="L16" s="52">
        <v>0.65</v>
      </c>
      <c r="M16" s="51">
        <f>L16*(1+M$20/100)</f>
        <v>0.8347313366115332</v>
      </c>
    </row>
    <row r="17" spans="2:13" s="85" customFormat="1" ht="30" customHeight="1" x14ac:dyDescent="0.2">
      <c r="B17" s="53" t="s">
        <v>70</v>
      </c>
      <c r="C17" s="56" t="s">
        <v>204</v>
      </c>
      <c r="D17" s="57">
        <v>3</v>
      </c>
      <c r="E17" s="55">
        <f>D17*(1+E$20/100)</f>
        <v>4.052266428252123</v>
      </c>
      <c r="F17" s="57">
        <f>D17</f>
        <v>3</v>
      </c>
      <c r="G17" s="55">
        <f>F17*(1+G$20/100)</f>
        <v>3.9859633437639692</v>
      </c>
      <c r="H17" s="57">
        <f>D17</f>
        <v>3</v>
      </c>
      <c r="I17" s="55">
        <f>H17*(1+I$20/100)</f>
        <v>3.9196602592758154</v>
      </c>
      <c r="J17" s="57">
        <v>3</v>
      </c>
      <c r="K17" s="55">
        <f>J17*(1+K$20/100)</f>
        <v>3.7859275815824764</v>
      </c>
      <c r="L17" s="57">
        <v>3</v>
      </c>
      <c r="M17" s="55">
        <f>L17*(1+M$20/100)</f>
        <v>3.8526061689763074</v>
      </c>
    </row>
    <row r="18" spans="2:13" s="85" customFormat="1" ht="30" customHeight="1" x14ac:dyDescent="0.2">
      <c r="B18" s="53" t="s">
        <v>205</v>
      </c>
      <c r="C18" s="56" t="s">
        <v>206</v>
      </c>
      <c r="D18" s="62">
        <v>5</v>
      </c>
      <c r="E18" s="55">
        <f>D18*(1+E$20/100)</f>
        <v>6.753777380420205</v>
      </c>
      <c r="F18" s="62">
        <f>D18</f>
        <v>5</v>
      </c>
      <c r="G18" s="55">
        <f>F18*(1+G$20/100)</f>
        <v>6.6432722396066159</v>
      </c>
      <c r="H18" s="62">
        <f>D18</f>
        <v>5</v>
      </c>
      <c r="I18" s="55">
        <f>H18*(1+I$20/100)</f>
        <v>6.5327670987930251</v>
      </c>
      <c r="J18" s="62">
        <v>5</v>
      </c>
      <c r="K18" s="55">
        <f>J18*(1+K$20/100)</f>
        <v>6.3098793026374613</v>
      </c>
      <c r="L18" s="62">
        <v>5</v>
      </c>
      <c r="M18" s="55">
        <f>L18*(1+M$20/100)</f>
        <v>6.4210102816271784</v>
      </c>
    </row>
    <row r="19" spans="2:13" s="85" customFormat="1" ht="30" customHeight="1" x14ac:dyDescent="0.2">
      <c r="B19" s="58"/>
      <c r="C19" s="59" t="s">
        <v>207</v>
      </c>
      <c r="D19" s="60">
        <f t="shared" ref="D19:I19" si="7">SUM(D16:D18)</f>
        <v>8.65</v>
      </c>
      <c r="E19" s="60">
        <f t="shared" si="7"/>
        <v>11.684034868126954</v>
      </c>
      <c r="F19" s="60">
        <f t="shared" si="7"/>
        <v>8.65</v>
      </c>
      <c r="G19" s="60">
        <f t="shared" si="7"/>
        <v>11.492860974519445</v>
      </c>
      <c r="H19" s="60">
        <f t="shared" si="7"/>
        <v>8.65</v>
      </c>
      <c r="I19" s="60">
        <f t="shared" si="7"/>
        <v>11.301687080911934</v>
      </c>
      <c r="J19" s="60">
        <f t="shared" ref="J19:K19" si="8">SUM(J16:J18)</f>
        <v>8.65</v>
      </c>
      <c r="K19" s="60">
        <f t="shared" si="8"/>
        <v>10.916091193562806</v>
      </c>
      <c r="L19" s="60">
        <f>SUM(L16:L18)</f>
        <v>8.65</v>
      </c>
      <c r="M19" s="60">
        <f>SUM(M16:M18)</f>
        <v>11.108347787215019</v>
      </c>
    </row>
    <row r="20" spans="2:13" s="90" customFormat="1" ht="30" customHeight="1" x14ac:dyDescent="0.2">
      <c r="B20" s="105" t="s">
        <v>208</v>
      </c>
      <c r="C20" s="106"/>
      <c r="D20" s="66">
        <f>D11+D14+D19</f>
        <v>25.96735547583431</v>
      </c>
      <c r="E20" s="66">
        <f>((1+(E7/100+E13/100-($C8/100*E13/100)))/(1-($C8/100+D10/100+D9/100+D16/100+D17/100+D18/100))-1)*100</f>
        <v>35.075547608404101</v>
      </c>
      <c r="F20" s="66">
        <f>F11+F14+F19</f>
        <v>24.735885875782245</v>
      </c>
      <c r="G20" s="66">
        <f>((1+(G7/100+G13/100-($C8/100*G13/100)))/(1-($C8/100+F10/100+F9/100+F16/100+F17/100+F18/100))-1)*100</f>
        <v>32.865444792132315</v>
      </c>
      <c r="H20" s="66">
        <f>H11+H14+H19</f>
        <v>23.462754382843602</v>
      </c>
      <c r="I20" s="66">
        <f>((1+(I7/100+I13/100-($C8/100*I13/100)))/(1-($C8/100+H10/100+H9/100+H16/100+H17/100+H18/100))-1)*100</f>
        <v>30.655341975860505</v>
      </c>
      <c r="J20" s="66">
        <f>J11+J14+J19</f>
        <v>20.759181591475858</v>
      </c>
      <c r="K20" s="66">
        <f>((1+(K7/100+K13/100-($C8/100*K13/100)))/(1-($C8/100+J10/100+J9/100+J16/100+J17/100+J18/100))-1)*100</f>
        <v>26.197586052749223</v>
      </c>
      <c r="L20" s="66">
        <f>L11+L14+L19</f>
        <v>22.130633954803038</v>
      </c>
      <c r="M20" s="66">
        <f>((1+(M7/100+M13/100-($C8/100*M13/100)))/(1-($C8/100+L10/100+L9/100+L16/100+L17/100+L18/100))-1)*100</f>
        <v>28.420205632543571</v>
      </c>
    </row>
    <row r="21" spans="2:13" s="91" customFormat="1" x14ac:dyDescent="0.2">
      <c r="B21" s="76"/>
      <c r="C21" s="76"/>
      <c r="D21" s="77"/>
      <c r="E21" s="77"/>
      <c r="F21" s="77"/>
      <c r="G21" s="77"/>
      <c r="H21" s="77"/>
      <c r="I21" s="77"/>
      <c r="J21" s="77"/>
      <c r="K21" s="77"/>
      <c r="L21" s="77"/>
      <c r="M21" s="77"/>
    </row>
    <row r="22" spans="2:13" s="90" customFormat="1" x14ac:dyDescent="0.2">
      <c r="B22" s="42" t="s">
        <v>215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</row>
    <row r="23" spans="2:13" s="86" customFormat="1" ht="30" customHeight="1" x14ac:dyDescent="0.2">
      <c r="B23" s="101" t="s">
        <v>187</v>
      </c>
      <c r="C23" s="102"/>
      <c r="D23" s="44" t="str">
        <f>D4</f>
        <v>Recuperação, Reforço e Alargamento de Obras de Arte Especiais</v>
      </c>
      <c r="E23" s="45"/>
      <c r="F23" s="45"/>
      <c r="G23" s="45"/>
      <c r="H23" s="45"/>
      <c r="I23" s="46"/>
      <c r="J23" s="111" t="str">
        <f>J4</f>
        <v>Construção Ferroviária</v>
      </c>
      <c r="K23" s="112"/>
      <c r="L23" s="111" t="str">
        <f>L4</f>
        <v>Obras Hidroviárias</v>
      </c>
      <c r="M23" s="112"/>
    </row>
    <row r="24" spans="2:13" s="86" customFormat="1" ht="30" customHeight="1" x14ac:dyDescent="0.2">
      <c r="B24" s="101"/>
      <c r="C24" s="102"/>
      <c r="D24" s="47" t="str">
        <f>D5</f>
        <v>Pequeno Porte</v>
      </c>
      <c r="E24" s="47"/>
      <c r="F24" s="47" t="str">
        <f>F5</f>
        <v>Médio Porte</v>
      </c>
      <c r="G24" s="47"/>
      <c r="H24" s="47" t="str">
        <f>H5</f>
        <v>Grande Porte</v>
      </c>
      <c r="I24" s="47"/>
      <c r="J24" s="113"/>
      <c r="K24" s="114"/>
      <c r="L24" s="113"/>
      <c r="M24" s="114"/>
    </row>
    <row r="25" spans="2:13" s="92" customFormat="1" ht="30" customHeight="1" x14ac:dyDescent="0.2">
      <c r="B25" s="103" t="s">
        <v>190</v>
      </c>
      <c r="C25" s="104"/>
      <c r="D25" s="48" t="s">
        <v>191</v>
      </c>
      <c r="E25" s="48" t="s">
        <v>192</v>
      </c>
      <c r="F25" s="48" t="s">
        <v>191</v>
      </c>
      <c r="G25" s="48" t="s">
        <v>192</v>
      </c>
      <c r="H25" s="48" t="s">
        <v>191</v>
      </c>
      <c r="I25" s="48" t="s">
        <v>192</v>
      </c>
      <c r="J25" s="48" t="s">
        <v>191</v>
      </c>
      <c r="K25" s="48" t="s">
        <v>192</v>
      </c>
      <c r="L25" s="48" t="s">
        <v>191</v>
      </c>
      <c r="M25" s="48" t="s">
        <v>192</v>
      </c>
    </row>
    <row r="26" spans="2:13" s="85" customFormat="1" ht="30" customHeight="1" x14ac:dyDescent="0.2">
      <c r="B26" s="49" t="s">
        <v>67</v>
      </c>
      <c r="C26" s="50" t="s">
        <v>193</v>
      </c>
      <c r="D26" s="51">
        <f>E26/(1+E$40/100)</f>
        <v>6.4618882461180025</v>
      </c>
      <c r="E26" s="52">
        <f>E7</f>
        <v>9</v>
      </c>
      <c r="F26" s="51">
        <f>G26/(1+G$40/100)</f>
        <v>6.5693762196352878</v>
      </c>
      <c r="G26" s="52">
        <f>G7</f>
        <v>9</v>
      </c>
      <c r="H26" s="51">
        <f>I26/(1+I$40/100)</f>
        <v>6.6805006226990926</v>
      </c>
      <c r="I26" s="52">
        <f>I7</f>
        <v>9</v>
      </c>
      <c r="J26" s="51">
        <f>K26/(1+K$40/100)</f>
        <v>4.6109867377012019</v>
      </c>
      <c r="K26" s="52">
        <f>K7</f>
        <v>6</v>
      </c>
      <c r="L26" s="51">
        <f>M26/(1+M$40/100)</f>
        <v>5.2863796488394446</v>
      </c>
      <c r="M26" s="52">
        <f>M7</f>
        <v>7</v>
      </c>
    </row>
    <row r="27" spans="2:13" s="85" customFormat="1" ht="30" customHeight="1" x14ac:dyDescent="0.2">
      <c r="B27" s="53" t="s">
        <v>194</v>
      </c>
      <c r="C27" s="54">
        <f>C8</f>
        <v>1.1200000000000001</v>
      </c>
      <c r="D27" s="55">
        <f>E27/(1+E$40/100)</f>
        <v>1.0235024688579633</v>
      </c>
      <c r="E27" s="55">
        <f>E40-(E26+E28+E29+E32+E35+E36+E37+E38)</f>
        <v>1.4255155565798461</v>
      </c>
      <c r="F27" s="55">
        <f>G27/(1+G$40/100)</f>
        <v>1.0382477626000775</v>
      </c>
      <c r="G27" s="55">
        <f>G40-(G26+G28+G29+G32+G35+G36+G37+G38)</f>
        <v>1.4223922562802258</v>
      </c>
      <c r="H27" s="55">
        <f>I27/(1+I$40/100)</f>
        <v>1.0534919049117961</v>
      </c>
      <c r="I27" s="55">
        <f>I40-(I26+I28+I29+I32+I35+I36+I37+I38)</f>
        <v>1.4192689559806411</v>
      </c>
      <c r="J27" s="55">
        <f>K27/(1+K$40/100)</f>
        <v>1.0597497732940364</v>
      </c>
      <c r="K27" s="55">
        <f>K40-(K26+K28+K29+K32+K35+K36+K37+K38)</f>
        <v>1.3789887070753615</v>
      </c>
      <c r="L27" s="55">
        <f>M27/(1+M$40/100)</f>
        <v>1.0523343404948415</v>
      </c>
      <c r="M27" s="55">
        <f>M40-(M26+M28+M29+M32+M35+M36+M37+M38)</f>
        <v>1.3934565568103068</v>
      </c>
    </row>
    <row r="28" spans="2:13" s="85" customFormat="1" ht="30" customHeight="1" x14ac:dyDescent="0.2">
      <c r="B28" s="53" t="s">
        <v>195</v>
      </c>
      <c r="C28" s="56" t="s">
        <v>196</v>
      </c>
      <c r="D28" s="57">
        <v>0.25</v>
      </c>
      <c r="E28" s="55">
        <f>D28*(1+E$40/100)</f>
        <v>0.34819543673657521</v>
      </c>
      <c r="F28" s="57">
        <v>0.25</v>
      </c>
      <c r="G28" s="55">
        <f>F28*(1+G$40/100)</f>
        <v>0.34249827149112694</v>
      </c>
      <c r="H28" s="57">
        <v>0.25</v>
      </c>
      <c r="I28" s="55">
        <f>H28*(1+I$40/100)</f>
        <v>0.33680110624567872</v>
      </c>
      <c r="J28" s="57">
        <v>0.25</v>
      </c>
      <c r="K28" s="55">
        <f>J28*(1+K$40/100)</f>
        <v>0.32530997925789351</v>
      </c>
      <c r="L28" s="57">
        <v>0.25</v>
      </c>
      <c r="M28" s="55">
        <f>L28*(1+M$40/100)</f>
        <v>0.33103941000230463</v>
      </c>
    </row>
    <row r="29" spans="2:13" s="85" customFormat="1" ht="30" customHeight="1" x14ac:dyDescent="0.2">
      <c r="B29" s="53" t="s">
        <v>197</v>
      </c>
      <c r="C29" s="56" t="s">
        <v>198</v>
      </c>
      <c r="D29" s="57">
        <v>0.5</v>
      </c>
      <c r="E29" s="55">
        <f>D29*(1+E$40/100)</f>
        <v>0.69639087347315043</v>
      </c>
      <c r="F29" s="57">
        <v>0.5</v>
      </c>
      <c r="G29" s="55">
        <f>F29*(1+G$40/100)</f>
        <v>0.68499654298225388</v>
      </c>
      <c r="H29" s="57">
        <v>0.5</v>
      </c>
      <c r="I29" s="55">
        <f>H29*(1+I$40/100)</f>
        <v>0.67360221249135743</v>
      </c>
      <c r="J29" s="57">
        <v>0.5</v>
      </c>
      <c r="K29" s="55">
        <f>J29*(1+K$40/100)</f>
        <v>0.65061995851578702</v>
      </c>
      <c r="L29" s="57">
        <v>0.5</v>
      </c>
      <c r="M29" s="55">
        <f>L29*(1+M$40/100)</f>
        <v>0.66207882000460927</v>
      </c>
    </row>
    <row r="30" spans="2:13" s="85" customFormat="1" ht="30" customHeight="1" x14ac:dyDescent="0.2">
      <c r="B30" s="58"/>
      <c r="C30" s="59" t="s">
        <v>199</v>
      </c>
      <c r="D30" s="60">
        <f t="shared" ref="D30:I30" si="9">SUM(D26:D29)</f>
        <v>8.2353907149759653</v>
      </c>
      <c r="E30" s="60">
        <f t="shared" si="9"/>
        <v>11.470101866789571</v>
      </c>
      <c r="F30" s="60">
        <f t="shared" si="9"/>
        <v>8.3576239822353653</v>
      </c>
      <c r="G30" s="60">
        <f t="shared" si="9"/>
        <v>11.449887070753608</v>
      </c>
      <c r="H30" s="60">
        <f t="shared" si="9"/>
        <v>8.483992527610889</v>
      </c>
      <c r="I30" s="60">
        <f t="shared" si="9"/>
        <v>11.429672274717676</v>
      </c>
      <c r="J30" s="60">
        <f t="shared" ref="J30:K30" si="10">SUM(J26:J29)</f>
        <v>6.4207365109952388</v>
      </c>
      <c r="K30" s="60">
        <f t="shared" si="10"/>
        <v>8.3549186448490413</v>
      </c>
      <c r="L30" s="60">
        <f>SUM(L26:L29)</f>
        <v>7.0887139893342859</v>
      </c>
      <c r="M30" s="60">
        <f>SUM(M26:M29)</f>
        <v>9.3865747868172207</v>
      </c>
    </row>
    <row r="31" spans="2:13" s="85" customFormat="1" ht="30" customHeight="1" x14ac:dyDescent="0.2">
      <c r="B31" s="99" t="s">
        <v>200</v>
      </c>
      <c r="C31" s="100"/>
      <c r="D31" s="61" t="s">
        <v>191</v>
      </c>
      <c r="E31" s="61" t="s">
        <v>192</v>
      </c>
      <c r="F31" s="61" t="s">
        <v>191</v>
      </c>
      <c r="G31" s="61" t="s">
        <v>192</v>
      </c>
      <c r="H31" s="61" t="s">
        <v>191</v>
      </c>
      <c r="I31" s="61" t="s">
        <v>192</v>
      </c>
      <c r="J31" s="61" t="s">
        <v>191</v>
      </c>
      <c r="K31" s="61" t="s">
        <v>192</v>
      </c>
      <c r="L31" s="61" t="s">
        <v>191</v>
      </c>
      <c r="M31" s="61" t="s">
        <v>192</v>
      </c>
    </row>
    <row r="32" spans="2:13" s="85" customFormat="1" ht="30" customHeight="1" x14ac:dyDescent="0.2">
      <c r="B32" s="49" t="s">
        <v>68</v>
      </c>
      <c r="C32" s="50" t="s">
        <v>193</v>
      </c>
      <c r="D32" s="51">
        <f>E32/(1+E$40/100)</f>
        <v>8.6158509948240045</v>
      </c>
      <c r="E32" s="52">
        <f>E13</f>
        <v>12</v>
      </c>
      <c r="F32" s="51">
        <f>G32/(1+G$40/100)</f>
        <v>7.2993069107058757</v>
      </c>
      <c r="G32" s="52">
        <f>G13</f>
        <v>10</v>
      </c>
      <c r="H32" s="51">
        <f>I32/(1+I$40/100)</f>
        <v>5.9382227757325268</v>
      </c>
      <c r="I32" s="52">
        <f>I13</f>
        <v>8</v>
      </c>
      <c r="J32" s="51">
        <f>K32/(1+K$40/100)</f>
        <v>5.3794845273180689</v>
      </c>
      <c r="K32" s="52">
        <f>K13</f>
        <v>7</v>
      </c>
      <c r="L32" s="51">
        <f>M32/(1+M$40/100)</f>
        <v>6.0415767415307933</v>
      </c>
      <c r="M32" s="52">
        <f>M13</f>
        <v>8</v>
      </c>
    </row>
    <row r="33" spans="2:13" s="85" customFormat="1" ht="30" customHeight="1" x14ac:dyDescent="0.2">
      <c r="B33" s="58"/>
      <c r="C33" s="59" t="s">
        <v>201</v>
      </c>
      <c r="D33" s="55">
        <f t="shared" ref="D33:I33" si="11">D32</f>
        <v>8.6158509948240045</v>
      </c>
      <c r="E33" s="60">
        <f t="shared" si="11"/>
        <v>12</v>
      </c>
      <c r="F33" s="55">
        <f t="shared" si="11"/>
        <v>7.2993069107058757</v>
      </c>
      <c r="G33" s="60">
        <f t="shared" si="11"/>
        <v>10</v>
      </c>
      <c r="H33" s="55">
        <f t="shared" si="11"/>
        <v>5.9382227757325268</v>
      </c>
      <c r="I33" s="60">
        <f t="shared" si="11"/>
        <v>8</v>
      </c>
      <c r="J33" s="55">
        <f t="shared" ref="J33:K33" si="12">J32</f>
        <v>5.3794845273180689</v>
      </c>
      <c r="K33" s="60">
        <f t="shared" si="12"/>
        <v>7</v>
      </c>
      <c r="L33" s="55">
        <f>L32</f>
        <v>6.0415767415307933</v>
      </c>
      <c r="M33" s="60">
        <f>M32</f>
        <v>8</v>
      </c>
    </row>
    <row r="34" spans="2:13" s="85" customFormat="1" ht="30" customHeight="1" x14ac:dyDescent="0.2">
      <c r="B34" s="109" t="s">
        <v>202</v>
      </c>
      <c r="C34" s="110"/>
      <c r="D34" s="48" t="s">
        <v>191</v>
      </c>
      <c r="E34" s="61" t="s">
        <v>192</v>
      </c>
      <c r="F34" s="48" t="s">
        <v>191</v>
      </c>
      <c r="G34" s="61" t="s">
        <v>192</v>
      </c>
      <c r="H34" s="48" t="s">
        <v>191</v>
      </c>
      <c r="I34" s="61" t="s">
        <v>192</v>
      </c>
      <c r="J34" s="48" t="s">
        <v>191</v>
      </c>
      <c r="K34" s="61" t="s">
        <v>192</v>
      </c>
      <c r="L34" s="48" t="s">
        <v>191</v>
      </c>
      <c r="M34" s="61" t="s">
        <v>192</v>
      </c>
    </row>
    <row r="35" spans="2:13" s="85" customFormat="1" ht="30" customHeight="1" x14ac:dyDescent="0.2">
      <c r="B35" s="49" t="s">
        <v>69</v>
      </c>
      <c r="C35" s="50" t="s">
        <v>203</v>
      </c>
      <c r="D35" s="52">
        <v>0.65</v>
      </c>
      <c r="E35" s="51">
        <f>D35*(1+E$40/100)</f>
        <v>0.90530813551509559</v>
      </c>
      <c r="F35" s="52">
        <v>0.65</v>
      </c>
      <c r="G35" s="51">
        <f>F35*(1+G$40/100)</f>
        <v>0.89049550587693005</v>
      </c>
      <c r="H35" s="52">
        <v>0.65</v>
      </c>
      <c r="I35" s="51">
        <f>H35*(1+I$40/100)</f>
        <v>0.87568287623876473</v>
      </c>
      <c r="J35" s="52">
        <v>0.65</v>
      </c>
      <c r="K35" s="51">
        <f>J35*(1+K$40/100)</f>
        <v>0.84580594607052317</v>
      </c>
      <c r="L35" s="52">
        <v>0.65</v>
      </c>
      <c r="M35" s="51">
        <f>L35*(1+M$40/100)</f>
        <v>0.8607024660059921</v>
      </c>
    </row>
    <row r="36" spans="2:13" s="85" customFormat="1" ht="30" customHeight="1" x14ac:dyDescent="0.2">
      <c r="B36" s="53" t="s">
        <v>70</v>
      </c>
      <c r="C36" s="56" t="s">
        <v>204</v>
      </c>
      <c r="D36" s="57">
        <v>3</v>
      </c>
      <c r="E36" s="55">
        <f>D36*(1+E$40/100)</f>
        <v>4.1783452408389028</v>
      </c>
      <c r="F36" s="57">
        <v>3</v>
      </c>
      <c r="G36" s="55">
        <f>F36*(1+G$40/100)</f>
        <v>4.1099792578935235</v>
      </c>
      <c r="H36" s="57">
        <v>3</v>
      </c>
      <c r="I36" s="55">
        <f>H36*(1+I$40/100)</f>
        <v>4.0416132749481442</v>
      </c>
      <c r="J36" s="57">
        <v>3</v>
      </c>
      <c r="K36" s="55">
        <f>J36*(1+K$40/100)</f>
        <v>3.9037197510947221</v>
      </c>
      <c r="L36" s="57">
        <v>3</v>
      </c>
      <c r="M36" s="55">
        <f>L36*(1+M$40/100)</f>
        <v>3.9724729200276556</v>
      </c>
    </row>
    <row r="37" spans="2:13" s="85" customFormat="1" ht="30" customHeight="1" x14ac:dyDescent="0.2">
      <c r="B37" s="53" t="s">
        <v>205</v>
      </c>
      <c r="C37" s="56" t="s">
        <v>206</v>
      </c>
      <c r="D37" s="62">
        <v>5</v>
      </c>
      <c r="E37" s="55">
        <f>D37*(1+E$40/100)</f>
        <v>6.9639087347315041</v>
      </c>
      <c r="F37" s="62">
        <v>5</v>
      </c>
      <c r="G37" s="55">
        <f>F37*(1+G$40/100)</f>
        <v>6.8499654298225385</v>
      </c>
      <c r="H37" s="62">
        <v>5</v>
      </c>
      <c r="I37" s="55">
        <f>H37*(1+I$40/100)</f>
        <v>6.7360221249135748</v>
      </c>
      <c r="J37" s="62">
        <v>5</v>
      </c>
      <c r="K37" s="55">
        <f>J37*(1+K$40/100)</f>
        <v>6.5061995851578702</v>
      </c>
      <c r="L37" s="62">
        <v>5</v>
      </c>
      <c r="M37" s="55">
        <f>L37*(1+M$40/100)</f>
        <v>6.6207882000460927</v>
      </c>
    </row>
    <row r="38" spans="2:13" s="85" customFormat="1" ht="30" customHeight="1" x14ac:dyDescent="0.2">
      <c r="B38" s="69" t="s">
        <v>209</v>
      </c>
      <c r="C38" s="56" t="s">
        <v>212</v>
      </c>
      <c r="D38" s="57">
        <v>2.7</v>
      </c>
      <c r="E38" s="55">
        <f>D38*(1+E$40/100)</f>
        <v>3.7605107167550127</v>
      </c>
      <c r="F38" s="57">
        <v>2.7</v>
      </c>
      <c r="G38" s="55">
        <f>F38*(1+G$40/100)</f>
        <v>3.6989813321041711</v>
      </c>
      <c r="H38" s="57">
        <v>2.7</v>
      </c>
      <c r="I38" s="55">
        <f>H38*(1+I$40/100)</f>
        <v>3.6374519474533304</v>
      </c>
      <c r="J38" s="57">
        <v>2.7</v>
      </c>
      <c r="K38" s="55">
        <f>J38*(1+K$40/100)</f>
        <v>3.5133477759852503</v>
      </c>
      <c r="L38" s="57">
        <v>2.7</v>
      </c>
      <c r="M38" s="55">
        <f>L38*(1+M$40/100)</f>
        <v>3.5752256280248904</v>
      </c>
    </row>
    <row r="39" spans="2:13" s="85" customFormat="1" ht="30" customHeight="1" x14ac:dyDescent="0.2">
      <c r="B39" s="58"/>
      <c r="C39" s="59" t="s">
        <v>207</v>
      </c>
      <c r="D39" s="60">
        <f t="shared" ref="D39:I39" si="13">SUM(D35:D38)</f>
        <v>11.350000000000001</v>
      </c>
      <c r="E39" s="60">
        <f t="shared" si="13"/>
        <v>15.808072827840515</v>
      </c>
      <c r="F39" s="60">
        <f t="shared" si="13"/>
        <v>11.350000000000001</v>
      </c>
      <c r="G39" s="60">
        <f t="shared" si="13"/>
        <v>15.549421525697163</v>
      </c>
      <c r="H39" s="60">
        <f t="shared" si="13"/>
        <v>11.350000000000001</v>
      </c>
      <c r="I39" s="60">
        <f t="shared" si="13"/>
        <v>15.290770223553814</v>
      </c>
      <c r="J39" s="60">
        <f t="shared" ref="J39:K39" si="14">SUM(J35:J38)</f>
        <v>11.350000000000001</v>
      </c>
      <c r="K39" s="60">
        <f t="shared" si="14"/>
        <v>14.769073058308367</v>
      </c>
      <c r="L39" s="60">
        <f>SUM(L35:L38)</f>
        <v>11.350000000000001</v>
      </c>
      <c r="M39" s="60">
        <f>SUM(M35:M38)</f>
        <v>15.029189214104631</v>
      </c>
    </row>
    <row r="40" spans="2:13" s="90" customFormat="1" ht="30" customHeight="1" x14ac:dyDescent="0.2">
      <c r="B40" s="105" t="s">
        <v>208</v>
      </c>
      <c r="C40" s="106"/>
      <c r="D40" s="66">
        <f>D30+D33+D39</f>
        <v>28.201241709799973</v>
      </c>
      <c r="E40" s="66">
        <f>((1+(E26/100+E32/100-($C27/100*E32/100)))/(1-($C27/100+D29/100+D28/100+D35/100+D36/100+D37/100+D38/100))-1)*100</f>
        <v>39.278174694630088</v>
      </c>
      <c r="F40" s="66">
        <f>F30+F33+F39</f>
        <v>27.006930892941241</v>
      </c>
      <c r="G40" s="66">
        <f>((1+(G26/100+G32/100-($C27/100*G32/100)))/(1-($C27/100+F29/100+F28/100+F35/100+F36/100+F37/100+F38/100))-1)*100</f>
        <v>36.999308596450774</v>
      </c>
      <c r="H40" s="66">
        <f>H30+H33+H39</f>
        <v>25.772215303343415</v>
      </c>
      <c r="I40" s="66">
        <f>((1+(I26/100+I32/100-($C27/100*I32/100)))/(1-($C27/100+H29/100+H28/100+H35/100+H36/100+H37/100+H38/100))-1)*100</f>
        <v>34.720442498271488</v>
      </c>
      <c r="J40" s="66">
        <f>J30+J33+J39</f>
        <v>23.150221038313308</v>
      </c>
      <c r="K40" s="66">
        <f>((1+(K26/100+K32/100-($C27/100*K32/100)))/(1-($C27/100+J29/100+J28/100+J35/100+J36/100+J37/100+J38/100))-1)*100</f>
        <v>30.123991703157404</v>
      </c>
      <c r="L40" s="66">
        <f>L30+L33+L39</f>
        <v>24.480290730865079</v>
      </c>
      <c r="M40" s="66">
        <f>((1+(M26/100+M32/100-($C27/100*M32/100)))/(1-($C27/100+L29/100+L28/100+L35/100+L36/100+L37/100+L38/100))-1)*100</f>
        <v>32.415764000921854</v>
      </c>
    </row>
    <row r="41" spans="2:13" s="91" customFormat="1" ht="15.95" customHeight="1" x14ac:dyDescent="0.2">
      <c r="B41" s="76"/>
      <c r="C41" s="78"/>
      <c r="D41" s="76"/>
      <c r="E41" s="76"/>
      <c r="F41" s="76"/>
      <c r="G41" s="76"/>
      <c r="J41" s="77"/>
      <c r="K41" s="77"/>
      <c r="L41" s="77"/>
      <c r="M41" s="77"/>
    </row>
    <row r="42" spans="2:13" ht="15.95" customHeight="1" x14ac:dyDescent="0.2">
      <c r="B42" s="79" t="s">
        <v>210</v>
      </c>
      <c r="J42" s="81"/>
      <c r="K42" s="81"/>
      <c r="L42" s="81"/>
      <c r="M42" s="81"/>
    </row>
    <row r="43" spans="2:13" ht="15.95" customHeight="1" x14ac:dyDescent="0.2">
      <c r="B43" s="79" t="s">
        <v>211</v>
      </c>
    </row>
    <row r="44" spans="2:13" ht="15.95" customHeight="1" x14ac:dyDescent="0.2">
      <c r="B44" s="79" t="str">
        <f>'Construção e Restauração Rod'!B44</f>
        <v>SELIC (junho/2026) = 14,25% a.a.</v>
      </c>
      <c r="D44" s="74">
        <f>'Construção e Restauração Rod'!D44</f>
        <v>0.14249999999999999</v>
      </c>
    </row>
    <row r="45" spans="2:13" ht="32.1" customHeight="1" x14ac:dyDescent="0.2">
      <c r="B45" s="107" t="str">
        <f>'Construção e Restauração Rod'!B45:C45</f>
        <v>DF = [(1+SELIC)^(1/12)-1] sobre (PV - Lucro), o que resulta em DF =  1,12% sobre (PV - Lucro)</v>
      </c>
      <c r="C45" s="107"/>
      <c r="D45" s="73">
        <f>ROUND(((1+D44)^(1/12)-1),4)</f>
        <v>1.12E-2</v>
      </c>
    </row>
    <row r="46" spans="2:13" ht="230.1" customHeight="1" x14ac:dyDescent="0.2">
      <c r="B46" s="108" t="s">
        <v>224</v>
      </c>
      <c r="C46" s="108"/>
      <c r="J46" s="75"/>
      <c r="K46" s="75"/>
      <c r="L46" s="75"/>
      <c r="M46" s="75"/>
    </row>
    <row r="47" spans="2:13" x14ac:dyDescent="0.2">
      <c r="C47" s="79"/>
      <c r="J47" s="79"/>
      <c r="K47" s="79"/>
      <c r="L47" s="79"/>
      <c r="M47" s="79"/>
    </row>
    <row r="48" spans="2:13" x14ac:dyDescent="0.2">
      <c r="C48" s="79"/>
      <c r="J48" s="79"/>
      <c r="K48" s="79"/>
      <c r="L48" s="79"/>
      <c r="M48" s="79"/>
    </row>
    <row r="49" spans="3:13" x14ac:dyDescent="0.2">
      <c r="C49" s="79"/>
      <c r="J49" s="79"/>
      <c r="K49" s="79"/>
      <c r="L49" s="79"/>
      <c r="M49" s="79"/>
    </row>
    <row r="50" spans="3:13" x14ac:dyDescent="0.2">
      <c r="C50" s="79"/>
      <c r="J50" s="79"/>
      <c r="K50" s="79"/>
      <c r="L50" s="79"/>
      <c r="M50" s="79"/>
    </row>
    <row r="51" spans="3:13" x14ac:dyDescent="0.2">
      <c r="C51" s="79"/>
      <c r="J51" s="79"/>
      <c r="K51" s="79"/>
      <c r="L51" s="79"/>
      <c r="M51" s="79"/>
    </row>
    <row r="52" spans="3:13" x14ac:dyDescent="0.2">
      <c r="C52" s="79"/>
      <c r="J52" s="79"/>
      <c r="K52" s="79"/>
      <c r="L52" s="79"/>
      <c r="M52" s="79"/>
    </row>
    <row r="53" spans="3:13" x14ac:dyDescent="0.2">
      <c r="C53" s="79"/>
      <c r="J53" s="79"/>
      <c r="K53" s="79"/>
      <c r="L53" s="79"/>
      <c r="M53" s="79"/>
    </row>
    <row r="54" spans="3:13" x14ac:dyDescent="0.2">
      <c r="C54" s="79"/>
      <c r="J54" s="79"/>
      <c r="K54" s="79"/>
      <c r="L54" s="79"/>
      <c r="M54" s="79"/>
    </row>
    <row r="55" spans="3:13" x14ac:dyDescent="0.2">
      <c r="C55" s="79"/>
      <c r="J55" s="79"/>
      <c r="K55" s="79"/>
      <c r="L55" s="79"/>
      <c r="M55" s="79"/>
    </row>
    <row r="56" spans="3:13" x14ac:dyDescent="0.2">
      <c r="C56" s="79"/>
      <c r="J56" s="79"/>
      <c r="K56" s="79"/>
      <c r="L56" s="79"/>
      <c r="M56" s="79"/>
    </row>
    <row r="57" spans="3:13" x14ac:dyDescent="0.2">
      <c r="K57" s="81"/>
      <c r="M57" s="81"/>
    </row>
  </sheetData>
  <mergeCells count="16">
    <mergeCell ref="L4:M5"/>
    <mergeCell ref="B6:C6"/>
    <mergeCell ref="B12:C12"/>
    <mergeCell ref="B15:C15"/>
    <mergeCell ref="B20:C20"/>
    <mergeCell ref="L23:M24"/>
    <mergeCell ref="B25:C25"/>
    <mergeCell ref="B31:C31"/>
    <mergeCell ref="B34:C34"/>
    <mergeCell ref="B40:C40"/>
    <mergeCell ref="B45:C45"/>
    <mergeCell ref="B46:C46"/>
    <mergeCell ref="J4:K5"/>
    <mergeCell ref="J23:K24"/>
    <mergeCell ref="B23:C24"/>
    <mergeCell ref="B4:C5"/>
  </mergeCells>
  <pageMargins left="0.511811024" right="0.511811024" top="0.78740157499999996" bottom="0.78740157499999996" header="0.31496062000000002" footer="0.31496062000000002"/>
  <pageSetup paperSize="9" scale="42" orientation="portrait" r:id="rId1"/>
  <ignoredErrors>
    <ignoredError sqref="E7:I20 D26:K40 K8 J7:L7 J8 L8 L26:L32 J20 L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ANALISE ISS</vt:lpstr>
      <vt:lpstr>Construção e Restauração Rod</vt:lpstr>
      <vt:lpstr>Construção de Obras de Arte Esp</vt:lpstr>
      <vt:lpstr>Recuperação, Ref e Alarg OAE</vt:lpstr>
      <vt:lpstr>'ANALISE ISS'!Area_de_impressao</vt:lpstr>
      <vt:lpstr>'Construção de Obras de Arte Esp'!Area_de_impressao</vt:lpstr>
      <vt:lpstr>'Construção e Restauração Rod'!Area_de_impressao</vt:lpstr>
      <vt:lpstr>'Recuperação, Ref e Alarg OAE'!Area_de_impressao</vt:lpstr>
      <vt:lpstr>'ANALISE ISS'!Titulos_de_impressao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2022-12-13T18:34:40Z</dcterms:created>
  <dcterms:modified xsi:type="dcterms:W3CDTF">2026-08-05T19:20:55Z</dcterms:modified>
</cp:coreProperties>
</file>