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1369\setores_viaria\GPOV\Planejamento\PLANEJAMENTO\2025\Ponte\6 - Ponte Rio Anhanduí\Orçamento projeto, integrada e ambiental\PLANILHAS PROJETO E AMBIENTAL - ATUALIZADA - ABRIL-2026\"/>
    </mc:Choice>
  </mc:AlternateContent>
  <bookViews>
    <workbookView xWindow="0" yWindow="0" windowWidth="28800" windowHeight="12180" tabRatio="784"/>
  </bookViews>
  <sheets>
    <sheet name="1 Quadro Resumo" sheetId="1" r:id="rId1"/>
    <sheet name="2 Cronograma" sheetId="5" r:id="rId2"/>
    <sheet name="3 Resumo do Orçamento" sheetId="2" r:id="rId3"/>
    <sheet name="4 Equipe Técnica" sheetId="6" r:id="rId4"/>
    <sheet name="5 Veículos" sheetId="3" r:id="rId5"/>
    <sheet name="6 Equipamentos" sheetId="7" r:id="rId6"/>
    <sheet name="7 Instalações" sheetId="4" r:id="rId7"/>
    <sheet name="DNIT_EQUIP" sheetId="8" r:id="rId8"/>
    <sheet name="DNIT_MDO" sheetId="9" r:id="rId9"/>
  </sheets>
  <definedNames>
    <definedName name="_xlnm._FilterDatabase" localSheetId="8" hidden="1">DNIT_MDO!$B$1:$Z$103</definedName>
    <definedName name="_xlnm.Print_Area" localSheetId="0">'1 Quadro Resumo'!$A$1:$E$37</definedName>
    <definedName name="_xlnm.Print_Area" localSheetId="1">'2 Cronograma'!$A$1:$G$25</definedName>
    <definedName name="_xlnm.Print_Area" localSheetId="2">'3 Resumo do Orçamento'!$A$1:$I$22</definedName>
    <definedName name="_xlnm.Print_Area" localSheetId="3">'4 Equipe Técnica'!$A$1:$M$42</definedName>
    <definedName name="_xlnm.Print_Area" localSheetId="4">'5 Veículos'!$A$1:$L$10</definedName>
    <definedName name="_xlnm.Print_Area" localSheetId="5">'6 Equipamentos'!$A$1:$H$11</definedName>
    <definedName name="_xlnm.Print_Area" localSheetId="6">'7 Instalações'!$A$1:$K$14</definedName>
    <definedName name="_xlnm.Print_Area" localSheetId="7">DNIT_EQUIP!$A$1:$H$24</definedName>
    <definedName name="_xlnm.Print_Area" localSheetId="8">DNIT_MDO!$A$1:$Z$103</definedName>
    <definedName name="_xlnm.Print_Titles" localSheetId="8">DNIT_MDO!$1:$3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4" l="1"/>
  <c r="K9" i="4"/>
  <c r="H10" i="7"/>
  <c r="H9" i="7"/>
  <c r="L9" i="3"/>
  <c r="L12" i="6"/>
  <c r="L13" i="6"/>
  <c r="L14" i="6"/>
  <c r="L15" i="6"/>
  <c r="L16" i="6"/>
  <c r="L17" i="6"/>
  <c r="L18" i="6"/>
  <c r="L20" i="6"/>
  <c r="L21" i="6"/>
  <c r="L22" i="6"/>
  <c r="L11" i="6"/>
  <c r="B10" i="5" l="1"/>
  <c r="D12" i="6" l="1"/>
  <c r="C12" i="6" s="1"/>
  <c r="F12" i="6"/>
  <c r="K12" i="6" l="1"/>
  <c r="B1" i="8"/>
  <c r="H37" i="5" l="1"/>
  <c r="H11" i="2" l="1"/>
  <c r="D25" i="6" l="1"/>
  <c r="D20" i="6"/>
  <c r="D16" i="6"/>
  <c r="D15" i="6"/>
  <c r="K5" i="6" l="1"/>
  <c r="H12" i="6" l="1"/>
  <c r="I12" i="6" s="1"/>
  <c r="J12" i="6" s="1"/>
  <c r="M12" i="6" s="1"/>
  <c r="H9" i="6"/>
  <c r="H41" i="6"/>
  <c r="H11" i="6"/>
  <c r="H25" i="6"/>
  <c r="H27" i="6"/>
  <c r="H13" i="6"/>
  <c r="H31" i="6"/>
  <c r="H33" i="6"/>
  <c r="H35" i="6"/>
  <c r="H37" i="6"/>
  <c r="H21" i="6"/>
  <c r="H38" i="6"/>
  <c r="H26" i="6"/>
  <c r="H29" i="6"/>
  <c r="H30" i="6"/>
  <c r="H32" i="6"/>
  <c r="H17" i="6"/>
  <c r="H36" i="6"/>
  <c r="H20" i="6"/>
  <c r="H22" i="6"/>
  <c r="H39" i="6"/>
  <c r="H28" i="6"/>
  <c r="H14" i="6"/>
  <c r="H15" i="6"/>
  <c r="H16" i="6"/>
  <c r="H34" i="6"/>
  <c r="H18" i="6"/>
  <c r="H19" i="6"/>
  <c r="H23" i="6"/>
  <c r="J5" i="3"/>
  <c r="D32" i="6"/>
  <c r="C32" i="6" s="1"/>
  <c r="F32" i="6"/>
  <c r="C40" i="6"/>
  <c r="I32" i="6" l="1"/>
  <c r="J32" i="6" s="1"/>
  <c r="K32" i="6"/>
  <c r="D21" i="6"/>
  <c r="C21" i="6" s="1"/>
  <c r="D19" i="6"/>
  <c r="C19" i="6" s="1"/>
  <c r="D18" i="6"/>
  <c r="C18" i="6" s="1"/>
  <c r="F38" i="6"/>
  <c r="D38" i="6"/>
  <c r="F27" i="6"/>
  <c r="D27" i="6"/>
  <c r="C27" i="6" s="1"/>
  <c r="D23" i="6"/>
  <c r="D22" i="6"/>
  <c r="C22" i="6" s="1"/>
  <c r="F23" i="6"/>
  <c r="F22" i="6"/>
  <c r="F21" i="6"/>
  <c r="F20" i="6"/>
  <c r="L32" i="6" l="1"/>
  <c r="M32" i="6" s="1"/>
  <c r="K23" i="6"/>
  <c r="C23" i="6"/>
  <c r="K38" i="6"/>
  <c r="C38" i="6"/>
  <c r="K20" i="6"/>
  <c r="C20" i="6"/>
  <c r="D24" i="6"/>
  <c r="C24" i="6" s="1"/>
  <c r="K27" i="6"/>
  <c r="K21" i="6"/>
  <c r="K22" i="6"/>
  <c r="D10" i="6" l="1"/>
  <c r="C10" i="6" s="1"/>
  <c r="F10" i="6"/>
  <c r="H10" i="6"/>
  <c r="K10" i="6" l="1"/>
  <c r="I10" i="6"/>
  <c r="J10" i="6" s="1"/>
  <c r="L10" i="6" l="1"/>
  <c r="M10" i="6" s="1"/>
  <c r="G24" i="6" l="1"/>
  <c r="F35" i="6" l="1"/>
  <c r="F34" i="6"/>
  <c r="F33" i="6"/>
  <c r="F31" i="6"/>
  <c r="F30" i="6"/>
  <c r="I27" i="6" l="1"/>
  <c r="J27" i="6" s="1"/>
  <c r="L27" i="6" s="1"/>
  <c r="M27" i="6" s="1"/>
  <c r="H24" i="6"/>
  <c r="F41" i="6"/>
  <c r="F39" i="6"/>
  <c r="F37" i="6"/>
  <c r="F36" i="6"/>
  <c r="F24" i="6"/>
  <c r="F29" i="6"/>
  <c r="F28" i="6"/>
  <c r="F26" i="6"/>
  <c r="F25" i="6"/>
  <c r="F19" i="6"/>
  <c r="F18" i="6"/>
  <c r="F17" i="6"/>
  <c r="F16" i="6"/>
  <c r="F15" i="6"/>
  <c r="F14" i="6"/>
  <c r="F13" i="6"/>
  <c r="F11" i="6"/>
  <c r="F9" i="6"/>
  <c r="I20" i="6" l="1"/>
  <c r="J20" i="6" s="1"/>
  <c r="M20" i="6" s="1"/>
  <c r="I21" i="6"/>
  <c r="J21" i="6" s="1"/>
  <c r="M21" i="6" s="1"/>
  <c r="I23" i="6"/>
  <c r="J23" i="6" s="1"/>
  <c r="L23" i="6" s="1"/>
  <c r="M23" i="6" s="1"/>
  <c r="I22" i="6"/>
  <c r="J22" i="6" s="1"/>
  <c r="M22" i="6" s="1"/>
  <c r="I38" i="6"/>
  <c r="J38" i="6" s="1"/>
  <c r="L38" i="6" s="1"/>
  <c r="M38" i="6" s="1"/>
  <c r="N23" i="6" l="1"/>
  <c r="C19" i="2" s="1"/>
  <c r="H19" i="2" s="1"/>
  <c r="I19" i="2" s="1"/>
  <c r="J27" i="5" l="1"/>
  <c r="C9" i="3" l="1"/>
  <c r="G10" i="7"/>
  <c r="G9" i="7"/>
  <c r="C9" i="7"/>
  <c r="E10" i="5"/>
  <c r="H10" i="2"/>
  <c r="K4" i="6"/>
  <c r="J4" i="3"/>
  <c r="I4" i="4"/>
  <c r="G4" i="7"/>
  <c r="B3" i="8"/>
  <c r="B14" i="8"/>
  <c r="I13" i="2" l="1"/>
  <c r="C17" i="5" l="1"/>
  <c r="G10" i="5"/>
  <c r="K9" i="3"/>
  <c r="G5" i="7"/>
  <c r="F10" i="7" s="1"/>
  <c r="I5" i="4"/>
  <c r="J12" i="4" s="1"/>
  <c r="F9" i="7" l="1"/>
  <c r="J9" i="4"/>
  <c r="B17" i="1" l="1"/>
  <c r="D41" i="6"/>
  <c r="C41" i="6" s="1"/>
  <c r="C16" i="6"/>
  <c r="I16" i="6"/>
  <c r="J16" i="6" s="1"/>
  <c r="D39" i="6"/>
  <c r="C39" i="6" s="1"/>
  <c r="K39" i="6" l="1"/>
  <c r="K41" i="6"/>
  <c r="K16" i="6"/>
  <c r="M16" i="6" s="1"/>
  <c r="D17" i="6" l="1"/>
  <c r="C17" i="6" s="1"/>
  <c r="I17" i="6"/>
  <c r="J17" i="6" s="1"/>
  <c r="K17" i="6" l="1"/>
  <c r="M17" i="6" s="1"/>
  <c r="F42" i="6" l="1"/>
  <c r="D37" i="6"/>
  <c r="C37" i="6" s="1"/>
  <c r="D36" i="6"/>
  <c r="C36" i="6" s="1"/>
  <c r="C25" i="6"/>
  <c r="D35" i="6"/>
  <c r="C35" i="6" s="1"/>
  <c r="D34" i="6"/>
  <c r="C34" i="6" s="1"/>
  <c r="D33" i="6"/>
  <c r="C33" i="6" s="1"/>
  <c r="D31" i="6"/>
  <c r="C31" i="6" s="1"/>
  <c r="D30" i="6"/>
  <c r="C30" i="6" s="1"/>
  <c r="I30" i="6"/>
  <c r="J30" i="6" s="1"/>
  <c r="D29" i="6"/>
  <c r="C29" i="6" s="1"/>
  <c r="D28" i="6"/>
  <c r="C28" i="6" s="1"/>
  <c r="D26" i="6"/>
  <c r="C26" i="6" s="1"/>
  <c r="K34" i="6" l="1"/>
  <c r="K33" i="6"/>
  <c r="K35" i="6"/>
  <c r="K36" i="6"/>
  <c r="K37" i="6"/>
  <c r="H12" i="4"/>
  <c r="H9" i="4"/>
  <c r="K26" i="6"/>
  <c r="K30" i="6"/>
  <c r="K28" i="6"/>
  <c r="K29" i="6"/>
  <c r="K31" i="6"/>
  <c r="K25" i="6"/>
  <c r="L30" i="6" l="1"/>
  <c r="M30" i="6" s="1"/>
  <c r="C15" i="6"/>
  <c r="I35" i="6"/>
  <c r="J35" i="6" s="1"/>
  <c r="I36" i="6"/>
  <c r="J36" i="6" s="1"/>
  <c r="I37" i="6"/>
  <c r="J37" i="6" s="1"/>
  <c r="I39" i="6"/>
  <c r="J39" i="6" s="1"/>
  <c r="I41" i="6"/>
  <c r="J41" i="6" s="1"/>
  <c r="L41" i="6" s="1"/>
  <c r="M41" i="6" s="1"/>
  <c r="I34" i="6"/>
  <c r="J34" i="6" s="1"/>
  <c r="D14" i="6"/>
  <c r="C14" i="6" s="1"/>
  <c r="D13" i="6"/>
  <c r="C13" i="6" s="1"/>
  <c r="D11" i="6"/>
  <c r="C11" i="6" s="1"/>
  <c r="K18" i="6" l="1"/>
  <c r="K19" i="6"/>
  <c r="K14" i="6"/>
  <c r="K11" i="6"/>
  <c r="K15" i="6"/>
  <c r="K13" i="6"/>
  <c r="L37" i="6"/>
  <c r="M37" i="6" s="1"/>
  <c r="L35" i="6"/>
  <c r="M35" i="6" s="1"/>
  <c r="L39" i="6"/>
  <c r="M39" i="6" s="1"/>
  <c r="L36" i="6"/>
  <c r="M36" i="6" s="1"/>
  <c r="L34" i="6"/>
  <c r="M34" i="6" s="1"/>
  <c r="D9" i="6"/>
  <c r="C9" i="6" s="1"/>
  <c r="K9" i="6" l="1"/>
  <c r="E9" i="3"/>
  <c r="D9" i="3"/>
  <c r="H23" i="1" l="1"/>
  <c r="F12" i="4"/>
  <c r="F9" i="4"/>
  <c r="B26" i="1" l="1"/>
  <c r="C26" i="1" s="1"/>
  <c r="B25" i="1"/>
  <c r="B24" i="1"/>
  <c r="B23" i="1"/>
  <c r="B22" i="1"/>
  <c r="B21" i="1"/>
  <c r="I9" i="6"/>
  <c r="J9" i="6" s="1"/>
  <c r="L9" i="6" s="1"/>
  <c r="I33" i="6"/>
  <c r="J33" i="6" s="1"/>
  <c r="I31" i="6"/>
  <c r="J31" i="6" s="1"/>
  <c r="I29" i="6"/>
  <c r="J29" i="6" s="1"/>
  <c r="I26" i="6"/>
  <c r="J26" i="6" s="1"/>
  <c r="I18" i="6"/>
  <c r="J18" i="6" s="1"/>
  <c r="I13" i="6"/>
  <c r="J13" i="6" s="1"/>
  <c r="I11" i="6"/>
  <c r="J11" i="6" s="1"/>
  <c r="I15" i="6"/>
  <c r="J15" i="6" s="1"/>
  <c r="K24" i="6" l="1"/>
  <c r="L29" i="6"/>
  <c r="M29" i="6" s="1"/>
  <c r="H11" i="7"/>
  <c r="E17" i="2" s="1"/>
  <c r="L26" i="6"/>
  <c r="M26" i="6" s="1"/>
  <c r="L31" i="6"/>
  <c r="M31" i="6" s="1"/>
  <c r="M18" i="6"/>
  <c r="L33" i="6"/>
  <c r="M33" i="6" s="1"/>
  <c r="M15" i="6"/>
  <c r="M9" i="6"/>
  <c r="M13" i="6"/>
  <c r="M11" i="6"/>
  <c r="I24" i="6"/>
  <c r="J24" i="6" s="1"/>
  <c r="I25" i="6"/>
  <c r="J25" i="6" s="1"/>
  <c r="I28" i="6"/>
  <c r="J28" i="6" s="1"/>
  <c r="L28" i="6" s="1"/>
  <c r="M28" i="6" s="1"/>
  <c r="I14" i="6"/>
  <c r="J14" i="6" s="1"/>
  <c r="M14" i="6" s="1"/>
  <c r="N13" i="6" l="1"/>
  <c r="N41" i="6"/>
  <c r="C21" i="2" s="1"/>
  <c r="C17" i="2"/>
  <c r="O41" i="6"/>
  <c r="L24" i="6"/>
  <c r="M24" i="6" s="1"/>
  <c r="L25" i="6"/>
  <c r="M25" i="6" s="1"/>
  <c r="N29" i="6" s="1"/>
  <c r="C20" i="2" s="1"/>
  <c r="D29" i="1"/>
  <c r="E29" i="1" s="1"/>
  <c r="N24" i="6" l="1"/>
  <c r="H20" i="2"/>
  <c r="I20" i="2" s="1"/>
  <c r="C19" i="5" s="1"/>
  <c r="M9" i="4"/>
  <c r="H21" i="2"/>
  <c r="A7" i="2"/>
  <c r="I3" i="4"/>
  <c r="I2" i="4"/>
  <c r="B3" i="4"/>
  <c r="B4" i="4"/>
  <c r="B5" i="4"/>
  <c r="B2" i="4"/>
  <c r="A1" i="3"/>
  <c r="A1" i="7"/>
  <c r="G3" i="7"/>
  <c r="G2" i="7"/>
  <c r="B3" i="7"/>
  <c r="B4" i="7"/>
  <c r="B5" i="7"/>
  <c r="B2" i="7"/>
  <c r="J3" i="3"/>
  <c r="J2" i="3"/>
  <c r="B5" i="3"/>
  <c r="B4" i="3"/>
  <c r="B3" i="3"/>
  <c r="B2" i="3"/>
  <c r="K3" i="6"/>
  <c r="K2" i="6"/>
  <c r="B3" i="6"/>
  <c r="B4" i="6"/>
  <c r="B5" i="6"/>
  <c r="B2" i="6"/>
  <c r="H9" i="2"/>
  <c r="H8" i="2"/>
  <c r="B9" i="2"/>
  <c r="B10" i="2"/>
  <c r="B11" i="2"/>
  <c r="B8" i="2"/>
  <c r="B9" i="5"/>
  <c r="D9" i="5"/>
  <c r="D10" i="5"/>
  <c r="A7" i="5"/>
  <c r="A1" i="4" s="1"/>
  <c r="K13" i="4"/>
  <c r="I21" i="2" l="1"/>
  <c r="D19" i="1"/>
  <c r="K10" i="4"/>
  <c r="K11" i="4" s="1"/>
  <c r="K14" i="4" s="1"/>
  <c r="C21" i="5" l="1"/>
  <c r="E19" i="1"/>
  <c r="D30" i="1"/>
  <c r="E30" i="1" s="1"/>
  <c r="F17" i="2"/>
  <c r="I9" i="3"/>
  <c r="H9" i="3"/>
  <c r="L10" i="3" l="1"/>
  <c r="D17" i="2" l="1"/>
  <c r="H17" i="2" s="1"/>
  <c r="I17" i="2" s="1"/>
  <c r="D28" i="1"/>
  <c r="E28" i="1" s="1"/>
  <c r="E27" i="1" s="1"/>
  <c r="C13" i="5" l="1"/>
  <c r="D22" i="2"/>
  <c r="E22" i="2"/>
  <c r="F22" i="2" l="1"/>
  <c r="D24" i="2" s="1"/>
  <c r="F27" i="1" l="1"/>
  <c r="I19" i="6" l="1"/>
  <c r="J19" i="6" s="1"/>
  <c r="L19" i="6" l="1"/>
  <c r="M19" i="6" s="1"/>
  <c r="M42" i="6" l="1"/>
  <c r="C23" i="2" s="1"/>
  <c r="O29" i="6"/>
  <c r="N19" i="6"/>
  <c r="C18" i="2" s="1"/>
  <c r="N42" i="6"/>
  <c r="N44" i="6"/>
  <c r="O35" i="6"/>
  <c r="C22" i="2" l="1"/>
  <c r="F16" i="1" s="1"/>
  <c r="D31" i="2"/>
  <c r="D18" i="1"/>
  <c r="E16" i="1" s="1"/>
  <c r="E32" i="1" s="1"/>
  <c r="D35" i="1" s="1"/>
  <c r="E34" i="1" s="1"/>
  <c r="E37" i="1" s="1"/>
  <c r="D40" i="1" s="1"/>
  <c r="H18" i="2"/>
  <c r="I18" i="2" s="1"/>
  <c r="E18" i="1"/>
  <c r="H22" i="2" l="1"/>
  <c r="C15" i="5"/>
  <c r="C27" i="5" s="1"/>
  <c r="I22" i="2"/>
  <c r="F37" i="1" s="1"/>
  <c r="G18" i="2"/>
  <c r="G19" i="2"/>
  <c r="G20" i="2"/>
  <c r="G21" i="2"/>
  <c r="G17" i="2"/>
  <c r="F32" i="1"/>
  <c r="H24" i="2"/>
  <c r="I24" i="2"/>
  <c r="I27" i="2" s="1"/>
  <c r="J17" i="2"/>
  <c r="K17" i="2"/>
  <c r="J22" i="2"/>
  <c r="E16" i="5"/>
  <c r="G16" i="5" s="1"/>
  <c r="E20" i="5"/>
  <c r="G20" i="5" s="1"/>
  <c r="E18" i="5"/>
  <c r="G18" i="5" s="1"/>
  <c r="D15" i="5" l="1"/>
  <c r="I25" i="2"/>
  <c r="I26" i="2"/>
  <c r="H25" i="5"/>
  <c r="D19" i="5"/>
  <c r="D17" i="5"/>
  <c r="D21" i="5"/>
  <c r="D13" i="5"/>
  <c r="C23" i="5"/>
  <c r="E14" i="5"/>
  <c r="B30" i="5"/>
  <c r="G31" i="2"/>
  <c r="G33" i="2" s="1"/>
  <c r="G34" i="2" s="1"/>
  <c r="G35" i="2" s="1"/>
  <c r="G31" i="5" s="1"/>
  <c r="G22" i="2"/>
  <c r="D23" i="5" l="1"/>
  <c r="E22" i="5"/>
  <c r="G14" i="5"/>
  <c r="D32" i="5"/>
  <c r="F29" i="5"/>
  <c r="G22" i="5" l="1"/>
  <c r="E24" i="5"/>
  <c r="E25" i="5" s="1"/>
  <c r="F27" i="5" s="1"/>
  <c r="G24" i="5"/>
  <c r="G28" i="5" s="1"/>
  <c r="G25" i="5" l="1"/>
  <c r="F26" i="5"/>
</calcChain>
</file>

<file path=xl/comments1.xml><?xml version="1.0" encoding="utf-8"?>
<comments xmlns="http://schemas.openxmlformats.org/spreadsheetml/2006/main">
  <authors>
    <author>Halberth</author>
  </authors>
  <commentList>
    <comment ref="C35" authorId="0" shapeId="0">
      <text>
        <r>
          <rPr>
            <b/>
            <sz val="11"/>
            <color indexed="81"/>
            <rFont val="Segoe UI"/>
            <family val="2"/>
          </rPr>
          <t>OPERADOR INSERIR O BDI EM %</t>
        </r>
        <r>
          <rPr>
            <sz val="11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<sst xmlns="http://schemas.openxmlformats.org/spreadsheetml/2006/main" count="636" uniqueCount="397">
  <si>
    <t>Referência:</t>
  </si>
  <si>
    <t>Tabela de consultoria</t>
  </si>
  <si>
    <t>DNIT SICRO</t>
  </si>
  <si>
    <t>Município:</t>
  </si>
  <si>
    <t>Rodovia:</t>
  </si>
  <si>
    <t>Trecho:</t>
  </si>
  <si>
    <t>Data Base:</t>
  </si>
  <si>
    <t xml:space="preserve">Prazo: </t>
  </si>
  <si>
    <t xml:space="preserve">Extensão: </t>
  </si>
  <si>
    <t>DISCRIMINAÇÃO</t>
  </si>
  <si>
    <t>PARCIAL</t>
  </si>
  <si>
    <t>TOTAL</t>
  </si>
  <si>
    <t>P8058</t>
  </si>
  <si>
    <t>Engenheiro ambiental pleno</t>
  </si>
  <si>
    <t>P8143</t>
  </si>
  <si>
    <t>Técnico ambiental</t>
  </si>
  <si>
    <t>P8113</t>
  </si>
  <si>
    <t>B.2 - VEÍCULOS</t>
  </si>
  <si>
    <t>B.3 - EQUIPAMENTOS</t>
  </si>
  <si>
    <t>B.4 - INSTALAÇÕES</t>
  </si>
  <si>
    <r>
      <rPr>
        <b/>
        <sz val="11"/>
        <color rgb="FFFFFFFF"/>
        <rFont val="Calibri"/>
        <family val="2"/>
        <scheme val="minor"/>
      </rPr>
      <t>A - EQUIPE TÉCNICA</t>
    </r>
  </si>
  <si>
    <r>
      <rPr>
        <b/>
        <sz val="11"/>
        <color rgb="FFFFFFFF"/>
        <rFont val="Calibri"/>
        <family val="2"/>
        <scheme val="minor"/>
      </rPr>
      <t>B - DESPESAS GERAIS</t>
    </r>
  </si>
  <si>
    <r>
      <rPr>
        <b/>
        <sz val="11"/>
        <color rgb="FFFFFFFF"/>
        <rFont val="Calibri"/>
        <family val="2"/>
        <scheme val="minor"/>
      </rPr>
      <t>I - SUB-TOTAL DOS ITENS A+B</t>
    </r>
  </si>
  <si>
    <r>
      <rPr>
        <b/>
        <sz val="11"/>
        <color rgb="FFFFFFFF"/>
        <rFont val="Calibri"/>
        <family val="2"/>
        <scheme val="minor"/>
      </rPr>
      <t>II -BENEFÍCIOS E DESPESAS INDIRETAS - BDI</t>
    </r>
  </si>
  <si>
    <r>
      <rPr>
        <b/>
        <sz val="11"/>
        <color rgb="FFFFFFFF"/>
        <rFont val="Calibri"/>
        <family val="2"/>
        <scheme val="minor"/>
      </rPr>
      <t>TOTAL DO ORÇAMENTO</t>
    </r>
  </si>
  <si>
    <t>VALORES</t>
  </si>
  <si>
    <t>Acórdão nº 1.560/2019-TCU-Plenário</t>
  </si>
  <si>
    <r>
      <rPr>
        <b/>
        <sz val="11"/>
        <color rgb="FFFFFFFF"/>
        <rFont val="Calibri"/>
        <family val="2"/>
        <scheme val="minor"/>
      </rPr>
      <t>ORÇAMENTO</t>
    </r>
  </si>
  <si>
    <t>Item do Projeto</t>
  </si>
  <si>
    <t>Equipe Técnica</t>
  </si>
  <si>
    <t>Veículos</t>
  </si>
  <si>
    <t>Equipamentos</t>
  </si>
  <si>
    <t>Instalação e Imobiliário</t>
  </si>
  <si>
    <t>%
Projeto</t>
  </si>
  <si>
    <t>Custos Diretos</t>
  </si>
  <si>
    <t>BDI</t>
  </si>
  <si>
    <t>A</t>
  </si>
  <si>
    <t>B</t>
  </si>
  <si>
    <t>C</t>
  </si>
  <si>
    <t>D</t>
  </si>
  <si>
    <t>E</t>
  </si>
  <si>
    <t>I=A+B+C+D+E</t>
  </si>
  <si>
    <t>F (sobre I)</t>
  </si>
  <si>
    <r>
      <rPr>
        <b/>
        <sz val="11"/>
        <color rgb="FFFFFFFF"/>
        <rFont val="Calibri"/>
        <family val="2"/>
        <scheme val="minor"/>
      </rPr>
      <t>ANÁLISE DE PROJETOS E DIAGNÓSTICO</t>
    </r>
  </si>
  <si>
    <t>Administrativo</t>
  </si>
  <si>
    <r>
      <rPr>
        <b/>
        <sz val="11"/>
        <color rgb="FFFFFFFF"/>
        <rFont val="Calibri"/>
        <family val="2"/>
        <scheme val="minor"/>
      </rPr>
      <t>VEÍCULOS</t>
    </r>
  </si>
  <si>
    <t>Item</t>
  </si>
  <si>
    <t>Código</t>
  </si>
  <si>
    <t>Tipo</t>
  </si>
  <si>
    <t>Custo Unitário (R$/un.)</t>
  </si>
  <si>
    <t>Horas/mês</t>
  </si>
  <si>
    <t>Valor Mensal (R$/mês)</t>
  </si>
  <si>
    <t>Quantidade</t>
  </si>
  <si>
    <t>Meses</t>
  </si>
  <si>
    <t>Valor Produtivo (a)</t>
  </si>
  <si>
    <t>Valor Improdutivo (b)</t>
  </si>
  <si>
    <t>Produtivo (c )</t>
  </si>
  <si>
    <t>Improdutivo (d)</t>
  </si>
  <si>
    <t>Produtivo (a*c)</t>
  </si>
  <si>
    <t>Improdutivo (b*d)</t>
  </si>
  <si>
    <t>E8891</t>
  </si>
  <si>
    <r>
      <rPr>
        <b/>
        <sz val="11"/>
        <color rgb="FFFFFFFF"/>
        <rFont val="Calibri"/>
        <family val="2"/>
        <scheme val="minor"/>
      </rPr>
      <t>TOTAL (R$)</t>
    </r>
  </si>
  <si>
    <r>
      <rPr>
        <b/>
        <sz val="11"/>
        <color rgb="FFFFFFFF"/>
        <rFont val="Calibri"/>
        <family val="2"/>
        <scheme val="minor"/>
      </rPr>
      <t>INSTALAÇÕES</t>
    </r>
  </si>
  <si>
    <t>Unid.</t>
  </si>
  <si>
    <t>Ocupantes</t>
  </si>
  <si>
    <t>Área (m²)</t>
  </si>
  <si>
    <t>TOTAL (R$)</t>
  </si>
  <si>
    <t>a</t>
  </si>
  <si>
    <t>b</t>
  </si>
  <si>
    <t>c</t>
  </si>
  <si>
    <t>d</t>
  </si>
  <si>
    <t>Imóveis - Instalações Físicas (A)</t>
  </si>
  <si>
    <t>B8951</t>
  </si>
  <si>
    <t>Comercial (2,60% do C.M.C.C -SINAPI)</t>
  </si>
  <si>
    <t>m²xmês</t>
  </si>
  <si>
    <t>TOTAL A(R$)</t>
  </si>
  <si>
    <t>Custos Diversos (B)</t>
  </si>
  <si>
    <t>B8959</t>
  </si>
  <si>
    <t>Escritório</t>
  </si>
  <si>
    <t>ocupante x mês</t>
  </si>
  <si>
    <t>TOTAL B(R$)</t>
  </si>
  <si>
    <r>
      <rPr>
        <b/>
        <sz val="11"/>
        <color rgb="FFFFFFFF"/>
        <rFont val="Calibri"/>
        <family val="2"/>
        <scheme val="minor"/>
      </rPr>
      <t>TOTAL A+B (R$)</t>
    </r>
  </si>
  <si>
    <r>
      <rPr>
        <b/>
        <sz val="11"/>
        <color rgb="FFFFFFFF"/>
        <rFont val="Calibri"/>
        <family val="2"/>
        <scheme val="minor"/>
      </rPr>
      <t>CRONOGRAMA  FISICO-FINANCEIRO</t>
    </r>
  </si>
  <si>
    <t>Tabela de consultoria DNIT</t>
  </si>
  <si>
    <t>SICRO</t>
  </si>
  <si>
    <t xml:space="preserve">Município: </t>
  </si>
  <si>
    <t xml:space="preserve">Rodovia: </t>
  </si>
  <si>
    <t>Data base:</t>
  </si>
  <si>
    <r>
      <rPr>
        <b/>
        <sz val="11"/>
        <color rgb="FFFFFFFF"/>
        <rFont val="Calibri"/>
        <family val="2"/>
        <scheme val="minor"/>
      </rPr>
      <t>TOTAL GERAL</t>
    </r>
  </si>
  <si>
    <t>Obra</t>
  </si>
  <si>
    <t>VALOR</t>
  </si>
  <si>
    <t>%</t>
  </si>
  <si>
    <t>Total</t>
  </si>
  <si>
    <t>Mobilização</t>
  </si>
  <si>
    <t>VALOR TOTAL</t>
  </si>
  <si>
    <t>TOTAL MENSAL</t>
  </si>
  <si>
    <t>TOTAL ACUMULADO</t>
  </si>
  <si>
    <r>
      <rPr>
        <b/>
        <sz val="11"/>
        <color rgb="FFFFFFFF"/>
        <rFont val="Calibri"/>
        <family val="2"/>
        <scheme val="minor"/>
      </rPr>
      <t>Total</t>
    </r>
  </si>
  <si>
    <t>Motorista de veículo leve</t>
  </si>
  <si>
    <t>h=f*g</t>
  </si>
  <si>
    <t>g</t>
  </si>
  <si>
    <t>f=e/220</t>
  </si>
  <si>
    <t>e=a*b*c*d* 220/240</t>
  </si>
  <si>
    <t>Cód.</t>
  </si>
  <si>
    <t>Descrição</t>
  </si>
  <si>
    <t>Subtotal</t>
  </si>
  <si>
    <t>Salário/ mês</t>
  </si>
  <si>
    <t>Homem/ mês</t>
  </si>
  <si>
    <t>Total/ Horas</t>
  </si>
  <si>
    <t>nº Dias</t>
  </si>
  <si>
    <t>Hora/ Dia</t>
  </si>
  <si>
    <t>Pess./ Equipe</t>
  </si>
  <si>
    <t>Quant. Equipe</t>
  </si>
  <si>
    <t>Categoria</t>
  </si>
  <si>
    <t>Atividade</t>
  </si>
  <si>
    <r>
      <rPr>
        <b/>
        <sz val="11"/>
        <color rgb="FFFFFFFF"/>
        <rFont val="Calibri"/>
        <family val="2"/>
        <scheme val="minor"/>
      </rPr>
      <t>EQUIPAMENTOS</t>
    </r>
  </si>
  <si>
    <t>Valor Mensal (R$)</t>
  </si>
  <si>
    <t>d=a*b*c</t>
  </si>
  <si>
    <t>Cestas das instalações</t>
  </si>
  <si>
    <t>B8958</t>
  </si>
  <si>
    <r>
      <rPr>
        <sz val="11"/>
        <rFont val="Calibri"/>
        <family val="2"/>
        <scheme val="minor"/>
      </rPr>
      <t>Topografia - equipamentos
para topografia</t>
    </r>
  </si>
  <si>
    <t>P8033</t>
  </si>
  <si>
    <t>Biólogo pleno</t>
  </si>
  <si>
    <t>EQUIPE TÉCNICA</t>
  </si>
  <si>
    <t>Engenheiro agrônomo pleno</t>
  </si>
  <si>
    <t>P8055</t>
  </si>
  <si>
    <t>Laboratorista</t>
  </si>
  <si>
    <t>PBA</t>
  </si>
  <si>
    <t>Escolha e determinação das espécies de gramíneas</t>
  </si>
  <si>
    <t>PTA ou RAS</t>
  </si>
  <si>
    <t>PGRSCC, COMUNICADO DE ATIVIDADES e EMISSÃO DE GASES</t>
  </si>
  <si>
    <t>PTA / ASV Inventário Florestal
Varia conforme a extensão</t>
  </si>
  <si>
    <t>Sinalização Estrada Viva e Análise de Greide em função das passagens de Fauna</t>
  </si>
  <si>
    <t xml:space="preserve">Tabela 1 - Custos de veículos </t>
  </si>
  <si>
    <t>Unidade</t>
  </si>
  <si>
    <t>Custo unitário (R$ / un)</t>
  </si>
  <si>
    <t>S</t>
  </si>
  <si>
    <t>Produtivo</t>
  </si>
  <si>
    <t>Improdutivo</t>
  </si>
  <si>
    <t>E8889</t>
  </si>
  <si>
    <t>Veículo leve - 53 kW (sem motorista)</t>
  </si>
  <si>
    <t>hora</t>
  </si>
  <si>
    <t>E8887</t>
  </si>
  <si>
    <t>Veículo tipo van furgão com capacidade de 1,38 t - 100 kW (com motorista)</t>
  </si>
  <si>
    <t>Fonte: FGV IBRE</t>
  </si>
  <si>
    <t>Tabela 2 - Custos de imóveis, mobiliário, cestas de instalações e custos diversos</t>
  </si>
  <si>
    <t>Custo unitário 
(R$ / un)</t>
  </si>
  <si>
    <t>Imóveis</t>
  </si>
  <si>
    <t>m² x mês</t>
  </si>
  <si>
    <t>B8952</t>
  </si>
  <si>
    <t>Mobiliário</t>
  </si>
  <si>
    <t>B8953</t>
  </si>
  <si>
    <t>B8954</t>
  </si>
  <si>
    <t>Residência</t>
  </si>
  <si>
    <t>Cesta das Instalações</t>
  </si>
  <si>
    <t>B8955</t>
  </si>
  <si>
    <t>Laboratório de asfalto</t>
  </si>
  <si>
    <t>mês</t>
  </si>
  <si>
    <t>B8956</t>
  </si>
  <si>
    <t>Laboratório de concreto</t>
  </si>
  <si>
    <t>B8957</t>
  </si>
  <si>
    <t>Laboratório de solos</t>
  </si>
  <si>
    <t>Topografia</t>
  </si>
  <si>
    <t>Custos Diversos</t>
  </si>
  <si>
    <t>B8960</t>
  </si>
  <si>
    <t>Salário</t>
  </si>
  <si>
    <t>Encargos Sociais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</si>
  <si>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</si>
  <si>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</si>
  <si>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</si>
  <si>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</si>
  <si>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</si>
  <si>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</si>
  <si>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</si>
  <si>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</si>
  <si>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</si>
  <si>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</si>
  <si>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</si>
  <si>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</si>
  <si>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</si>
  <si>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</si>
  <si>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</si>
  <si>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</si>
  <si>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</si>
  <si>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</si>
  <si>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</si>
  <si>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</si>
  <si>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</si>
  <si>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</si>
  <si>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</si>
  <si>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</si>
  <si>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</si>
  <si>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</si>
  <si>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</si>
  <si>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</si>
  <si>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</si>
  <si>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</si>
  <si>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</si>
  <si>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</si>
  <si>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</si>
  <si>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</si>
  <si>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</si>
  <si>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</si>
  <si>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</si>
  <si>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</si>
  <si>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</si>
  <si>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P8026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</si>
  <si>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</si>
  <si>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</si>
  <si>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</si>
  <si>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</si>
  <si>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</si>
  <si>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</si>
  <si>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</si>
  <si>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</si>
  <si>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</si>
  <si>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</si>
  <si>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</si>
  <si>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</si>
  <si>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</si>
  <si>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</si>
  <si>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</si>
  <si>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</si>
  <si>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</si>
  <si>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</si>
  <si>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</si>
  <si>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</si>
  <si>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</si>
  <si>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</si>
  <si>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</si>
  <si>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</si>
  <si>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</si>
  <si>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</si>
  <si>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P8056</t>
  </si>
  <si>
    <t>Engenheiro agrônomo sênior</t>
  </si>
  <si>
    <t>P8057</t>
  </si>
  <si>
    <t>Engenheiro ambiental júnior</t>
  </si>
  <si>
    <t>P8059</t>
  </si>
  <si>
    <t>Engenheiro ambiental sênior</t>
  </si>
  <si>
    <t>P8060</t>
  </si>
  <si>
    <t>Engenheiro consultor especial</t>
  </si>
  <si>
    <t>P8061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</si>
  <si>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</si>
  <si>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</si>
  <si>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</si>
  <si>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</si>
  <si>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</si>
  <si>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</si>
  <si>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</si>
  <si>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</si>
  <si>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Engenheiro de projetos júnior</t>
  </si>
  <si>
    <t>P8066</t>
  </si>
  <si>
    <t>Engenheiro de projetos pleno</t>
  </si>
  <si>
    <t>P8067</t>
  </si>
  <si>
    <t>Engenheiro de projetos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</si>
  <si>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</si>
  <si>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</si>
  <si>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</si>
  <si>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</si>
  <si>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</si>
  <si>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</si>
  <si>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</si>
  <si>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</si>
  <si>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</si>
  <si>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</si>
  <si>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</si>
  <si>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</si>
  <si>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</si>
  <si>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</si>
  <si>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</si>
  <si>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</si>
  <si>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</si>
  <si>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</si>
  <si>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</si>
  <si>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</si>
  <si>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</si>
  <si>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</si>
  <si>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</si>
  <si>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</si>
  <si>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</si>
  <si>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</si>
  <si>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</si>
  <si>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</si>
  <si>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</si>
  <si>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</si>
  <si>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</si>
  <si>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</si>
  <si>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</si>
  <si>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</si>
  <si>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</si>
  <si>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</si>
  <si>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</si>
  <si>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</si>
  <si>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</si>
  <si>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</si>
  <si>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</si>
  <si>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</si>
  <si>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</si>
  <si>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</si>
  <si>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</si>
  <si>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P8147</t>
  </si>
  <si>
    <t>Técnico de obras</t>
  </si>
  <si>
    <t>P8151</t>
  </si>
  <si>
    <t>Técnico de segurança do trabalho</t>
  </si>
  <si>
    <t>P8155</t>
  </si>
  <si>
    <t>Técnico em geoprocessamento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</si>
  <si>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</si>
  <si>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</si>
  <si>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</si>
  <si>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</si>
  <si>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</si>
  <si>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</si>
  <si>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</si>
  <si>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</si>
  <si>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</si>
  <si>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</si>
  <si>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</si>
  <si>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</si>
  <si>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</si>
  <si>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</si>
  <si>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</si>
  <si>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</si>
  <si>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</si>
  <si>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</si>
  <si>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</si>
  <si>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</si>
  <si>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</si>
  <si>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</si>
  <si>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</si>
  <si>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</si>
  <si>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</si>
  <si>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</si>
  <si>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</si>
  <si>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</si>
  <si>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</si>
  <si>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</si>
  <si>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</si>
  <si>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</si>
  <si>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</si>
  <si>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</si>
  <si>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</si>
  <si>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</si>
  <si>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</si>
  <si>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</si>
  <si>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</si>
  <si>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</si>
  <si>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</si>
  <si>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</si>
  <si>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</si>
  <si>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</si>
  <si>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</si>
  <si>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</si>
  <si>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</si>
  <si>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</si>
  <si>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</si>
  <si>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</si>
  <si>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</si>
  <si>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</si>
  <si>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</si>
  <si>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</si>
  <si>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</si>
  <si>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</si>
  <si>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P8264</t>
  </si>
  <si>
    <t>Motorista de veículo leve - horista</t>
  </si>
  <si>
    <t>h</t>
  </si>
  <si>
    <t>Sondagem e Ensaios de Solos para plantio de revestimento vegetal</t>
  </si>
  <si>
    <t>Esta sendo contemplada no Projeto de Engenharia</t>
  </si>
  <si>
    <t>TAXAS: BDI SOBRE O ITEM "I"</t>
  </si>
  <si>
    <t>E8890</t>
  </si>
  <si>
    <t>Veículo leve - 53 kW (com motorista)</t>
  </si>
  <si>
    <t>E8888</t>
  </si>
  <si>
    <t>Veículo tipo van furgão com capacidade de 1,38 t - 100 kW (sem motorista)</t>
  </si>
  <si>
    <t>Comercial (2,55% do CMCC - SINAPI)</t>
  </si>
  <si>
    <t>Residencial (2,45% do CMCC - SINAPI)</t>
  </si>
  <si>
    <t>B8961</t>
  </si>
  <si>
    <t>Topografia por VANT</t>
  </si>
  <si>
    <t>Coordenador ambiental</t>
  </si>
  <si>
    <t xml:space="preserve">Licenciamento ambiental Bioma Mata Atlântica EIA/RIMA </t>
  </si>
  <si>
    <t>dias</t>
  </si>
  <si>
    <t>Prazo: (dias)</t>
  </si>
  <si>
    <t>Veículo leve picape 4 x 4 com capacidade de 1,10 t - 147 kW (sem motorista)</t>
  </si>
  <si>
    <t>A.2</t>
  </si>
  <si>
    <t>Autorização de Supressão Vegetal - ASV</t>
  </si>
  <si>
    <t xml:space="preserve">Licenciamento Ambiental Bioma Mata Atlântica EIA/RIMA </t>
  </si>
  <si>
    <t xml:space="preserve">Licenciamento Ambiental - Empreendimento </t>
  </si>
  <si>
    <t>Sondagem e Ensaios de Solos para plantio de Revestimento Vegetal</t>
  </si>
  <si>
    <t>Licenciamento ambiental  Empreendimento</t>
  </si>
  <si>
    <t xml:space="preserve">A.1 </t>
  </si>
  <si>
    <t>Licenciamento Ambiental Empreendimento</t>
  </si>
  <si>
    <t>X</t>
  </si>
  <si>
    <t>Campo Grande - MS e Nova Alvorada do Sul - MS</t>
  </si>
  <si>
    <t>Ponte sobre o Rio Anhanduí                                                          Coordenadas S 21° 24' 06.95" W 54° 07' 51.18"</t>
  </si>
  <si>
    <t>70,00 metros</t>
  </si>
  <si>
    <t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t>
  </si>
  <si>
    <t>Ponte sobre o Rio Anhanduí (CG-342)</t>
  </si>
  <si>
    <t>Autorização Ambiental para Supressão Vegetal - AASV</t>
  </si>
  <si>
    <t>Licenciamento Ambiental Rodovia e Ponte:  Plano de Controle Ambiental (PCA), Relatório Ambiental Simplificado (RAS), Relatório Técnico de Conclusão da Obra (Decreto 14.114 SEMADUR)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</si>
</sst>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&quot;R$&quot;\ #,##0.00"/>
    <numFmt numFmtId="166" formatCode="0.0000000%"/>
    <numFmt numFmtId="167" formatCode="0.0000000000000000%"/>
  </numFmts>
  <fonts count="26" x14ac:knownFonts="1">
    <font>
      <sz val="10"/>
      <color rgb="FF000000"/>
      <name val="Times New Roman"/>
      <charset val="204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sz val="14"/>
      <color theme="1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1"/>
      <color rgb="FFFFFFFF"/>
      <name val="Calibri"/>
      <family val="2"/>
      <scheme val="minor"/>
    </font>
    <font>
      <sz val="11"/>
      <color indexed="81"/>
      <name val="Segoe UI"/>
      <family val="2"/>
    </font>
    <font>
      <b/>
      <sz val="11"/>
      <color indexed="81"/>
      <name val="Segoe UI"/>
      <family val="2"/>
    </font>
    <font>
      <sz val="8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F497C"/>
      </patternFill>
    </fill>
    <fill>
      <patternFill patternType="solid">
        <fgColor theme="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indexed="64"/>
      </bottom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</cellStyleXfs>
  <cellXfs count="403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2" borderId="3" xfId="0" applyFont="1" applyFill="1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3" fillId="0" borderId="12" xfId="0" applyFont="1" applyBorder="1" applyAlignment="1">
      <alignment horizontal="left" wrapText="1"/>
    </xf>
    <xf numFmtId="4" fontId="2" fillId="2" borderId="21" xfId="0" applyNumberFormat="1" applyFont="1" applyFill="1" applyBorder="1" applyAlignment="1">
      <alignment horizontal="right" vertical="top" shrinkToFit="1"/>
    </xf>
    <xf numFmtId="4" fontId="3" fillId="0" borderId="0" xfId="0" applyNumberFormat="1" applyFont="1" applyAlignment="1">
      <alignment horizontal="left" vertical="top"/>
    </xf>
    <xf numFmtId="0" fontId="3" fillId="0" borderId="25" xfId="0" applyFont="1" applyBorder="1" applyAlignment="1">
      <alignment horizontal="left" vertical="top"/>
    </xf>
    <xf numFmtId="0" fontId="3" fillId="0" borderId="26" xfId="0" applyFont="1" applyBorder="1" applyAlignment="1">
      <alignment horizontal="right" vertical="top" wrapText="1" indent="1"/>
    </xf>
    <xf numFmtId="0" fontId="3" fillId="0" borderId="26" xfId="0" applyFont="1" applyBorder="1" applyAlignment="1">
      <alignment horizontal="right" vertical="top" indent="1"/>
    </xf>
    <xf numFmtId="0" fontId="3" fillId="0" borderId="28" xfId="0" applyFont="1" applyBorder="1" applyAlignment="1">
      <alignment horizontal="left" vertical="top"/>
    </xf>
    <xf numFmtId="0" fontId="4" fillId="0" borderId="3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shrinkToFit="1"/>
    </xf>
    <xf numFmtId="44" fontId="3" fillId="0" borderId="38" xfId="2" applyFont="1" applyBorder="1" applyAlignment="1">
      <alignment horizontal="left" vertical="center" shrinkToFit="1"/>
    </xf>
    <xf numFmtId="44" fontId="3" fillId="0" borderId="37" xfId="2" applyFont="1" applyBorder="1" applyAlignment="1">
      <alignment horizontal="left" vertical="center" shrinkToFit="1"/>
    </xf>
    <xf numFmtId="44" fontId="2" fillId="2" borderId="41" xfId="2" applyFont="1" applyFill="1" applyBorder="1" applyAlignment="1">
      <alignment horizontal="center" vertical="center" shrinkToFit="1"/>
    </xf>
    <xf numFmtId="44" fontId="2" fillId="2" borderId="41" xfId="2" applyFont="1" applyFill="1" applyBorder="1" applyAlignment="1">
      <alignment horizontal="left" vertical="center" shrinkToFit="1"/>
    </xf>
    <xf numFmtId="9" fontId="2" fillId="2" borderId="41" xfId="0" applyNumberFormat="1" applyFont="1" applyFill="1" applyBorder="1" applyAlignment="1">
      <alignment horizontal="center" vertical="center" shrinkToFit="1"/>
    </xf>
    <xf numFmtId="44" fontId="2" fillId="2" borderId="42" xfId="2" applyFont="1" applyFill="1" applyBorder="1" applyAlignment="1">
      <alignment horizontal="left" vertical="center" shrinkToFit="1"/>
    </xf>
    <xf numFmtId="0" fontId="3" fillId="0" borderId="26" xfId="0" applyFont="1" applyBorder="1" applyAlignment="1">
      <alignment horizontal="right" vertical="top" wrapText="1"/>
    </xf>
    <xf numFmtId="0" fontId="4" fillId="0" borderId="17" xfId="0" applyFont="1" applyBorder="1" applyAlignment="1">
      <alignment horizontal="center" vertical="center" wrapText="1"/>
    </xf>
    <xf numFmtId="2" fontId="3" fillId="0" borderId="38" xfId="0" applyNumberFormat="1" applyFont="1" applyBorder="1" applyAlignment="1">
      <alignment horizontal="center" vertical="center" shrinkToFit="1"/>
    </xf>
    <xf numFmtId="4" fontId="3" fillId="0" borderId="38" xfId="0" applyNumberFormat="1" applyFont="1" applyBorder="1" applyAlignment="1">
      <alignment horizontal="center" vertical="center" shrinkToFit="1"/>
    </xf>
    <xf numFmtId="4" fontId="2" fillId="2" borderId="42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shrinkToFit="1"/>
    </xf>
    <xf numFmtId="4" fontId="5" fillId="0" borderId="12" xfId="0" applyNumberFormat="1" applyFont="1" applyBorder="1" applyAlignment="1">
      <alignment horizontal="right" vertical="center" shrinkToFit="1"/>
    </xf>
    <xf numFmtId="4" fontId="2" fillId="2" borderId="42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4" fontId="1" fillId="0" borderId="47" xfId="2" applyFont="1" applyBorder="1" applyAlignment="1">
      <alignment vertical="center" wrapText="1"/>
    </xf>
    <xf numFmtId="0" fontId="3" fillId="2" borderId="49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50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/>
    </xf>
    <xf numFmtId="1" fontId="3" fillId="0" borderId="38" xfId="0" applyNumberFormat="1" applyFont="1" applyBorder="1" applyAlignment="1">
      <alignment horizontal="center" vertical="center" shrinkToFit="1"/>
    </xf>
    <xf numFmtId="4" fontId="2" fillId="2" borderId="42" xfId="0" applyNumberFormat="1" applyFont="1" applyFill="1" applyBorder="1" applyAlignment="1">
      <alignment horizontal="center" vertical="top" shrinkToFit="1"/>
    </xf>
    <xf numFmtId="43" fontId="3" fillId="0" borderId="0" xfId="1" applyFont="1" applyAlignment="1">
      <alignment horizontal="left" vertical="top"/>
    </xf>
    <xf numFmtId="43" fontId="3" fillId="0" borderId="0" xfId="0" applyNumberFormat="1" applyFont="1" applyAlignment="1">
      <alignment horizontal="left" vertical="top"/>
    </xf>
    <xf numFmtId="0" fontId="5" fillId="0" borderId="26" xfId="0" applyFont="1" applyBorder="1" applyAlignment="1">
      <alignment vertical="top" wrapText="1"/>
    </xf>
    <xf numFmtId="164" fontId="3" fillId="0" borderId="38" xfId="0" applyNumberFormat="1" applyFont="1" applyBorder="1" applyAlignment="1">
      <alignment horizontal="center" vertical="center" shrinkToFit="1"/>
    </xf>
    <xf numFmtId="9" fontId="3" fillId="0" borderId="7" xfId="0" applyNumberFormat="1" applyFont="1" applyBorder="1" applyAlignment="1">
      <alignment horizontal="center" vertical="center" shrinkToFit="1"/>
    </xf>
    <xf numFmtId="43" fontId="3" fillId="0" borderId="0" xfId="1" applyFont="1" applyFill="1" applyAlignment="1">
      <alignment horizontal="left" vertical="top"/>
    </xf>
    <xf numFmtId="44" fontId="4" fillId="0" borderId="12" xfId="2" applyFont="1" applyBorder="1" applyAlignment="1">
      <alignment horizontal="center" vertical="center" wrapText="1"/>
    </xf>
    <xf numFmtId="44" fontId="4" fillId="0" borderId="27" xfId="2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26" xfId="0" applyFont="1" applyBorder="1" applyAlignment="1">
      <alignment horizontal="right" vertical="top" wrapText="1" indent="1"/>
    </xf>
    <xf numFmtId="14" fontId="10" fillId="0" borderId="0" xfId="4" applyNumberFormat="1" applyFont="1"/>
    <xf numFmtId="0" fontId="11" fillId="0" borderId="0" xfId="4" applyFont="1"/>
    <xf numFmtId="0" fontId="13" fillId="0" borderId="0" xfId="4" applyFont="1"/>
    <xf numFmtId="0" fontId="10" fillId="0" borderId="0" xfId="4" applyFont="1"/>
    <xf numFmtId="0" fontId="9" fillId="0" borderId="0" xfId="4"/>
    <xf numFmtId="0" fontId="17" fillId="4" borderId="7" xfId="4" applyFont="1" applyFill="1" applyBorder="1" applyAlignment="1">
      <alignment horizontal="center" vertical="center" wrapText="1"/>
    </xf>
    <xf numFmtId="0" fontId="17" fillId="4" borderId="25" xfId="4" applyFont="1" applyFill="1" applyBorder="1" applyAlignment="1">
      <alignment horizontal="center" vertical="center" wrapText="1"/>
    </xf>
    <xf numFmtId="4" fontId="4" fillId="0" borderId="37" xfId="0" applyNumberFormat="1" applyFont="1" applyBorder="1" applyAlignment="1">
      <alignment horizontal="center" vertical="center" shrinkToFit="1"/>
    </xf>
    <xf numFmtId="4" fontId="4" fillId="0" borderId="38" xfId="0" applyNumberFormat="1" applyFont="1" applyBorder="1" applyAlignment="1">
      <alignment horizontal="center" vertical="center" wrapText="1"/>
    </xf>
    <xf numFmtId="43" fontId="1" fillId="0" borderId="37" xfId="1" applyFont="1" applyBorder="1" applyAlignment="1">
      <alignment horizontal="center" vertical="center" wrapText="1"/>
    </xf>
    <xf numFmtId="44" fontId="3" fillId="0" borderId="51" xfId="2" applyFont="1" applyBorder="1" applyAlignment="1">
      <alignment horizontal="center" vertical="center" shrinkToFit="1"/>
    </xf>
    <xf numFmtId="44" fontId="3" fillId="0" borderId="39" xfId="2" applyFont="1" applyBorder="1" applyAlignment="1">
      <alignment horizontal="left" vertical="center" shrinkToFit="1"/>
    </xf>
    <xf numFmtId="0" fontId="3" fillId="3" borderId="0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left" vertical="top"/>
    </xf>
    <xf numFmtId="0" fontId="7" fillId="2" borderId="0" xfId="0" applyFont="1" applyFill="1" applyAlignment="1">
      <alignment horizontal="center" vertical="center" wrapText="1"/>
    </xf>
    <xf numFmtId="44" fontId="4" fillId="0" borderId="13" xfId="2" applyFont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top" wrapText="1"/>
    </xf>
    <xf numFmtId="4" fontId="3" fillId="0" borderId="51" xfId="0" applyNumberFormat="1" applyFont="1" applyBorder="1" applyAlignment="1">
      <alignment horizontal="right" vertical="top" shrinkToFit="1"/>
    </xf>
    <xf numFmtId="4" fontId="3" fillId="0" borderId="6" xfId="0" applyNumberFormat="1" applyFont="1" applyBorder="1" applyAlignment="1">
      <alignment horizontal="right" vertical="top" shrinkToFit="1"/>
    </xf>
    <xf numFmtId="0" fontId="20" fillId="2" borderId="3" xfId="0" applyFont="1" applyFill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top"/>
    </xf>
    <xf numFmtId="44" fontId="4" fillId="0" borderId="52" xfId="2" applyFont="1" applyBorder="1" applyAlignment="1">
      <alignment vertical="center" wrapText="1"/>
    </xf>
    <xf numFmtId="2" fontId="4" fillId="0" borderId="38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165" fontId="0" fillId="0" borderId="0" xfId="0" applyNumberForma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43" fontId="3" fillId="0" borderId="0" xfId="1" applyFont="1" applyFill="1" applyBorder="1" applyAlignment="1">
      <alignment horizontal="left" vertical="center"/>
    </xf>
    <xf numFmtId="0" fontId="3" fillId="0" borderId="7" xfId="4" applyFont="1" applyFill="1" applyBorder="1" applyAlignment="1">
      <alignment vertical="center" wrapText="1"/>
    </xf>
    <xf numFmtId="0" fontId="3" fillId="0" borderId="56" xfId="4" applyFont="1" applyFill="1" applyBorder="1" applyAlignment="1">
      <alignment vertical="center" wrapText="1"/>
    </xf>
    <xf numFmtId="0" fontId="3" fillId="0" borderId="55" xfId="4" applyFont="1" applyFill="1" applyBorder="1" applyAlignment="1">
      <alignment vertical="center" wrapText="1"/>
    </xf>
    <xf numFmtId="0" fontId="1" fillId="2" borderId="57" xfId="0" applyFont="1" applyFill="1" applyBorder="1" applyAlignment="1">
      <alignment horizontal="center" vertical="top"/>
    </xf>
    <xf numFmtId="2" fontId="2" fillId="2" borderId="57" xfId="0" applyNumberFormat="1" applyFont="1" applyFill="1" applyBorder="1" applyAlignment="1">
      <alignment horizontal="center" vertical="top" shrinkToFit="1"/>
    </xf>
    <xf numFmtId="0" fontId="3" fillId="2" borderId="57" xfId="0" applyFont="1" applyFill="1" applyBorder="1" applyAlignment="1">
      <alignment horizontal="left"/>
    </xf>
    <xf numFmtId="44" fontId="3" fillId="3" borderId="0" xfId="0" applyNumberFormat="1" applyFont="1" applyFill="1" applyAlignment="1">
      <alignment horizontal="left" vertical="top"/>
    </xf>
    <xf numFmtId="44" fontId="3" fillId="0" borderId="0" xfId="0" applyNumberFormat="1" applyFont="1" applyAlignment="1">
      <alignment horizontal="left" vertical="top"/>
    </xf>
    <xf numFmtId="165" fontId="23" fillId="0" borderId="0" xfId="0" applyNumberFormat="1" applyFont="1" applyAlignment="1">
      <alignment horizontal="left" vertical="top"/>
    </xf>
    <xf numFmtId="2" fontId="3" fillId="0" borderId="7" xfId="0" applyNumberFormat="1" applyFont="1" applyFill="1" applyBorder="1" applyAlignment="1">
      <alignment horizontal="center" vertical="center" shrinkToFit="1"/>
    </xf>
    <xf numFmtId="43" fontId="3" fillId="0" borderId="0" xfId="1" applyFont="1" applyFill="1" applyBorder="1" applyAlignment="1">
      <alignment vertical="center"/>
    </xf>
    <xf numFmtId="10" fontId="3" fillId="0" borderId="37" xfId="0" applyNumberFormat="1" applyFont="1" applyFill="1" applyBorder="1" applyAlignment="1">
      <alignment horizontal="center" vertical="center" shrinkToFit="1"/>
    </xf>
    <xf numFmtId="44" fontId="3" fillId="0" borderId="3" xfId="0" applyNumberFormat="1" applyFont="1" applyBorder="1" applyAlignment="1">
      <alignment horizontal="right" vertical="top" shrinkToFit="1"/>
    </xf>
    <xf numFmtId="44" fontId="2" fillId="2" borderId="12" xfId="0" applyNumberFormat="1" applyFont="1" applyFill="1" applyBorder="1" applyAlignment="1">
      <alignment horizontal="right" vertical="top" shrinkToFit="1"/>
    </xf>
    <xf numFmtId="44" fontId="2" fillId="2" borderId="16" xfId="0" applyNumberFormat="1" applyFont="1" applyFill="1" applyBorder="1" applyAlignment="1">
      <alignment horizontal="right" vertical="top" shrinkToFit="1"/>
    </xf>
    <xf numFmtId="44" fontId="3" fillId="0" borderId="13" xfId="0" applyNumberFormat="1" applyFont="1" applyBorder="1" applyAlignment="1">
      <alignment horizontal="right" wrapText="1"/>
    </xf>
    <xf numFmtId="44" fontId="3" fillId="0" borderId="7" xfId="0" applyNumberFormat="1" applyFont="1" applyBorder="1" applyAlignment="1">
      <alignment horizontal="right" vertical="top"/>
    </xf>
    <xf numFmtId="44" fontId="3" fillId="0" borderId="6" xfId="0" applyNumberFormat="1" applyFont="1" applyBorder="1" applyAlignment="1">
      <alignment horizontal="right" vertical="top" shrinkToFit="1"/>
    </xf>
    <xf numFmtId="44" fontId="3" fillId="0" borderId="12" xfId="0" applyNumberFormat="1" applyFont="1" applyBorder="1" applyAlignment="1">
      <alignment horizontal="right" wrapText="1"/>
    </xf>
    <xf numFmtId="10" fontId="4" fillId="0" borderId="3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44" fontId="2" fillId="2" borderId="12" xfId="0" applyNumberFormat="1" applyFont="1" applyFill="1" applyBorder="1" applyAlignment="1">
      <alignment horizontal="right" shrinkToFit="1"/>
    </xf>
    <xf numFmtId="0" fontId="5" fillId="0" borderId="26" xfId="0" applyFont="1" applyBorder="1" applyAlignment="1">
      <alignment vertical="top"/>
    </xf>
    <xf numFmtId="0" fontId="5" fillId="0" borderId="27" xfId="0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44" fontId="5" fillId="0" borderId="7" xfId="2" applyNumberFormat="1" applyFont="1" applyBorder="1" applyAlignment="1">
      <alignment horizontal="center" vertical="center" shrinkToFit="1"/>
    </xf>
    <xf numFmtId="44" fontId="1" fillId="0" borderId="7" xfId="2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/>
    </xf>
    <xf numFmtId="164" fontId="3" fillId="0" borderId="0" xfId="0" applyNumberFormat="1" applyFont="1" applyAlignment="1">
      <alignment horizontal="left" vertical="top"/>
    </xf>
    <xf numFmtId="44" fontId="3" fillId="0" borderId="0" xfId="0" applyNumberFormat="1" applyFont="1" applyAlignment="1">
      <alignment horizontal="left" vertical="center"/>
    </xf>
    <xf numFmtId="10" fontId="5" fillId="0" borderId="1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/>
    </xf>
    <xf numFmtId="0" fontId="13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 vertical="top"/>
    </xf>
    <xf numFmtId="0" fontId="13" fillId="0" borderId="0" xfId="0" applyFont="1" applyAlignment="1">
      <alignment horizontal="centerContinuous" vertical="top"/>
    </xf>
    <xf numFmtId="0" fontId="14" fillId="4" borderId="7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1" fillId="0" borderId="0" xfId="0" applyFont="1"/>
    <xf numFmtId="17" fontId="3" fillId="0" borderId="0" xfId="0" applyNumberFormat="1" applyFont="1" applyAlignment="1">
      <alignment horizontal="left" vertical="top"/>
    </xf>
    <xf numFmtId="165" fontId="3" fillId="0" borderId="0" xfId="0" applyNumberFormat="1" applyFont="1" applyAlignment="1">
      <alignment horizontal="right" vertical="top"/>
    </xf>
    <xf numFmtId="0" fontId="3" fillId="0" borderId="26" xfId="0" applyFont="1" applyBorder="1" applyAlignment="1">
      <alignment horizontal="left" vertical="top"/>
    </xf>
    <xf numFmtId="0" fontId="3" fillId="0" borderId="53" xfId="0" applyFont="1" applyBorder="1" applyAlignment="1">
      <alignment horizontal="center" vertical="top"/>
    </xf>
    <xf numFmtId="0" fontId="3" fillId="0" borderId="22" xfId="0" applyFont="1" applyBorder="1" applyAlignment="1">
      <alignment horizontal="right" vertical="top"/>
    </xf>
    <xf numFmtId="0" fontId="3" fillId="0" borderId="25" xfId="0" applyFont="1" applyBorder="1" applyAlignment="1">
      <alignment horizontal="right" vertical="top"/>
    </xf>
    <xf numFmtId="166" fontId="3" fillId="0" borderId="0" xfId="0" applyNumberFormat="1" applyFont="1" applyAlignment="1">
      <alignment horizontal="left" vertical="top"/>
    </xf>
    <xf numFmtId="167" fontId="3" fillId="0" borderId="0" xfId="0" applyNumberFormat="1" applyFont="1" applyAlignment="1">
      <alignment horizontal="left" vertical="top"/>
    </xf>
    <xf numFmtId="0" fontId="5" fillId="0" borderId="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2" fontId="3" fillId="0" borderId="0" xfId="3" applyNumberFormat="1" applyFont="1" applyAlignment="1">
      <alignment horizontal="left" vertical="top"/>
    </xf>
    <xf numFmtId="4" fontId="3" fillId="0" borderId="0" xfId="0" applyNumberFormat="1" applyFont="1" applyAlignment="1">
      <alignment horizontal="right" vertical="top"/>
    </xf>
    <xf numFmtId="43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left" vertical="top"/>
    </xf>
    <xf numFmtId="1" fontId="3" fillId="0" borderId="7" xfId="0" applyNumberFormat="1" applyFont="1" applyFill="1" applyBorder="1" applyAlignment="1">
      <alignment horizontal="center" vertical="top" shrinkToFit="1"/>
    </xf>
    <xf numFmtId="44" fontId="3" fillId="0" borderId="54" xfId="0" applyNumberFormat="1" applyFont="1" applyFill="1" applyBorder="1" applyAlignment="1">
      <alignment shrinkToFit="1"/>
    </xf>
    <xf numFmtId="0" fontId="4" fillId="0" borderId="7" xfId="0" applyFont="1" applyBorder="1" applyAlignment="1">
      <alignment horizontal="center" vertical="center" wrapText="1"/>
    </xf>
    <xf numFmtId="1" fontId="3" fillId="0" borderId="55" xfId="0" applyNumberFormat="1" applyFont="1" applyFill="1" applyBorder="1" applyAlignment="1">
      <alignment horizontal="center" vertical="top" shrinkToFit="1"/>
    </xf>
    <xf numFmtId="0" fontId="3" fillId="2" borderId="58" xfId="0" applyFont="1" applyFill="1" applyBorder="1" applyAlignment="1">
      <alignment horizontal="left" wrapText="1"/>
    </xf>
    <xf numFmtId="0" fontId="3" fillId="2" borderId="57" xfId="0" applyFont="1" applyFill="1" applyBorder="1" applyAlignment="1">
      <alignment horizontal="left" wrapText="1"/>
    </xf>
    <xf numFmtId="0" fontId="1" fillId="2" borderId="57" xfId="0" applyFont="1" applyFill="1" applyBorder="1" applyAlignment="1">
      <alignment horizontal="right" vertical="top"/>
    </xf>
    <xf numFmtId="4" fontId="7" fillId="2" borderId="59" xfId="0" applyNumberFormat="1" applyFont="1" applyFill="1" applyBorder="1" applyAlignment="1">
      <alignment vertical="top"/>
    </xf>
    <xf numFmtId="0" fontId="4" fillId="0" borderId="7" xfId="0" applyFont="1" applyFill="1" applyBorder="1" applyAlignment="1">
      <alignment horizontal="center" vertical="top"/>
    </xf>
    <xf numFmtId="2" fontId="3" fillId="0" borderId="7" xfId="0" applyNumberFormat="1" applyFont="1" applyFill="1" applyBorder="1" applyAlignment="1">
      <alignment horizontal="center" vertical="top" shrinkToFit="1"/>
    </xf>
    <xf numFmtId="4" fontId="3" fillId="0" borderId="7" xfId="0" applyNumberFormat="1" applyFont="1" applyFill="1" applyBorder="1" applyAlignment="1">
      <alignment horizontal="right" vertical="top" shrinkToFit="1"/>
    </xf>
    <xf numFmtId="4" fontId="3" fillId="0" borderId="25" xfId="0" applyNumberFormat="1" applyFont="1" applyFill="1" applyBorder="1" applyAlignment="1">
      <alignment horizontal="right" vertical="top" shrinkToFit="1"/>
    </xf>
    <xf numFmtId="4" fontId="3" fillId="0" borderId="53" xfId="0" applyNumberFormat="1" applyFont="1" applyFill="1" applyBorder="1" applyAlignment="1">
      <alignment horizontal="right" vertical="top" shrinkToFit="1"/>
    </xf>
    <xf numFmtId="0" fontId="4" fillId="0" borderId="55" xfId="0" applyFont="1" applyFill="1" applyBorder="1" applyAlignment="1">
      <alignment horizontal="center" vertical="top"/>
    </xf>
    <xf numFmtId="2" fontId="3" fillId="0" borderId="55" xfId="0" applyNumberFormat="1" applyFont="1" applyFill="1" applyBorder="1" applyAlignment="1">
      <alignment horizontal="center" vertical="top" shrinkToFit="1"/>
    </xf>
    <xf numFmtId="4" fontId="3" fillId="0" borderId="55" xfId="0" applyNumberFormat="1" applyFont="1" applyFill="1" applyBorder="1" applyAlignment="1">
      <alignment horizontal="right" vertical="top" shrinkToFit="1"/>
    </xf>
    <xf numFmtId="44" fontId="3" fillId="0" borderId="60" xfId="0" applyNumberFormat="1" applyFont="1" applyFill="1" applyBorder="1" applyAlignment="1">
      <alignment shrinkToFit="1"/>
    </xf>
    <xf numFmtId="0" fontId="4" fillId="0" borderId="56" xfId="0" applyFont="1" applyFill="1" applyBorder="1" applyAlignment="1">
      <alignment horizontal="center" vertical="top"/>
    </xf>
    <xf numFmtId="2" fontId="3" fillId="0" borderId="56" xfId="0" applyNumberFormat="1" applyFont="1" applyFill="1" applyBorder="1" applyAlignment="1">
      <alignment horizontal="center" vertical="top" shrinkToFit="1"/>
    </xf>
    <xf numFmtId="1" fontId="3" fillId="0" borderId="56" xfId="0" applyNumberFormat="1" applyFont="1" applyFill="1" applyBorder="1" applyAlignment="1">
      <alignment horizontal="center" vertical="top" shrinkToFit="1"/>
    </xf>
    <xf numFmtId="4" fontId="3" fillId="0" borderId="56" xfId="0" applyNumberFormat="1" applyFont="1" applyFill="1" applyBorder="1" applyAlignment="1">
      <alignment horizontal="right" vertical="top" shrinkToFit="1"/>
    </xf>
    <xf numFmtId="4" fontId="3" fillId="0" borderId="61" xfId="0" applyNumberFormat="1" applyFont="1" applyFill="1" applyBorder="1" applyAlignment="1">
      <alignment horizontal="right" vertical="top" shrinkToFit="1"/>
    </xf>
    <xf numFmtId="4" fontId="3" fillId="0" borderId="62" xfId="0" applyNumberFormat="1" applyFont="1" applyFill="1" applyBorder="1" applyAlignment="1">
      <alignment horizontal="right" vertical="top" shrinkToFit="1"/>
    </xf>
    <xf numFmtId="4" fontId="1" fillId="3" borderId="0" xfId="0" applyNumberFormat="1" applyFont="1" applyFill="1" applyBorder="1" applyAlignment="1">
      <alignment vertical="top"/>
    </xf>
    <xf numFmtId="0" fontId="4" fillId="0" borderId="55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44" fontId="3" fillId="0" borderId="63" xfId="0" applyNumberFormat="1" applyFont="1" applyFill="1" applyBorder="1" applyAlignment="1">
      <alignment shrinkToFit="1"/>
    </xf>
    <xf numFmtId="4" fontId="16" fillId="0" borderId="64" xfId="0" applyNumberFormat="1" applyFont="1" applyBorder="1" applyAlignment="1">
      <alignment horizontal="right" vertical="center" wrapText="1"/>
    </xf>
    <xf numFmtId="2" fontId="16" fillId="0" borderId="64" xfId="1" applyNumberFormat="1" applyFont="1" applyBorder="1" applyAlignment="1">
      <alignment horizontal="center" vertical="center" wrapText="1"/>
    </xf>
    <xf numFmtId="4" fontId="16" fillId="0" borderId="65" xfId="0" applyNumberFormat="1" applyFont="1" applyBorder="1" applyAlignment="1">
      <alignment horizontal="right" vertical="center" wrapText="1"/>
    </xf>
    <xf numFmtId="0" fontId="9" fillId="6" borderId="0" xfId="4" applyFill="1"/>
    <xf numFmtId="0" fontId="16" fillId="0" borderId="64" xfId="0" applyFont="1" applyBorder="1" applyAlignment="1">
      <alignment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 wrapText="1"/>
    </xf>
    <xf numFmtId="0" fontId="9" fillId="0" borderId="0" xfId="4" applyBorder="1"/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left" vertical="top"/>
    </xf>
    <xf numFmtId="0" fontId="0" fillId="0" borderId="0" xfId="0" applyBorder="1"/>
    <xf numFmtId="0" fontId="19" fillId="5" borderId="0" xfId="4" applyFont="1" applyFill="1" applyBorder="1" applyAlignment="1">
      <alignment horizontal="left" vertical="top"/>
    </xf>
    <xf numFmtId="0" fontId="9" fillId="5" borderId="0" xfId="4" applyFill="1" applyBorder="1"/>
    <xf numFmtId="0" fontId="18" fillId="5" borderId="0" xfId="4" applyFont="1" applyFill="1" applyBorder="1" applyAlignment="1">
      <alignment horizontal="center" vertical="center" wrapText="1"/>
    </xf>
    <xf numFmtId="0" fontId="18" fillId="5" borderId="0" xfId="4" applyFont="1" applyFill="1" applyBorder="1" applyAlignment="1">
      <alignment vertical="center" wrapText="1"/>
    </xf>
    <xf numFmtId="4" fontId="18" fillId="5" borderId="0" xfId="4" applyNumberFormat="1" applyFont="1" applyFill="1" applyBorder="1" applyAlignment="1">
      <alignment horizontal="right" vertical="center" wrapText="1"/>
    </xf>
    <xf numFmtId="10" fontId="18" fillId="5" borderId="0" xfId="5" applyNumberFormat="1" applyFont="1" applyFill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vertical="center" wrapText="1"/>
    </xf>
    <xf numFmtId="0" fontId="16" fillId="0" borderId="68" xfId="0" applyFont="1" applyBorder="1" applyAlignment="1">
      <alignment horizontal="center" vertical="center" wrapText="1"/>
    </xf>
    <xf numFmtId="1" fontId="5" fillId="0" borderId="26" xfId="0" applyNumberFormat="1" applyFont="1" applyBorder="1" applyAlignment="1">
      <alignment vertical="top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right" vertical="top" wrapText="1"/>
    </xf>
    <xf numFmtId="17" fontId="5" fillId="0" borderId="12" xfId="0" applyNumberFormat="1" applyFont="1" applyFill="1" applyBorder="1" applyAlignment="1">
      <alignment horizontal="left" vertical="center"/>
    </xf>
    <xf numFmtId="10" fontId="3" fillId="0" borderId="0" xfId="3" applyNumberFormat="1" applyFont="1" applyAlignment="1">
      <alignment horizontal="left" vertical="top"/>
    </xf>
    <xf numFmtId="4" fontId="15" fillId="0" borderId="64" xfId="0" applyNumberFormat="1" applyFont="1" applyBorder="1" applyAlignment="1">
      <alignment horizontal="right" vertical="center" wrapText="1"/>
    </xf>
    <xf numFmtId="4" fontId="15" fillId="0" borderId="65" xfId="0" applyNumberFormat="1" applyFont="1" applyBorder="1" applyAlignment="1">
      <alignment horizontal="right" vertical="center" wrapText="1"/>
    </xf>
    <xf numFmtId="4" fontId="11" fillId="0" borderId="65" xfId="0" applyNumberFormat="1" applyFont="1" applyBorder="1" applyAlignment="1">
      <alignment horizontal="right" vertical="center" wrapText="1"/>
    </xf>
    <xf numFmtId="0" fontId="4" fillId="0" borderId="47" xfId="0" applyFont="1" applyBorder="1" applyAlignment="1">
      <alignment horizontal="left" vertical="top" wrapText="1"/>
    </xf>
    <xf numFmtId="0" fontId="4" fillId="0" borderId="51" xfId="0" applyFont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right" vertical="top" wrapText="1"/>
    </xf>
    <xf numFmtId="0" fontId="1" fillId="2" borderId="19" xfId="0" applyFont="1" applyFill="1" applyBorder="1" applyAlignment="1">
      <alignment horizontal="right" vertical="top" wrapText="1"/>
    </xf>
    <xf numFmtId="0" fontId="1" fillId="2" borderId="20" xfId="0" applyFont="1" applyFill="1" applyBorder="1" applyAlignment="1">
      <alignment horizontal="right" vertical="top" wrapText="1"/>
    </xf>
    <xf numFmtId="0" fontId="3" fillId="0" borderId="1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4" fillId="0" borderId="11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11" xfId="0" applyFont="1" applyBorder="1" applyAlignment="1">
      <alignment horizontal="left" vertical="top" wrapText="1" indent="6"/>
    </xf>
    <xf numFmtId="0" fontId="4" fillId="0" borderId="2" xfId="0" applyFont="1" applyBorder="1" applyAlignment="1">
      <alignment horizontal="left" vertical="top" wrapText="1" indent="6"/>
    </xf>
    <xf numFmtId="0" fontId="4" fillId="0" borderId="3" xfId="0" applyFont="1" applyBorder="1" applyAlignment="1">
      <alignment horizontal="left" vertical="top" wrapText="1" indent="6"/>
    </xf>
    <xf numFmtId="0" fontId="4" fillId="0" borderId="48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31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32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3" fillId="0" borderId="4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5" fillId="0" borderId="2" xfId="0" applyFont="1" applyFill="1" applyBorder="1" applyAlignment="1">
      <alignment horizontal="left" vertical="top" wrapText="1"/>
    </xf>
    <xf numFmtId="44" fontId="3" fillId="0" borderId="25" xfId="2" applyFont="1" applyBorder="1" applyAlignment="1">
      <alignment horizontal="center" vertical="center" shrinkToFit="1"/>
    </xf>
    <xf numFmtId="44" fontId="3" fillId="0" borderId="27" xfId="2" applyFont="1" applyBorder="1" applyAlignment="1">
      <alignment horizontal="center" vertical="center" shrinkToFit="1"/>
    </xf>
    <xf numFmtId="9" fontId="3" fillId="0" borderId="25" xfId="0" applyNumberFormat="1" applyFont="1" applyBorder="1" applyAlignment="1">
      <alignment horizontal="center" vertical="center" shrinkToFit="1"/>
    </xf>
    <xf numFmtId="9" fontId="3" fillId="0" borderId="27" xfId="0" applyNumberFormat="1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right" vertical="center" wrapText="1"/>
    </xf>
    <xf numFmtId="0" fontId="1" fillId="0" borderId="20" xfId="0" applyFont="1" applyBorder="1" applyAlignment="1">
      <alignment horizontal="right" vertical="center" wrapText="1"/>
    </xf>
    <xf numFmtId="1" fontId="3" fillId="0" borderId="43" xfId="0" applyNumberFormat="1" applyFont="1" applyBorder="1" applyAlignment="1">
      <alignment horizontal="center" vertical="center" shrinkToFit="1"/>
    </xf>
    <xf numFmtId="1" fontId="3" fillId="0" borderId="45" xfId="0" applyNumberFormat="1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44" fontId="3" fillId="0" borderId="39" xfId="2" applyFont="1" applyBorder="1" applyAlignment="1">
      <alignment horizontal="center" vertical="center" wrapText="1" shrinkToFit="1"/>
    </xf>
    <xf numFmtId="44" fontId="3" fillId="0" borderId="36" xfId="2" applyFont="1" applyBorder="1" applyAlignment="1">
      <alignment horizontal="center" vertical="center" wrapText="1" shrinkToFit="1"/>
    </xf>
    <xf numFmtId="44" fontId="5" fillId="0" borderId="25" xfId="2" applyFont="1" applyBorder="1" applyAlignment="1">
      <alignment horizontal="center" vertical="center" shrinkToFit="1"/>
    </xf>
    <xf numFmtId="44" fontId="5" fillId="0" borderId="27" xfId="2" applyFont="1" applyBorder="1" applyAlignment="1">
      <alignment horizontal="center" vertical="center" shrinkToFit="1"/>
    </xf>
    <xf numFmtId="1" fontId="5" fillId="0" borderId="46" xfId="0" applyNumberFormat="1" applyFont="1" applyBorder="1" applyAlignment="1">
      <alignment horizontal="center" vertical="center" shrinkToFit="1"/>
    </xf>
    <xf numFmtId="1" fontId="5" fillId="0" borderId="20" xfId="0" applyNumberFormat="1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3" fillId="0" borderId="36" xfId="0" applyFont="1" applyBorder="1" applyAlignment="1">
      <alignment horizontal="left" vertical="center" wrapText="1"/>
    </xf>
    <xf numFmtId="10" fontId="3" fillId="0" borderId="44" xfId="0" applyNumberFormat="1" applyFont="1" applyBorder="1" applyAlignment="1">
      <alignment horizontal="center" vertical="center" shrinkToFit="1"/>
    </xf>
    <xf numFmtId="10" fontId="3" fillId="0" borderId="35" xfId="0" applyNumberFormat="1" applyFont="1" applyBorder="1" applyAlignment="1">
      <alignment horizontal="center" vertical="center" shrinkToFit="1"/>
    </xf>
    <xf numFmtId="164" fontId="3" fillId="0" borderId="47" xfId="0" applyNumberFormat="1" applyFont="1" applyBorder="1" applyAlignment="1">
      <alignment horizontal="center" vertical="center" shrinkToFit="1"/>
    </xf>
    <xf numFmtId="164" fontId="3" fillId="0" borderId="48" xfId="0" applyNumberFormat="1" applyFont="1" applyBorder="1" applyAlignment="1">
      <alignment horizontal="center" vertical="center" shrinkToFit="1"/>
    </xf>
    <xf numFmtId="10" fontId="3" fillId="0" borderId="47" xfId="0" applyNumberFormat="1" applyFont="1" applyBorder="1" applyAlignment="1">
      <alignment horizontal="center" vertical="center" shrinkToFit="1"/>
    </xf>
    <xf numFmtId="10" fontId="3" fillId="0" borderId="48" xfId="0" applyNumberFormat="1" applyFont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17" fontId="1" fillId="0" borderId="25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5" fontId="3" fillId="0" borderId="31" xfId="0" applyNumberFormat="1" applyFont="1" applyBorder="1" applyAlignment="1">
      <alignment horizontal="right"/>
    </xf>
    <xf numFmtId="44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17" fontId="5" fillId="0" borderId="26" xfId="0" applyNumberFormat="1" applyFont="1" applyBorder="1" applyAlignment="1">
      <alignment horizontal="left" vertical="top"/>
    </xf>
    <xf numFmtId="0" fontId="5" fillId="0" borderId="27" xfId="0" applyFont="1" applyBorder="1" applyAlignment="1">
      <alignment horizontal="left" vertical="top"/>
    </xf>
    <xf numFmtId="0" fontId="3" fillId="0" borderId="29" xfId="0" applyFont="1" applyBorder="1" applyAlignment="1">
      <alignment horizontal="right" vertical="top" wrapText="1" indent="1"/>
    </xf>
    <xf numFmtId="0" fontId="8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right" vertical="top" wrapText="1" indent="1"/>
    </xf>
    <xf numFmtId="4" fontId="7" fillId="2" borderId="28" xfId="0" applyNumberFormat="1" applyFont="1" applyFill="1" applyBorder="1" applyAlignment="1">
      <alignment horizontal="right" vertical="center" shrinkToFit="1"/>
    </xf>
    <xf numFmtId="4" fontId="7" fillId="2" borderId="40" xfId="0" applyNumberFormat="1" applyFont="1" applyFill="1" applyBorder="1" applyAlignment="1">
      <alignment horizontal="right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44" fontId="3" fillId="0" borderId="39" xfId="2" applyFont="1" applyBorder="1" applyAlignment="1">
      <alignment horizontal="center" vertical="center" shrinkToFit="1"/>
    </xf>
    <xf numFmtId="44" fontId="3" fillId="0" borderId="34" xfId="2" applyFont="1" applyBorder="1" applyAlignment="1">
      <alignment horizontal="center" vertical="center" shrinkToFit="1"/>
    </xf>
    <xf numFmtId="44" fontId="3" fillId="0" borderId="36" xfId="2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left" vertical="top"/>
    </xf>
    <xf numFmtId="0" fontId="1" fillId="2" borderId="22" xfId="0" applyFont="1" applyFill="1" applyBorder="1" applyAlignment="1">
      <alignment horizontal="center" vertical="top" wrapText="1"/>
    </xf>
    <xf numFmtId="0" fontId="1" fillId="2" borderId="23" xfId="0" applyFont="1" applyFill="1" applyBorder="1" applyAlignment="1">
      <alignment horizontal="center" vertical="top" wrapText="1"/>
    </xf>
    <xf numFmtId="0" fontId="1" fillId="2" borderId="24" xfId="0" applyFont="1" applyFill="1" applyBorder="1" applyAlignment="1">
      <alignment horizontal="center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2" fillId="2" borderId="22" xfId="0" applyFont="1" applyFill="1" applyBorder="1" applyAlignment="1">
      <alignment horizontal="center" vertical="top" wrapText="1"/>
    </xf>
    <xf numFmtId="0" fontId="4" fillId="0" borderId="5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 wrapText="1"/>
    </xf>
    <xf numFmtId="0" fontId="1" fillId="3" borderId="63" xfId="0" applyFont="1" applyFill="1" applyBorder="1" applyAlignment="1">
      <alignment horizontal="center" vertical="center" wrapText="1"/>
    </xf>
    <xf numFmtId="0" fontId="1" fillId="3" borderId="60" xfId="0" applyFont="1" applyFill="1" applyBorder="1" applyAlignment="1">
      <alignment horizontal="center" vertical="center" wrapText="1"/>
    </xf>
    <xf numFmtId="43" fontId="3" fillId="0" borderId="0" xfId="1" applyFont="1" applyBorder="1" applyAlignment="1">
      <alignment horizontal="left" vertical="center" wrapText="1"/>
    </xf>
    <xf numFmtId="43" fontId="3" fillId="0" borderId="0" xfId="1" applyFont="1" applyBorder="1" applyAlignment="1">
      <alignment horizontal="left" vertical="center"/>
    </xf>
    <xf numFmtId="0" fontId="4" fillId="0" borderId="5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right" vertical="center" wrapText="1"/>
    </xf>
    <xf numFmtId="0" fontId="1" fillId="2" borderId="20" xfId="0" applyFont="1" applyFill="1" applyBorder="1" applyAlignment="1">
      <alignment horizontal="right" vertical="center" wrapText="1"/>
    </xf>
    <xf numFmtId="0" fontId="5" fillId="0" borderId="9" xfId="0" applyFont="1" applyBorder="1" applyAlignment="1">
      <alignment horizontal="left" vertical="top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1" fillId="2" borderId="3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32" xfId="0" applyFont="1" applyFill="1" applyBorder="1" applyAlignment="1">
      <alignment horizontal="center" vertical="top" wrapText="1"/>
    </xf>
    <xf numFmtId="0" fontId="4" fillId="0" borderId="51" xfId="0" applyFont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right" vertical="top" wrapText="1"/>
    </xf>
    <xf numFmtId="0" fontId="1" fillId="2" borderId="29" xfId="0" applyFont="1" applyFill="1" applyBorder="1" applyAlignment="1">
      <alignment horizontal="right" vertical="top" wrapText="1"/>
    </xf>
    <xf numFmtId="0" fontId="1" fillId="2" borderId="40" xfId="0" applyFont="1" applyFill="1" applyBorder="1" applyAlignment="1">
      <alignment horizontal="right" vertical="top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2" borderId="28" xfId="0" applyFont="1" applyFill="1" applyBorder="1" applyAlignment="1">
      <alignment horizontal="right" vertical="center" wrapText="1"/>
    </xf>
    <xf numFmtId="0" fontId="1" fillId="2" borderId="29" xfId="0" applyFont="1" applyFill="1" applyBorder="1" applyAlignment="1">
      <alignment horizontal="right" vertical="center" wrapText="1"/>
    </xf>
    <xf numFmtId="0" fontId="1" fillId="2" borderId="40" xfId="0" applyFont="1" applyFill="1" applyBorder="1" applyAlignment="1">
      <alignment horizontal="right" vertical="center" wrapText="1"/>
    </xf>
    <xf numFmtId="0" fontId="5" fillId="0" borderId="25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7" fillId="4" borderId="27" xfId="4" applyFont="1" applyFill="1" applyBorder="1" applyAlignment="1">
      <alignment horizontal="center" vertical="center" wrapText="1"/>
    </xf>
    <xf numFmtId="0" fontId="17" fillId="4" borderId="7" xfId="4" applyFont="1" applyFill="1" applyBorder="1" applyAlignment="1">
      <alignment horizontal="center" vertical="center" wrapText="1"/>
    </xf>
    <xf numFmtId="0" fontId="17" fillId="4" borderId="25" xfId="4" applyFont="1" applyFill="1" applyBorder="1" applyAlignment="1">
      <alignment horizontal="center" vertical="center" wrapText="1"/>
    </xf>
  </cellXfs>
  <cellStyles count="6">
    <cellStyle name="Moeda" xfId="2" builtinId="4"/>
    <cellStyle name="Normal" xfId="0" builtinId="0"/>
    <cellStyle name="Normal 2" xfId="4"/>
    <cellStyle name="Porcentagem" xfId="3" builtinId="5"/>
    <cellStyle name="Porcentagem 2" xf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152401</xdr:rowOff>
    </xdr:from>
    <xdr:to>
      <xdr:col>4</xdr:col>
      <xdr:colOff>276225</xdr:colOff>
      <xdr:row>5</xdr:row>
      <xdr:rowOff>111863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152401"/>
          <a:ext cx="5181600" cy="9119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1666875</xdr:colOff>
      <xdr:row>0</xdr:row>
      <xdr:rowOff>85725</xdr:rowOff>
    </xdr:from>
    <xdr:to>
      <xdr:col>4</xdr:col>
      <xdr:colOff>57150</xdr:colOff>
      <xdr:row>4</xdr:row>
      <xdr:rowOff>138456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85725"/>
          <a:ext cx="4629150" cy="8147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1981200</xdr:colOff>
      <xdr:row>0</xdr:row>
      <xdr:rowOff>104775</xdr:rowOff>
    </xdr:from>
    <xdr:to>
      <xdr:col>5</xdr:col>
      <xdr:colOff>628650</xdr:colOff>
      <xdr:row>4</xdr:row>
      <xdr:rowOff>132360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104775"/>
          <a:ext cx="4486275" cy="78958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I40"/>
  <sheetViews>
    <sheetView showGridLines="0" tabSelected="1" view="pageBreakPreview" zoomScaleNormal="100" zoomScaleSheetLayoutView="100" workbookViewId="0">
      <selection activeCell="E32" sqref="E32"/>
    </sheetView>
  </sheetViews>
  <sheetFormatPr defaultColWidth="9.33203125" defaultRowHeight="15" x14ac:dyDescent="0.2"/>
  <cols>
    <col min="1" max="1" width="13.83203125" style="1" customWidth="1"/>
    <col min="2" max="2" width="33.1640625" style="1" customWidth="1"/>
    <col min="3" max="3" width="37.5" style="1" customWidth="1"/>
    <col min="4" max="4" width="18.6640625" style="1" bestFit="1" customWidth="1"/>
    <col min="5" max="5" width="25.1640625" style="1" customWidth="1"/>
    <col min="6" max="6" width="23.33203125" style="1" customWidth="1"/>
    <col min="7" max="7" width="35.83203125" style="1" customWidth="1"/>
    <col min="8" max="8" width="37.6640625" style="1" customWidth="1"/>
    <col min="9" max="9" width="12" style="1" bestFit="1" customWidth="1"/>
    <col min="10" max="16384" width="9.33203125" style="1"/>
  </cols>
  <sheetData>
    <row r="1" spans="1:8" x14ac:dyDescent="0.2">
      <c r="A1" s="249"/>
      <c r="B1" s="250"/>
      <c r="C1" s="250"/>
      <c r="D1" s="250"/>
      <c r="E1" s="251"/>
    </row>
    <row r="2" spans="1:8" x14ac:dyDescent="0.2">
      <c r="A2" s="252"/>
      <c r="B2" s="253"/>
      <c r="C2" s="253"/>
      <c r="D2" s="253"/>
      <c r="E2" s="254"/>
    </row>
    <row r="3" spans="1:8" x14ac:dyDescent="0.2">
      <c r="A3" s="252"/>
      <c r="B3" s="253"/>
      <c r="C3" s="253"/>
      <c r="D3" s="253"/>
      <c r="E3" s="254"/>
    </row>
    <row r="4" spans="1:8" x14ac:dyDescent="0.2">
      <c r="A4" s="252"/>
      <c r="B4" s="253"/>
      <c r="C4" s="253"/>
      <c r="D4" s="253"/>
      <c r="E4" s="254"/>
    </row>
    <row r="5" spans="1:8" x14ac:dyDescent="0.2">
      <c r="A5" s="252"/>
      <c r="B5" s="253"/>
      <c r="C5" s="253"/>
      <c r="D5" s="253"/>
      <c r="E5" s="254"/>
    </row>
    <row r="6" spans="1:8" x14ac:dyDescent="0.2">
      <c r="A6" s="255"/>
      <c r="B6" s="256"/>
      <c r="C6" s="256"/>
      <c r="D6" s="256"/>
      <c r="E6" s="257"/>
    </row>
    <row r="7" spans="1:8" ht="45.75" customHeight="1" x14ac:dyDescent="0.2">
      <c r="A7" s="268" t="s">
        <v>393</v>
      </c>
      <c r="B7" s="269"/>
      <c r="C7" s="269"/>
      <c r="D7" s="269"/>
      <c r="E7" s="270"/>
    </row>
    <row r="8" spans="1:8" ht="15" customHeight="1" x14ac:dyDescent="0.2">
      <c r="A8" s="6" t="s">
        <v>3</v>
      </c>
      <c r="B8" s="271" t="s">
        <v>390</v>
      </c>
      <c r="C8" s="271"/>
      <c r="D8" s="3" t="s">
        <v>0</v>
      </c>
      <c r="E8" s="7" t="s">
        <v>1</v>
      </c>
    </row>
    <row r="9" spans="1:8" x14ac:dyDescent="0.2">
      <c r="A9" s="6" t="s">
        <v>4</v>
      </c>
      <c r="B9" s="271" t="s">
        <v>394</v>
      </c>
      <c r="C9" s="271"/>
      <c r="D9" s="3"/>
      <c r="E9" s="8" t="s">
        <v>2</v>
      </c>
    </row>
    <row r="10" spans="1:8" ht="49.5" customHeight="1" x14ac:dyDescent="0.2">
      <c r="A10" s="6" t="s">
        <v>5</v>
      </c>
      <c r="B10" s="271" t="s">
        <v>391</v>
      </c>
      <c r="C10" s="271"/>
      <c r="D10" s="164" t="s">
        <v>6</v>
      </c>
      <c r="E10" s="224">
        <v>46113</v>
      </c>
    </row>
    <row r="11" spans="1:8" x14ac:dyDescent="0.2">
      <c r="A11" s="6" t="s">
        <v>8</v>
      </c>
      <c r="B11" s="222" t="s">
        <v>392</v>
      </c>
      <c r="C11" s="223" t="s">
        <v>7</v>
      </c>
      <c r="D11" s="134">
        <v>10</v>
      </c>
      <c r="E11" s="8" t="s">
        <v>378</v>
      </c>
      <c r="F11" s="154"/>
    </row>
    <row r="12" spans="1:8" x14ac:dyDescent="0.2">
      <c r="A12" s="265">
        <v>63997.919999999998</v>
      </c>
      <c r="B12" s="266"/>
      <c r="C12" s="266"/>
      <c r="D12" s="266"/>
      <c r="E12" s="267"/>
    </row>
    <row r="13" spans="1:8" hidden="1" x14ac:dyDescent="0.25">
      <c r="A13" s="237"/>
      <c r="B13" s="238"/>
      <c r="C13" s="238"/>
      <c r="D13" s="258"/>
      <c r="E13" s="259"/>
    </row>
    <row r="14" spans="1:8" x14ac:dyDescent="0.2">
      <c r="A14" s="261" t="s">
        <v>9</v>
      </c>
      <c r="B14" s="262"/>
      <c r="C14" s="262"/>
      <c r="D14" s="260" t="s">
        <v>25</v>
      </c>
      <c r="E14" s="260"/>
    </row>
    <row r="15" spans="1:8" x14ac:dyDescent="0.2">
      <c r="A15" s="263"/>
      <c r="B15" s="264"/>
      <c r="C15" s="264"/>
      <c r="D15" s="70" t="s">
        <v>10</v>
      </c>
      <c r="E15" s="70" t="s">
        <v>11</v>
      </c>
      <c r="H15" s="108"/>
    </row>
    <row r="16" spans="1:8" x14ac:dyDescent="0.25">
      <c r="A16" s="231" t="s">
        <v>20</v>
      </c>
      <c r="B16" s="232"/>
      <c r="C16" s="233"/>
      <c r="D16" s="4"/>
      <c r="E16" s="124">
        <f>ROUND(D18+D19,2)</f>
        <v>24014.560000000001</v>
      </c>
      <c r="F16" s="108">
        <f>'3 Resumo do Orçamento'!C22</f>
        <v>24014.560000000005</v>
      </c>
      <c r="G16"/>
      <c r="H16"/>
    </row>
    <row r="17" spans="1:8" hidden="1" x14ac:dyDescent="0.25">
      <c r="A17" s="93" t="s">
        <v>16</v>
      </c>
      <c r="B17" s="229">
        <f>'3 Resumo do Orçamento'!A18:B18</f>
        <v>0</v>
      </c>
      <c r="C17" s="230"/>
      <c r="D17" s="94">
        <v>0</v>
      </c>
      <c r="E17" s="125"/>
      <c r="F17" s="108"/>
      <c r="G17"/>
      <c r="H17"/>
    </row>
    <row r="18" spans="1:8" x14ac:dyDescent="0.2">
      <c r="A18" s="159" t="s">
        <v>387</v>
      </c>
      <c r="B18" s="247" t="s">
        <v>388</v>
      </c>
      <c r="C18" s="248"/>
      <c r="D18" s="126">
        <f>'3 Resumo do Orçamento'!C17+'3 Resumo do Orçamento'!C18+'3 Resumo do Orçamento'!C19+'3 Resumo do Orçamento'!C20</f>
        <v>24014.560000000005</v>
      </c>
      <c r="E18" s="126">
        <f>D18</f>
        <v>24014.560000000005</v>
      </c>
      <c r="F18" s="108"/>
      <c r="G18" s="130"/>
      <c r="H18" s="107"/>
    </row>
    <row r="19" spans="1:8" hidden="1" x14ac:dyDescent="0.2">
      <c r="A19" s="158" t="s">
        <v>381</v>
      </c>
      <c r="B19" s="156" t="s">
        <v>383</v>
      </c>
      <c r="C19" s="137"/>
      <c r="D19" s="126">
        <f>'3 Resumo do Orçamento'!H21</f>
        <v>0</v>
      </c>
      <c r="E19" s="126">
        <f>'3 Resumo do Orçamento'!I21</f>
        <v>0</v>
      </c>
      <c r="F19" s="108"/>
      <c r="G19"/>
      <c r="H19"/>
    </row>
    <row r="20" spans="1:8" hidden="1" x14ac:dyDescent="0.2">
      <c r="A20" s="157" t="s">
        <v>12</v>
      </c>
      <c r="B20" s="12" t="s">
        <v>377</v>
      </c>
      <c r="C20" s="97"/>
      <c r="D20" s="100"/>
      <c r="E20" s="126">
        <v>0</v>
      </c>
      <c r="F20" s="108"/>
      <c r="G20"/>
      <c r="H20"/>
    </row>
    <row r="21" spans="1:8" hidden="1" x14ac:dyDescent="0.2">
      <c r="A21" s="98" t="s">
        <v>121</v>
      </c>
      <c r="B21" s="12" t="str">
        <f>VLOOKUP(A21,DNIT_MDO!B7:C107,2,0)</f>
        <v>Biólogo pleno</v>
      </c>
      <c r="C21" s="97"/>
      <c r="D21" s="100"/>
      <c r="E21" s="126">
        <v>0</v>
      </c>
      <c r="F21" s="108"/>
      <c r="G21"/>
      <c r="H21"/>
    </row>
    <row r="22" spans="1:8" hidden="1" x14ac:dyDescent="0.2">
      <c r="A22" s="98" t="s">
        <v>14</v>
      </c>
      <c r="B22" s="12" t="str">
        <f>VLOOKUP(A22,DNIT_MDO!B8:C108,2,0)</f>
        <v>Técnico ambiental</v>
      </c>
      <c r="C22" s="97"/>
      <c r="D22" s="100"/>
      <c r="E22" s="126">
        <v>0</v>
      </c>
      <c r="F22" s="108"/>
      <c r="G22"/>
      <c r="H22"/>
    </row>
    <row r="23" spans="1:8" hidden="1" x14ac:dyDescent="0.2">
      <c r="A23" s="98" t="s">
        <v>273</v>
      </c>
      <c r="B23" s="12" t="str">
        <f>VLOOKUP(A23,DNIT_MDO!B9:C109,2,0)</f>
        <v>Laboratorista</v>
      </c>
      <c r="C23" s="97"/>
      <c r="D23" s="100"/>
      <c r="E23" s="126">
        <v>0</v>
      </c>
      <c r="F23" s="108"/>
      <c r="G23"/>
      <c r="H23">
        <f>41.335+17.949+11.379+15.716</f>
        <v>86.379000000000005</v>
      </c>
    </row>
    <row r="24" spans="1:8" hidden="1" x14ac:dyDescent="0.2">
      <c r="A24" s="98" t="s">
        <v>208</v>
      </c>
      <c r="B24" s="12" t="str">
        <f>VLOOKUP(A24,DNIT_MDO!B10:C110,2,0)</f>
        <v>Auxiliar de laboratório</v>
      </c>
      <c r="C24" s="97"/>
      <c r="D24" s="100"/>
      <c r="E24" s="126">
        <v>0</v>
      </c>
      <c r="F24" s="108"/>
      <c r="G24"/>
      <c r="H24"/>
    </row>
    <row r="25" spans="1:8" hidden="1" x14ac:dyDescent="0.2">
      <c r="A25" s="98" t="s">
        <v>206</v>
      </c>
      <c r="B25" s="12" t="str">
        <f>VLOOKUP(A25,DNIT_MDO!B11:C111,2,0)</f>
        <v>Auxiliar administrativo</v>
      </c>
      <c r="C25" s="97"/>
      <c r="D25" s="100"/>
      <c r="E25" s="126">
        <v>0</v>
      </c>
      <c r="F25" s="108"/>
      <c r="G25"/>
      <c r="H25"/>
    </row>
    <row r="26" spans="1:8" hidden="1" x14ac:dyDescent="0.2">
      <c r="A26" s="99" t="s">
        <v>16</v>
      </c>
      <c r="B26" s="245" t="str">
        <f>VLOOKUP(A26,DNIT_MDO!B12:C112,2,0)</f>
        <v>Motorista de veículo leve</v>
      </c>
      <c r="C26" s="246" t="str">
        <f>VLOOKUP(B26,DNIT_MDO!C12:D112,2,0)</f>
        <v>mês</v>
      </c>
      <c r="D26" s="95"/>
      <c r="E26" s="127">
        <v>0</v>
      </c>
      <c r="F26" s="108"/>
      <c r="G26"/>
      <c r="H26"/>
    </row>
    <row r="27" spans="1:8" x14ac:dyDescent="0.25">
      <c r="A27" s="231" t="s">
        <v>21</v>
      </c>
      <c r="B27" s="232"/>
      <c r="C27" s="233"/>
      <c r="D27" s="2"/>
      <c r="E27" s="123">
        <f>ROUND(E28+E29+E30,2)</f>
        <v>6819.97</v>
      </c>
      <c r="F27" s="108">
        <f>'3 Resumo do Orçamento'!D22+'3 Resumo do Orçamento'!E22+'3 Resumo do Orçamento'!F22</f>
        <v>6819.9699999999993</v>
      </c>
    </row>
    <row r="28" spans="1:8" x14ac:dyDescent="0.25">
      <c r="A28" s="242" t="s">
        <v>17</v>
      </c>
      <c r="B28" s="243"/>
      <c r="C28" s="244"/>
      <c r="D28" s="122">
        <f>'5 Veículos'!L10</f>
        <v>2640.02</v>
      </c>
      <c r="E28" s="128">
        <f>D28</f>
        <v>2640.02</v>
      </c>
      <c r="F28" s="108"/>
    </row>
    <row r="29" spans="1:8" x14ac:dyDescent="0.25">
      <c r="A29" s="242" t="s">
        <v>18</v>
      </c>
      <c r="B29" s="243"/>
      <c r="C29" s="244"/>
      <c r="D29" s="122">
        <f>'6 Equipamentos'!H11</f>
        <v>3342.62</v>
      </c>
      <c r="E29" s="128">
        <f>D29</f>
        <v>3342.62</v>
      </c>
      <c r="F29" s="108"/>
    </row>
    <row r="30" spans="1:8" x14ac:dyDescent="0.25">
      <c r="A30" s="242" t="s">
        <v>19</v>
      </c>
      <c r="B30" s="243"/>
      <c r="C30" s="244"/>
      <c r="D30" s="122">
        <f>'7 Instalações'!K14</f>
        <v>837.32999999999993</v>
      </c>
      <c r="E30" s="128">
        <f>D30</f>
        <v>837.32999999999993</v>
      </c>
      <c r="F30" s="108"/>
    </row>
    <row r="31" spans="1:8" x14ac:dyDescent="0.25">
      <c r="A31" s="237"/>
      <c r="B31" s="238"/>
      <c r="C31" s="239"/>
      <c r="D31" s="69"/>
      <c r="E31" s="9"/>
      <c r="F31" s="108"/>
    </row>
    <row r="32" spans="1:8" x14ac:dyDescent="0.25">
      <c r="A32" s="231" t="s">
        <v>22</v>
      </c>
      <c r="B32" s="232"/>
      <c r="C32" s="233"/>
      <c r="D32" s="2"/>
      <c r="E32" s="123">
        <f>ROUND(E27+E16,2)</f>
        <v>30834.53</v>
      </c>
      <c r="F32" s="108">
        <f>'3 Resumo do Orçamento'!H22</f>
        <v>30834.53</v>
      </c>
    </row>
    <row r="33" spans="1:9" x14ac:dyDescent="0.25">
      <c r="A33" s="237"/>
      <c r="B33" s="238"/>
      <c r="C33" s="239"/>
      <c r="D33" s="69"/>
      <c r="E33" s="9"/>
      <c r="F33" s="108"/>
    </row>
    <row r="34" spans="1:9" ht="30" x14ac:dyDescent="0.25">
      <c r="A34" s="231" t="s">
        <v>23</v>
      </c>
      <c r="B34" s="232"/>
      <c r="C34" s="96" t="s">
        <v>26</v>
      </c>
      <c r="D34" s="2"/>
      <c r="E34" s="131">
        <f>D35</f>
        <v>44719.32</v>
      </c>
      <c r="F34" s="108"/>
    </row>
    <row r="35" spans="1:9" ht="15" customHeight="1" x14ac:dyDescent="0.25">
      <c r="A35" s="240" t="s">
        <v>367</v>
      </c>
      <c r="B35" s="241"/>
      <c r="C35" s="129">
        <v>0.45029999999999998</v>
      </c>
      <c r="D35" s="122">
        <f>ROUND(E32+(E32*C35),2)</f>
        <v>44719.32</v>
      </c>
      <c r="E35" s="9"/>
      <c r="F35" s="108"/>
    </row>
    <row r="36" spans="1:9" x14ac:dyDescent="0.25">
      <c r="A36" s="237"/>
      <c r="B36" s="238"/>
      <c r="C36" s="239"/>
      <c r="D36" s="69"/>
      <c r="E36" s="9"/>
      <c r="F36" s="108"/>
      <c r="H36" s="168"/>
    </row>
    <row r="37" spans="1:9" ht="15" customHeight="1" x14ac:dyDescent="0.2">
      <c r="A37" s="234" t="s">
        <v>24</v>
      </c>
      <c r="B37" s="235"/>
      <c r="C37" s="235"/>
      <c r="D37" s="236"/>
      <c r="E37" s="10">
        <f>E34</f>
        <v>44719.32</v>
      </c>
      <c r="F37" s="108">
        <f>'3 Resumo do Orçamento'!I22</f>
        <v>44719.32</v>
      </c>
      <c r="G37" s="59"/>
      <c r="H37" s="169"/>
      <c r="I37" s="167"/>
    </row>
    <row r="39" spans="1:9" x14ac:dyDescent="0.2">
      <c r="E39" s="11"/>
      <c r="F39" s="108"/>
      <c r="H39" s="166"/>
    </row>
    <row r="40" spans="1:9" x14ac:dyDescent="0.2">
      <c r="D40" s="108">
        <f>E37/73.5</f>
        <v>608.42612244897964</v>
      </c>
      <c r="E40" s="11"/>
      <c r="I40" s="170"/>
    </row>
  </sheetData>
  <mergeCells count="24">
    <mergeCell ref="A1:E6"/>
    <mergeCell ref="A13:E13"/>
    <mergeCell ref="D14:E14"/>
    <mergeCell ref="A14:C15"/>
    <mergeCell ref="A12:E12"/>
    <mergeCell ref="A7:E7"/>
    <mergeCell ref="B10:C10"/>
    <mergeCell ref="B8:C8"/>
    <mergeCell ref="B9:C9"/>
    <mergeCell ref="B17:C17"/>
    <mergeCell ref="A16:C16"/>
    <mergeCell ref="A37:D37"/>
    <mergeCell ref="A34:B34"/>
    <mergeCell ref="A36:C36"/>
    <mergeCell ref="A32:C32"/>
    <mergeCell ref="A33:C33"/>
    <mergeCell ref="A35:B35"/>
    <mergeCell ref="A29:C29"/>
    <mergeCell ref="A30:C30"/>
    <mergeCell ref="A31:C31"/>
    <mergeCell ref="A28:C28"/>
    <mergeCell ref="B26:C26"/>
    <mergeCell ref="A27:C27"/>
    <mergeCell ref="B18:C18"/>
  </mergeCells>
  <printOptions horizontalCentered="1"/>
  <pageMargins left="0.11811023622047245" right="0.11811023622047245" top="1.4960629921259843" bottom="0.74803149606299213" header="0" footer="0"/>
  <pageSetup paperSize="9" scale="89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37"/>
  <sheetViews>
    <sheetView showGridLines="0" view="pageBreakPreview" zoomScale="85" zoomScaleNormal="100" zoomScaleSheetLayoutView="85" workbookViewId="0">
      <selection activeCell="K16" sqref="K16"/>
    </sheetView>
  </sheetViews>
  <sheetFormatPr defaultColWidth="12.5" defaultRowHeight="15" x14ac:dyDescent="0.2"/>
  <cols>
    <col min="1" max="1" width="12.83203125" style="1" bestFit="1" customWidth="1"/>
    <col min="2" max="2" width="72.33203125" style="1" customWidth="1"/>
    <col min="3" max="3" width="18" style="1" bestFit="1" customWidth="1"/>
    <col min="4" max="4" width="18.83203125" style="1" customWidth="1"/>
    <col min="5" max="5" width="16.6640625" style="1" bestFit="1" customWidth="1"/>
    <col min="6" max="6" width="13.33203125" style="1" customWidth="1"/>
    <col min="7" max="7" width="22.33203125" style="1" customWidth="1"/>
    <col min="8" max="8" width="16.6640625" style="1" bestFit="1" customWidth="1"/>
    <col min="9" max="10" width="12.5" style="1"/>
    <col min="11" max="11" width="29.5" style="1" customWidth="1"/>
    <col min="12" max="16384" width="12.5" style="1"/>
  </cols>
  <sheetData>
    <row r="1" spans="1:7" x14ac:dyDescent="0.2">
      <c r="A1" s="249"/>
      <c r="B1" s="250"/>
      <c r="C1" s="250"/>
      <c r="D1" s="250"/>
      <c r="E1" s="250"/>
      <c r="F1" s="250"/>
      <c r="G1" s="251"/>
    </row>
    <row r="2" spans="1:7" x14ac:dyDescent="0.2">
      <c r="A2" s="252"/>
      <c r="B2" s="253"/>
      <c r="C2" s="253"/>
      <c r="D2" s="253"/>
      <c r="E2" s="253"/>
      <c r="F2" s="253"/>
      <c r="G2" s="254"/>
    </row>
    <row r="3" spans="1:7" x14ac:dyDescent="0.2">
      <c r="A3" s="252"/>
      <c r="B3" s="253"/>
      <c r="C3" s="253"/>
      <c r="D3" s="253"/>
      <c r="E3" s="253"/>
      <c r="F3" s="253"/>
      <c r="G3" s="254"/>
    </row>
    <row r="4" spans="1:7" x14ac:dyDescent="0.2">
      <c r="A4" s="252"/>
      <c r="B4" s="253"/>
      <c r="C4" s="253"/>
      <c r="D4" s="253"/>
      <c r="E4" s="253"/>
      <c r="F4" s="253"/>
      <c r="G4" s="254"/>
    </row>
    <row r="5" spans="1:7" x14ac:dyDescent="0.2">
      <c r="A5" s="255"/>
      <c r="B5" s="256"/>
      <c r="C5" s="256"/>
      <c r="D5" s="256"/>
      <c r="E5" s="256"/>
      <c r="F5" s="256"/>
      <c r="G5" s="257"/>
    </row>
    <row r="6" spans="1:7" s="38" customFormat="1" x14ac:dyDescent="0.2">
      <c r="A6" s="297" t="s">
        <v>82</v>
      </c>
      <c r="B6" s="298"/>
      <c r="C6" s="298"/>
      <c r="D6" s="298"/>
      <c r="E6" s="298"/>
      <c r="F6" s="298"/>
      <c r="G6" s="299"/>
    </row>
    <row r="7" spans="1:7" s="38" customFormat="1" ht="42.75" customHeight="1" x14ac:dyDescent="0.2">
      <c r="A7" s="300" t="str">
        <f>'1 Quadro Resumo'!A7</f>
        <v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v>
      </c>
      <c r="B7" s="300"/>
      <c r="C7" s="300"/>
      <c r="D7" s="300"/>
      <c r="E7" s="260" t="s">
        <v>83</v>
      </c>
      <c r="F7" s="260"/>
      <c r="G7" s="260"/>
    </row>
    <row r="8" spans="1:7" s="38" customFormat="1" ht="18.75" customHeight="1" x14ac:dyDescent="0.2">
      <c r="A8" s="300"/>
      <c r="B8" s="300"/>
      <c r="C8" s="300"/>
      <c r="D8" s="300"/>
      <c r="E8" s="260" t="s">
        <v>84</v>
      </c>
      <c r="F8" s="260"/>
      <c r="G8" s="260"/>
    </row>
    <row r="9" spans="1:7" s="38" customFormat="1" ht="45" x14ac:dyDescent="0.2">
      <c r="A9" s="39" t="s">
        <v>85</v>
      </c>
      <c r="B9" s="40" t="str">
        <f>'1 Quadro Resumo'!B8</f>
        <v>Campo Grande - MS e Nova Alvorada do Sul - MS</v>
      </c>
      <c r="C9" s="41" t="s">
        <v>86</v>
      </c>
      <c r="D9" s="162" t="str">
        <f>'1 Quadro Resumo'!B9</f>
        <v>Ponte sobre o Rio Anhanduí (CG-342)</v>
      </c>
      <c r="E9" s="304" t="s">
        <v>87</v>
      </c>
      <c r="F9" s="305"/>
      <c r="G9" s="20" t="s">
        <v>379</v>
      </c>
    </row>
    <row r="10" spans="1:7" s="38" customFormat="1" ht="30" x14ac:dyDescent="0.2">
      <c r="A10" s="42" t="s">
        <v>5</v>
      </c>
      <c r="B10" s="43" t="str">
        <f>'1 Quadro Resumo'!B10</f>
        <v>Ponte sobre o Rio Anhanduí                                                          Coordenadas S 21° 24' 06.95" W 54° 07' 51.18"</v>
      </c>
      <c r="C10" s="44" t="s">
        <v>8</v>
      </c>
      <c r="D10" s="43" t="str">
        <f>'1 Quadro Resumo'!B11</f>
        <v>70,00 metros</v>
      </c>
      <c r="E10" s="306">
        <f>'1 Quadro Resumo'!E10</f>
        <v>46113</v>
      </c>
      <c r="F10" s="307"/>
      <c r="G10" s="5">
        <f>'1 Quadro Resumo'!D11</f>
        <v>10</v>
      </c>
    </row>
    <row r="11" spans="1:7" s="38" customFormat="1" x14ac:dyDescent="0.2">
      <c r="A11" s="301" t="s">
        <v>88</v>
      </c>
      <c r="B11" s="302"/>
      <c r="C11" s="302"/>
      <c r="D11" s="302"/>
      <c r="E11" s="302"/>
      <c r="F11" s="302"/>
      <c r="G11" s="303"/>
    </row>
    <row r="12" spans="1:7" s="50" customFormat="1" x14ac:dyDescent="0.2">
      <c r="A12" s="45" t="s">
        <v>46</v>
      </c>
      <c r="B12" s="46" t="s">
        <v>89</v>
      </c>
      <c r="C12" s="47" t="s">
        <v>90</v>
      </c>
      <c r="D12" s="48" t="s">
        <v>91</v>
      </c>
      <c r="E12" s="286">
        <v>30</v>
      </c>
      <c r="F12" s="287"/>
      <c r="G12" s="49" t="s">
        <v>92</v>
      </c>
    </row>
    <row r="13" spans="1:7" s="38" customFormat="1" x14ac:dyDescent="0.2">
      <c r="A13" s="278">
        <v>1</v>
      </c>
      <c r="B13" s="280" t="s">
        <v>93</v>
      </c>
      <c r="C13" s="282">
        <f>'3 Resumo do Orçamento'!I17</f>
        <v>13378.06</v>
      </c>
      <c r="D13" s="295">
        <f>'3 Resumo do Orçamento'!I17/'3 Resumo do Orçamento'!I22</f>
        <v>0.29915615890402625</v>
      </c>
      <c r="E13" s="274">
        <v>1</v>
      </c>
      <c r="F13" s="275"/>
      <c r="G13" s="63">
        <v>1</v>
      </c>
    </row>
    <row r="14" spans="1:7" s="38" customFormat="1" x14ac:dyDescent="0.2">
      <c r="A14" s="279"/>
      <c r="B14" s="281"/>
      <c r="C14" s="283"/>
      <c r="D14" s="296"/>
      <c r="E14" s="272">
        <f>($C$13*E13)</f>
        <v>13378.06</v>
      </c>
      <c r="F14" s="273"/>
      <c r="G14" s="65">
        <f>E14+F14</f>
        <v>13378.06</v>
      </c>
    </row>
    <row r="15" spans="1:7" s="38" customFormat="1" x14ac:dyDescent="0.2">
      <c r="A15" s="278">
        <v>2</v>
      </c>
      <c r="B15" s="280" t="s">
        <v>396</v>
      </c>
      <c r="C15" s="282">
        <f>'3 Resumo do Orçamento'!I18</f>
        <v>16923.55</v>
      </c>
      <c r="D15" s="295">
        <f>'3 Resumo do Orçamento'!I18/'3 Resumo do Orçamento'!I22</f>
        <v>0.37843934120644052</v>
      </c>
      <c r="E15" s="274">
        <v>1</v>
      </c>
      <c r="F15" s="275"/>
      <c r="G15" s="63">
        <v>1</v>
      </c>
    </row>
    <row r="16" spans="1:7" s="38" customFormat="1" ht="84.75" customHeight="1" x14ac:dyDescent="0.2">
      <c r="A16" s="279"/>
      <c r="B16" s="281"/>
      <c r="C16" s="283"/>
      <c r="D16" s="296"/>
      <c r="E16" s="272">
        <f>($C$15*E15)</f>
        <v>16923.55</v>
      </c>
      <c r="F16" s="273"/>
      <c r="G16" s="65">
        <f>E16+F16</f>
        <v>16923.55</v>
      </c>
    </row>
    <row r="17" spans="1:11" s="38" customFormat="1" x14ac:dyDescent="0.2">
      <c r="A17" s="278">
        <v>4</v>
      </c>
      <c r="B17" s="280" t="s">
        <v>395</v>
      </c>
      <c r="C17" s="282">
        <f>'3 Resumo do Orçamento'!I19</f>
        <v>14417.71</v>
      </c>
      <c r="D17" s="295">
        <f>'3 Resumo do Orçamento'!I19/'3 Resumo do Orçamento'!I22</f>
        <v>0.32240449988953318</v>
      </c>
      <c r="E17" s="274">
        <v>1</v>
      </c>
      <c r="F17" s="275"/>
      <c r="G17" s="63"/>
    </row>
    <row r="18" spans="1:11" s="38" customFormat="1" ht="39" customHeight="1" x14ac:dyDescent="0.2">
      <c r="A18" s="279"/>
      <c r="B18" s="281"/>
      <c r="C18" s="283"/>
      <c r="D18" s="296"/>
      <c r="E18" s="272">
        <f>($C$17*E17)</f>
        <v>14417.71</v>
      </c>
      <c r="F18" s="273"/>
      <c r="G18" s="91">
        <f>E18+F18</f>
        <v>14417.71</v>
      </c>
    </row>
    <row r="19" spans="1:11" s="38" customFormat="1" hidden="1" x14ac:dyDescent="0.2">
      <c r="A19" s="278">
        <v>4</v>
      </c>
      <c r="B19" s="280" t="s">
        <v>365</v>
      </c>
      <c r="C19" s="282">
        <f>'3 Resumo do Orçamento'!I20</f>
        <v>0</v>
      </c>
      <c r="D19" s="291">
        <f>'3 Resumo do Orçamento'!I20/'3 Resumo do Orçamento'!I22</f>
        <v>0</v>
      </c>
      <c r="E19" s="274">
        <v>1</v>
      </c>
      <c r="F19" s="275"/>
      <c r="G19" s="63">
        <v>1</v>
      </c>
    </row>
    <row r="20" spans="1:11" s="38" customFormat="1" hidden="1" x14ac:dyDescent="0.2">
      <c r="A20" s="279"/>
      <c r="B20" s="290"/>
      <c r="C20" s="283"/>
      <c r="D20" s="292"/>
      <c r="E20" s="272">
        <f>($C$19*E19)</f>
        <v>0</v>
      </c>
      <c r="F20" s="273"/>
      <c r="G20" s="101">
        <f>F20+E20</f>
        <v>0</v>
      </c>
    </row>
    <row r="21" spans="1:11" s="38" customFormat="1" hidden="1" x14ac:dyDescent="0.2">
      <c r="A21" s="278">
        <v>5</v>
      </c>
      <c r="B21" s="280" t="s">
        <v>377</v>
      </c>
      <c r="C21" s="282">
        <f>'3 Resumo do Orçamento'!I21</f>
        <v>0</v>
      </c>
      <c r="D21" s="293">
        <f>'3 Resumo do Orçamento'!I21/'3 Resumo do Orçamento'!I22</f>
        <v>0</v>
      </c>
      <c r="E21" s="274">
        <v>1</v>
      </c>
      <c r="F21" s="275"/>
      <c r="G21" s="63">
        <v>1</v>
      </c>
    </row>
    <row r="22" spans="1:11" s="38" customFormat="1" hidden="1" x14ac:dyDescent="0.2">
      <c r="A22" s="279"/>
      <c r="B22" s="290"/>
      <c r="C22" s="283"/>
      <c r="D22" s="294"/>
      <c r="E22" s="272">
        <f>($C$21*E21)</f>
        <v>0</v>
      </c>
      <c r="F22" s="273"/>
      <c r="G22" s="66">
        <f>E22+F22</f>
        <v>0</v>
      </c>
    </row>
    <row r="23" spans="1:11" s="38" customFormat="1" x14ac:dyDescent="0.2">
      <c r="A23" s="288" t="s">
        <v>94</v>
      </c>
      <c r="B23" s="289"/>
      <c r="C23" s="51">
        <f>SUM(C13:C22)</f>
        <v>44719.32</v>
      </c>
      <c r="D23" s="140">
        <f>SUM(D13:D22)</f>
        <v>1</v>
      </c>
      <c r="E23" s="274">
        <v>1</v>
      </c>
      <c r="F23" s="275"/>
      <c r="G23" s="63">
        <v>1</v>
      </c>
    </row>
    <row r="24" spans="1:11" s="38" customFormat="1" x14ac:dyDescent="0.2">
      <c r="A24" s="288" t="s">
        <v>95</v>
      </c>
      <c r="B24" s="289"/>
      <c r="C24" s="52"/>
      <c r="D24" s="53"/>
      <c r="E24" s="284">
        <f>E14+E16+E18+E22+E20</f>
        <v>44719.32</v>
      </c>
      <c r="F24" s="285"/>
      <c r="G24" s="135">
        <f>G14+G16+G18+G22+G20</f>
        <v>44719.32</v>
      </c>
    </row>
    <row r="25" spans="1:11" s="38" customFormat="1" x14ac:dyDescent="0.2">
      <c r="A25" s="276" t="s">
        <v>96</v>
      </c>
      <c r="B25" s="277"/>
      <c r="C25" s="54"/>
      <c r="D25" s="55"/>
      <c r="E25" s="284">
        <f>E24</f>
        <v>44719.32</v>
      </c>
      <c r="F25" s="285"/>
      <c r="G25" s="136">
        <f>G24</f>
        <v>44719.32</v>
      </c>
      <c r="H25" s="139">
        <f>'3 Resumo do Orçamento'!I22</f>
        <v>44719.32</v>
      </c>
      <c r="K25" s="139"/>
    </row>
    <row r="26" spans="1:11" s="38" customFormat="1" x14ac:dyDescent="0.2">
      <c r="F26" s="139">
        <f>E24+F24</f>
        <v>44719.32</v>
      </c>
      <c r="K26" s="139"/>
    </row>
    <row r="27" spans="1:11" x14ac:dyDescent="0.2">
      <c r="C27" s="117">
        <f>C13+C15+C17+C19</f>
        <v>44719.32</v>
      </c>
      <c r="F27" s="117">
        <f>E25+F25</f>
        <v>44719.32</v>
      </c>
      <c r="G27" s="117"/>
      <c r="J27" s="1">
        <f>23.5-0.18</f>
        <v>23.32</v>
      </c>
      <c r="K27" s="117"/>
    </row>
    <row r="28" spans="1:11" x14ac:dyDescent="0.2">
      <c r="G28" s="117">
        <f>G24-G22</f>
        <v>44719.32</v>
      </c>
      <c r="J28" s="138"/>
      <c r="K28" s="117"/>
    </row>
    <row r="29" spans="1:11" x14ac:dyDescent="0.2">
      <c r="F29" s="117">
        <f>C23-'1 Quadro Resumo'!E37</f>
        <v>0</v>
      </c>
      <c r="G29" s="117"/>
      <c r="K29" s="117"/>
    </row>
    <row r="30" spans="1:11" x14ac:dyDescent="0.2">
      <c r="B30" s="117">
        <f>C13+C15+C17+C19</f>
        <v>44719.32</v>
      </c>
      <c r="G30" s="117"/>
      <c r="K30" s="117"/>
    </row>
    <row r="31" spans="1:11" x14ac:dyDescent="0.2">
      <c r="G31" s="161">
        <f>'3 Resumo do Orçamento'!G35</f>
        <v>0.2775955398055362</v>
      </c>
    </row>
    <row r="32" spans="1:11" x14ac:dyDescent="0.2">
      <c r="D32" s="117">
        <f>C23-'1 Quadro Resumo'!E37</f>
        <v>0</v>
      </c>
      <c r="G32" s="117"/>
    </row>
    <row r="33" spans="7:8" x14ac:dyDescent="0.2">
      <c r="G33" s="117"/>
    </row>
    <row r="35" spans="7:8" x14ac:dyDescent="0.2">
      <c r="G35" s="1">
        <v>40</v>
      </c>
      <c r="H35" s="1">
        <v>121</v>
      </c>
    </row>
    <row r="36" spans="7:8" x14ac:dyDescent="0.2">
      <c r="G36" s="1">
        <v>100</v>
      </c>
      <c r="H36" s="1" t="s">
        <v>389</v>
      </c>
    </row>
    <row r="37" spans="7:8" x14ac:dyDescent="0.2">
      <c r="H37" s="1">
        <f>(G36*H35)/G35</f>
        <v>302.5</v>
      </c>
    </row>
  </sheetData>
  <mergeCells count="45">
    <mergeCell ref="A13:A14"/>
    <mergeCell ref="B13:B14"/>
    <mergeCell ref="C13:C14"/>
    <mergeCell ref="D13:D14"/>
    <mergeCell ref="A15:A16"/>
    <mergeCell ref="B15:B16"/>
    <mergeCell ref="C15:C16"/>
    <mergeCell ref="D15:D16"/>
    <mergeCell ref="A6:G6"/>
    <mergeCell ref="A7:D8"/>
    <mergeCell ref="E7:G7"/>
    <mergeCell ref="E8:G8"/>
    <mergeCell ref="A11:G11"/>
    <mergeCell ref="E9:F9"/>
    <mergeCell ref="E10:F10"/>
    <mergeCell ref="A1:G5"/>
    <mergeCell ref="E25:F25"/>
    <mergeCell ref="E18:F18"/>
    <mergeCell ref="E19:F19"/>
    <mergeCell ref="E20:F20"/>
    <mergeCell ref="E23:F23"/>
    <mergeCell ref="E24:F24"/>
    <mergeCell ref="E21:F21"/>
    <mergeCell ref="E22:F22"/>
    <mergeCell ref="E12:F12"/>
    <mergeCell ref="E13:F13"/>
    <mergeCell ref="E14:F14"/>
    <mergeCell ref="E15:F15"/>
    <mergeCell ref="A24:B24"/>
    <mergeCell ref="A19:A20"/>
    <mergeCell ref="B19:B20"/>
    <mergeCell ref="E16:F16"/>
    <mergeCell ref="E17:F17"/>
    <mergeCell ref="A25:B25"/>
    <mergeCell ref="A17:A18"/>
    <mergeCell ref="B17:B18"/>
    <mergeCell ref="C17:C18"/>
    <mergeCell ref="C19:C20"/>
    <mergeCell ref="D19:D20"/>
    <mergeCell ref="A21:A22"/>
    <mergeCell ref="B21:B22"/>
    <mergeCell ref="C21:C22"/>
    <mergeCell ref="D21:D22"/>
    <mergeCell ref="A23:B23"/>
    <mergeCell ref="D17:D18"/>
  </mergeCells>
  <printOptions horizontalCentered="1"/>
  <pageMargins left="0.11811023622047245" right="0.11811023622047245" top="1.4960629921259843" bottom="0.74803149606299213" header="0" footer="0"/>
  <pageSetup paperSize="9" scale="9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36"/>
  <sheetViews>
    <sheetView showGridLines="0" view="pageBreakPreview" zoomScaleNormal="100" zoomScaleSheetLayoutView="100" workbookViewId="0">
      <selection activeCell="C17" sqref="C17"/>
    </sheetView>
  </sheetViews>
  <sheetFormatPr defaultColWidth="9.33203125" defaultRowHeight="15" x14ac:dyDescent="0.2"/>
  <cols>
    <col min="1" max="1" width="12" style="1" bestFit="1" customWidth="1"/>
    <col min="2" max="2" width="47.6640625" style="1" customWidth="1"/>
    <col min="3" max="4" width="16.6640625" style="1" bestFit="1" customWidth="1"/>
    <col min="5" max="5" width="21.1640625" style="1" customWidth="1"/>
    <col min="6" max="6" width="19.6640625" style="1" customWidth="1"/>
    <col min="7" max="7" width="16.33203125" style="1" customWidth="1"/>
    <col min="8" max="8" width="17.1640625" style="1" customWidth="1"/>
    <col min="9" max="9" width="16.6640625" style="1" bestFit="1" customWidth="1"/>
    <col min="10" max="10" width="30" style="1" customWidth="1"/>
    <col min="11" max="11" width="16.83203125" style="1" bestFit="1" customWidth="1"/>
    <col min="12" max="16384" width="9.33203125" style="1"/>
  </cols>
  <sheetData>
    <row r="1" spans="1:9" x14ac:dyDescent="0.2">
      <c r="A1" s="249"/>
      <c r="B1" s="250"/>
      <c r="C1" s="250"/>
      <c r="D1" s="250"/>
      <c r="E1" s="250"/>
      <c r="F1" s="250"/>
      <c r="G1" s="250"/>
      <c r="H1" s="250"/>
      <c r="I1" s="251"/>
    </row>
    <row r="2" spans="1:9" x14ac:dyDescent="0.2">
      <c r="A2" s="252"/>
      <c r="B2" s="253"/>
      <c r="C2" s="253"/>
      <c r="D2" s="253"/>
      <c r="E2" s="253"/>
      <c r="F2" s="253"/>
      <c r="G2" s="253"/>
      <c r="H2" s="253"/>
      <c r="I2" s="254"/>
    </row>
    <row r="3" spans="1:9" x14ac:dyDescent="0.2">
      <c r="A3" s="252"/>
      <c r="B3" s="253"/>
      <c r="C3" s="253"/>
      <c r="D3" s="253"/>
      <c r="E3" s="253"/>
      <c r="F3" s="253"/>
      <c r="G3" s="253"/>
      <c r="H3" s="253"/>
      <c r="I3" s="254"/>
    </row>
    <row r="4" spans="1:9" x14ac:dyDescent="0.2">
      <c r="A4" s="252"/>
      <c r="B4" s="253"/>
      <c r="C4" s="253"/>
      <c r="D4" s="253"/>
      <c r="E4" s="253"/>
      <c r="F4" s="253"/>
      <c r="G4" s="253"/>
      <c r="H4" s="253"/>
      <c r="I4" s="254"/>
    </row>
    <row r="5" spans="1:9" x14ac:dyDescent="0.2">
      <c r="A5" s="255"/>
      <c r="B5" s="256"/>
      <c r="C5" s="256"/>
      <c r="D5" s="256"/>
      <c r="E5" s="256"/>
      <c r="F5" s="256"/>
      <c r="G5" s="256"/>
      <c r="H5" s="256"/>
      <c r="I5" s="257"/>
    </row>
    <row r="6" spans="1:9" x14ac:dyDescent="0.2">
      <c r="A6" s="335" t="s">
        <v>27</v>
      </c>
      <c r="B6" s="336"/>
      <c r="C6" s="336"/>
      <c r="D6" s="336"/>
      <c r="E6" s="336"/>
      <c r="F6" s="336"/>
      <c r="G6" s="336"/>
      <c r="H6" s="336"/>
      <c r="I6" s="337"/>
    </row>
    <row r="7" spans="1:9" ht="45" customHeight="1" x14ac:dyDescent="0.2">
      <c r="A7" s="338" t="str">
        <f>'1 Quadro Resumo'!A7</f>
        <v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v>
      </c>
      <c r="B7" s="339"/>
      <c r="C7" s="339"/>
      <c r="D7" s="339"/>
      <c r="E7" s="339"/>
      <c r="F7" s="339"/>
      <c r="G7" s="339"/>
      <c r="H7" s="339"/>
      <c r="I7" s="340"/>
    </row>
    <row r="8" spans="1:9" x14ac:dyDescent="0.2">
      <c r="A8" s="12" t="s">
        <v>3</v>
      </c>
      <c r="B8" s="315" t="str">
        <f>'1 Quadro Resumo'!B8</f>
        <v>Campo Grande - MS e Nova Alvorada do Sul - MS</v>
      </c>
      <c r="C8" s="315"/>
      <c r="D8" s="315"/>
      <c r="E8" s="315"/>
      <c r="F8" s="316" t="s">
        <v>0</v>
      </c>
      <c r="G8" s="316"/>
      <c r="H8" s="334" t="str">
        <f>'1 Quadro Resumo'!E8</f>
        <v>Tabela de consultoria</v>
      </c>
      <c r="I8" s="312"/>
    </row>
    <row r="9" spans="1:9" x14ac:dyDescent="0.2">
      <c r="A9" s="12" t="s">
        <v>4</v>
      </c>
      <c r="B9" s="315" t="str">
        <f>'1 Quadro Resumo'!B9</f>
        <v>Ponte sobre o Rio Anhanduí (CG-342)</v>
      </c>
      <c r="C9" s="315"/>
      <c r="D9" s="315"/>
      <c r="E9" s="315"/>
      <c r="F9" s="13"/>
      <c r="G9" s="14"/>
      <c r="H9" s="334" t="str">
        <f>'1 Quadro Resumo'!E9</f>
        <v>DNIT SICRO</v>
      </c>
      <c r="I9" s="312"/>
    </row>
    <row r="10" spans="1:9" ht="34.5" customHeight="1" x14ac:dyDescent="0.2">
      <c r="A10" s="163" t="s">
        <v>5</v>
      </c>
      <c r="B10" s="315" t="str">
        <f>'1 Quadro Resumo'!B10</f>
        <v>Ponte sobre o Rio Anhanduí                                                          Coordenadas S 21° 24' 06.95" W 54° 07' 51.18"</v>
      </c>
      <c r="C10" s="315"/>
      <c r="D10" s="315"/>
      <c r="E10" s="315"/>
      <c r="F10" s="316" t="s">
        <v>6</v>
      </c>
      <c r="G10" s="316"/>
      <c r="H10" s="311">
        <f>'1 Quadro Resumo'!E10</f>
        <v>46113</v>
      </c>
      <c r="I10" s="312"/>
    </row>
    <row r="11" spans="1:9" x14ac:dyDescent="0.2">
      <c r="A11" s="15" t="s">
        <v>8</v>
      </c>
      <c r="B11" s="61" t="str">
        <f>'1 Quadro Resumo'!B11</f>
        <v>70,00 metros</v>
      </c>
      <c r="C11" s="314"/>
      <c r="D11" s="314"/>
      <c r="E11" s="314"/>
      <c r="F11" s="313" t="s">
        <v>7</v>
      </c>
      <c r="G11" s="313"/>
      <c r="H11" s="132">
        <f>'1 Quadro Resumo'!D11</f>
        <v>10</v>
      </c>
      <c r="I11" s="133" t="s">
        <v>378</v>
      </c>
    </row>
    <row r="12" spans="1:9" x14ac:dyDescent="0.2">
      <c r="A12" s="322" t="s">
        <v>28</v>
      </c>
      <c r="B12" s="323"/>
      <c r="C12" s="326" t="s">
        <v>29</v>
      </c>
      <c r="D12" s="328" t="s">
        <v>30</v>
      </c>
      <c r="E12" s="328" t="s">
        <v>31</v>
      </c>
      <c r="F12" s="328" t="s">
        <v>32</v>
      </c>
      <c r="G12" s="328" t="s">
        <v>33</v>
      </c>
      <c r="H12" s="319" t="s">
        <v>34</v>
      </c>
      <c r="I12" s="16" t="s">
        <v>35</v>
      </c>
    </row>
    <row r="13" spans="1:9" x14ac:dyDescent="0.2">
      <c r="A13" s="322"/>
      <c r="B13" s="323"/>
      <c r="C13" s="327"/>
      <c r="D13" s="329"/>
      <c r="E13" s="329"/>
      <c r="F13" s="329"/>
      <c r="G13" s="330"/>
      <c r="H13" s="320"/>
      <c r="I13" s="121">
        <f>'1 Quadro Resumo'!C35</f>
        <v>0.45029999999999998</v>
      </c>
    </row>
    <row r="14" spans="1:9" x14ac:dyDescent="0.2">
      <c r="A14" s="324"/>
      <c r="B14" s="325"/>
      <c r="C14" s="17" t="s">
        <v>36</v>
      </c>
      <c r="D14" s="18" t="s">
        <v>37</v>
      </c>
      <c r="E14" s="18" t="s">
        <v>38</v>
      </c>
      <c r="F14" s="18" t="s">
        <v>39</v>
      </c>
      <c r="G14" s="18" t="s">
        <v>40</v>
      </c>
      <c r="H14" s="18" t="s">
        <v>41</v>
      </c>
      <c r="I14" s="19" t="s">
        <v>42</v>
      </c>
    </row>
    <row r="15" spans="1:9" x14ac:dyDescent="0.2">
      <c r="A15" s="301" t="s">
        <v>43</v>
      </c>
      <c r="B15" s="302"/>
      <c r="C15" s="302"/>
      <c r="D15" s="302"/>
      <c r="E15" s="302"/>
      <c r="F15" s="302"/>
      <c r="G15" s="302"/>
      <c r="H15" s="302"/>
      <c r="I15" s="303"/>
    </row>
    <row r="16" spans="1:9" ht="30" x14ac:dyDescent="0.2">
      <c r="A16" s="71"/>
      <c r="B16" s="72"/>
      <c r="C16" s="90" t="s">
        <v>29</v>
      </c>
      <c r="D16" s="90" t="s">
        <v>30</v>
      </c>
      <c r="E16" s="90" t="s">
        <v>31</v>
      </c>
      <c r="F16" s="90" t="s">
        <v>32</v>
      </c>
      <c r="G16" s="90"/>
      <c r="H16" s="90"/>
      <c r="I16" s="92"/>
    </row>
    <row r="17" spans="1:11" x14ac:dyDescent="0.2">
      <c r="A17" s="304" t="s">
        <v>44</v>
      </c>
      <c r="B17" s="305"/>
      <c r="C17" s="21">
        <f>'4 Equipe Técnica'!M9+'4 Equipe Técnica'!M11+'4 Equipe Técnica'!M13</f>
        <v>2404.37</v>
      </c>
      <c r="D17" s="331">
        <f>'5 Veículos'!L10</f>
        <v>2640.02</v>
      </c>
      <c r="E17" s="331">
        <f>'6 Equipamentos'!H11</f>
        <v>3342.62</v>
      </c>
      <c r="F17" s="331">
        <f>'7 Instalações'!K14</f>
        <v>837.32999999999993</v>
      </c>
      <c r="G17" s="62">
        <f>H17/$H$22</f>
        <v>0.29915617329013927</v>
      </c>
      <c r="H17" s="22">
        <f>C17+D17+E17+F17</f>
        <v>9224.3399999999983</v>
      </c>
      <c r="I17" s="23">
        <f>ROUND(H17+(H17*I13),2)</f>
        <v>13378.06</v>
      </c>
      <c r="J17" s="308">
        <f>I17+I18+I20</f>
        <v>30301.61</v>
      </c>
      <c r="K17" s="117">
        <f>I17+I18+I20</f>
        <v>30301.61</v>
      </c>
    </row>
    <row r="18" spans="1:11" ht="29.25" customHeight="1" x14ac:dyDescent="0.2">
      <c r="A18" s="321" t="s">
        <v>384</v>
      </c>
      <c r="B18" s="321"/>
      <c r="C18" s="21">
        <f>'4 Equipe Técnica'!N19</f>
        <v>11669.000000000002</v>
      </c>
      <c r="D18" s="332"/>
      <c r="E18" s="332"/>
      <c r="F18" s="332"/>
      <c r="G18" s="62">
        <f t="shared" ref="G18:G21" si="0">H18/$H$22</f>
        <v>0.37843936651539695</v>
      </c>
      <c r="H18" s="22">
        <f>C18</f>
        <v>11669.000000000002</v>
      </c>
      <c r="I18" s="23">
        <f>ROUND(H18+(H18*I13),2)</f>
        <v>16923.55</v>
      </c>
      <c r="J18" s="308"/>
    </row>
    <row r="19" spans="1:11" ht="29.25" customHeight="1" x14ac:dyDescent="0.2">
      <c r="A19" s="304" t="s">
        <v>395</v>
      </c>
      <c r="B19" s="305"/>
      <c r="C19" s="21">
        <f>'4 Equipe Técnica'!N23</f>
        <v>9941.19</v>
      </c>
      <c r="D19" s="332"/>
      <c r="E19" s="332"/>
      <c r="F19" s="332"/>
      <c r="G19" s="62">
        <f t="shared" si="0"/>
        <v>0.32240446019446384</v>
      </c>
      <c r="H19" s="22">
        <f>C19</f>
        <v>9941.19</v>
      </c>
      <c r="I19" s="23">
        <f>ROUND(H19+(H19*I13),2)</f>
        <v>14417.71</v>
      </c>
      <c r="J19" s="308"/>
    </row>
    <row r="20" spans="1:11" ht="31.5" hidden="1" customHeight="1" x14ac:dyDescent="0.2">
      <c r="A20" s="321" t="s">
        <v>385</v>
      </c>
      <c r="B20" s="321"/>
      <c r="C20" s="21">
        <f>'4 Equipe Técnica'!N29</f>
        <v>0</v>
      </c>
      <c r="D20" s="332"/>
      <c r="E20" s="332"/>
      <c r="F20" s="332"/>
      <c r="G20" s="62">
        <f t="shared" si="0"/>
        <v>0</v>
      </c>
      <c r="H20" s="22">
        <f>C20</f>
        <v>0</v>
      </c>
      <c r="I20" s="23">
        <f>H20+(H20*I13)</f>
        <v>0</v>
      </c>
      <c r="J20" s="308"/>
    </row>
    <row r="21" spans="1:11" ht="30.75" hidden="1" customHeight="1" x14ac:dyDescent="0.2">
      <c r="A21" s="321" t="s">
        <v>383</v>
      </c>
      <c r="B21" s="321"/>
      <c r="C21" s="84">
        <f>'4 Equipe Técnica'!N41</f>
        <v>0</v>
      </c>
      <c r="D21" s="333"/>
      <c r="E21" s="333"/>
      <c r="F21" s="333"/>
      <c r="G21" s="62">
        <f t="shared" si="0"/>
        <v>0</v>
      </c>
      <c r="H21" s="85">
        <f>C21</f>
        <v>0</v>
      </c>
      <c r="I21" s="23">
        <f>H21+(H21*I13)</f>
        <v>0</v>
      </c>
      <c r="J21" s="155"/>
    </row>
    <row r="22" spans="1:11" x14ac:dyDescent="0.2">
      <c r="A22" s="317" t="s">
        <v>11</v>
      </c>
      <c r="B22" s="318"/>
      <c r="C22" s="24">
        <f>SUM(C17:C21)</f>
        <v>24014.560000000005</v>
      </c>
      <c r="D22" s="25">
        <f>D17</f>
        <v>2640.02</v>
      </c>
      <c r="E22" s="25">
        <f>E17</f>
        <v>3342.62</v>
      </c>
      <c r="F22" s="25">
        <f>F17</f>
        <v>837.32999999999993</v>
      </c>
      <c r="G22" s="26">
        <f>SUM(G17:G21)</f>
        <v>1</v>
      </c>
      <c r="H22" s="25">
        <f>SUM(H17:H21)</f>
        <v>30834.53</v>
      </c>
      <c r="I22" s="27">
        <f>SUM(I17:I21)</f>
        <v>44719.32</v>
      </c>
      <c r="J22" s="155">
        <f>I17+I18+I20+I21</f>
        <v>30301.61</v>
      </c>
    </row>
    <row r="23" spans="1:11" x14ac:dyDescent="0.2">
      <c r="C23" s="11">
        <f>'4 Equipe Técnica'!M42</f>
        <v>24835.52</v>
      </c>
    </row>
    <row r="24" spans="1:11" x14ac:dyDescent="0.2">
      <c r="D24" s="309">
        <f>D22+E22+F22</f>
        <v>6819.9699999999993</v>
      </c>
      <c r="E24" s="310"/>
      <c r="F24" s="310"/>
      <c r="H24" s="117">
        <f>H22-F17-E17-D17</f>
        <v>24014.559999999998</v>
      </c>
      <c r="I24" s="117">
        <f>H22+(H22*I13)</f>
        <v>44719.318858999999</v>
      </c>
    </row>
    <row r="25" spans="1:11" x14ac:dyDescent="0.2">
      <c r="I25" s="225">
        <f>I17/I22</f>
        <v>0.29915615890402625</v>
      </c>
    </row>
    <row r="26" spans="1:11" x14ac:dyDescent="0.2">
      <c r="I26" s="225">
        <f>I18/I22</f>
        <v>0.37843934120644052</v>
      </c>
    </row>
    <row r="27" spans="1:11" x14ac:dyDescent="0.2">
      <c r="I27" s="225">
        <f>I19/I24</f>
        <v>0.32240450811558724</v>
      </c>
    </row>
    <row r="28" spans="1:11" x14ac:dyDescent="0.2">
      <c r="E28" s="117"/>
      <c r="F28" s="117"/>
    </row>
    <row r="30" spans="1:11" x14ac:dyDescent="0.2">
      <c r="H30" s="138"/>
    </row>
    <row r="31" spans="1:11" x14ac:dyDescent="0.2">
      <c r="D31" s="117">
        <f>C17+C18+C20</f>
        <v>14073.370000000003</v>
      </c>
      <c r="G31" s="160">
        <f>G17+G18+G20</f>
        <v>0.67759553980553622</v>
      </c>
      <c r="H31" s="138"/>
    </row>
    <row r="33" spans="7:8" x14ac:dyDescent="0.2">
      <c r="G33" s="160">
        <f>G31-5%</f>
        <v>0.62759553980553617</v>
      </c>
    </row>
    <row r="34" spans="7:8" x14ac:dyDescent="0.2">
      <c r="G34" s="160">
        <f>G33-20%</f>
        <v>0.42759553980553616</v>
      </c>
    </row>
    <row r="35" spans="7:8" x14ac:dyDescent="0.2">
      <c r="G35" s="160">
        <f>G34-15%</f>
        <v>0.2775955398055362</v>
      </c>
      <c r="H35" s="118"/>
    </row>
    <row r="36" spans="7:8" x14ac:dyDescent="0.2">
      <c r="H36" s="118"/>
    </row>
  </sheetData>
  <mergeCells count="32">
    <mergeCell ref="H9:I9"/>
    <mergeCell ref="A6:I6"/>
    <mergeCell ref="A7:I7"/>
    <mergeCell ref="B8:E8"/>
    <mergeCell ref="F8:G8"/>
    <mergeCell ref="H8:I8"/>
    <mergeCell ref="B9:E9"/>
    <mergeCell ref="E12:E13"/>
    <mergeCell ref="F12:F13"/>
    <mergeCell ref="G12:G13"/>
    <mergeCell ref="A20:B20"/>
    <mergeCell ref="A21:B21"/>
    <mergeCell ref="D17:D21"/>
    <mergeCell ref="E17:E21"/>
    <mergeCell ref="F17:F21"/>
    <mergeCell ref="A19:B19"/>
    <mergeCell ref="A1:I5"/>
    <mergeCell ref="J17:J20"/>
    <mergeCell ref="D24:F24"/>
    <mergeCell ref="H10:I10"/>
    <mergeCell ref="F11:G11"/>
    <mergeCell ref="C11:E11"/>
    <mergeCell ref="B10:E10"/>
    <mergeCell ref="F10:G10"/>
    <mergeCell ref="A22:B22"/>
    <mergeCell ref="H12:H13"/>
    <mergeCell ref="A15:I15"/>
    <mergeCell ref="A17:B17"/>
    <mergeCell ref="A18:B18"/>
    <mergeCell ref="A12:B14"/>
    <mergeCell ref="C12:C13"/>
    <mergeCell ref="D12:D13"/>
  </mergeCells>
  <printOptions horizontalCentered="1"/>
  <pageMargins left="0.11811023622047245" right="0.11811023622047245" top="1.4960629921259843" bottom="0.74803149606299213" header="0" footer="0"/>
  <pageSetup paperSize="9" scale="8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O48"/>
  <sheetViews>
    <sheetView showGridLines="0" view="pageBreakPreview" topLeftCell="A2" zoomScale="96" zoomScaleNormal="100" zoomScaleSheetLayoutView="96" workbookViewId="0">
      <selection activeCell="M42" sqref="M42"/>
    </sheetView>
  </sheetViews>
  <sheetFormatPr defaultColWidth="9.33203125" defaultRowHeight="15" x14ac:dyDescent="0.2"/>
  <cols>
    <col min="1" max="1" width="12" style="1" bestFit="1" customWidth="1"/>
    <col min="2" max="2" width="16.33203125" style="1" customWidth="1"/>
    <col min="3" max="3" width="36.83203125" style="1" customWidth="1"/>
    <col min="4" max="4" width="11.33203125" style="1" customWidth="1"/>
    <col min="5" max="7" width="9.6640625" style="1" customWidth="1"/>
    <col min="8" max="8" width="6.33203125" style="1" customWidth="1"/>
    <col min="9" max="9" width="14.1640625" style="1" customWidth="1"/>
    <col min="10" max="11" width="11" style="1" customWidth="1"/>
    <col min="12" max="12" width="10.6640625" style="1" bestFit="1" customWidth="1"/>
    <col min="13" max="13" width="13.83203125" style="1" customWidth="1"/>
    <col min="14" max="14" width="25.33203125" style="89" customWidth="1"/>
    <col min="15" max="15" width="68" style="1" customWidth="1"/>
    <col min="16" max="16384" width="9.33203125" style="1"/>
  </cols>
  <sheetData>
    <row r="1" spans="1:15" ht="45" hidden="1" customHeight="1" x14ac:dyDescent="0.2">
      <c r="A1" s="338">
        <v>440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40"/>
      <c r="N1" s="86"/>
    </row>
    <row r="2" spans="1:15" x14ac:dyDescent="0.2">
      <c r="A2" s="12" t="s">
        <v>3</v>
      </c>
      <c r="B2" s="315" t="str">
        <f>'1 Quadro Resumo'!B8</f>
        <v>Campo Grande - MS e Nova Alvorada do Sul - MS</v>
      </c>
      <c r="C2" s="315"/>
      <c r="D2" s="315"/>
      <c r="E2" s="315"/>
      <c r="F2" s="315"/>
      <c r="G2" s="315"/>
      <c r="H2" s="315"/>
      <c r="I2" s="316" t="s">
        <v>0</v>
      </c>
      <c r="J2" s="316"/>
      <c r="K2" s="334" t="str">
        <f>'1 Quadro Resumo'!E8</f>
        <v>Tabela de consultoria</v>
      </c>
      <c r="L2" s="334"/>
      <c r="M2" s="312"/>
      <c r="N2" s="87"/>
    </row>
    <row r="3" spans="1:15" x14ac:dyDescent="0.2">
      <c r="A3" s="12" t="s">
        <v>4</v>
      </c>
      <c r="B3" s="315" t="str">
        <f>'1 Quadro Resumo'!B9</f>
        <v>Ponte sobre o Rio Anhanduí (CG-342)</v>
      </c>
      <c r="C3" s="315"/>
      <c r="D3" s="315"/>
      <c r="E3" s="315"/>
      <c r="F3" s="315"/>
      <c r="G3" s="315"/>
      <c r="H3" s="315"/>
      <c r="I3" s="73"/>
      <c r="J3" s="14"/>
      <c r="K3" s="334" t="str">
        <f>'1 Quadro Resumo'!E9</f>
        <v>DNIT SICRO</v>
      </c>
      <c r="L3" s="334"/>
      <c r="M3" s="312"/>
      <c r="N3" s="87"/>
    </row>
    <row r="4" spans="1:15" ht="34.5" customHeight="1" x14ac:dyDescent="0.2">
      <c r="A4" s="163" t="s">
        <v>5</v>
      </c>
      <c r="B4" s="315" t="str">
        <f>'1 Quadro Resumo'!B10</f>
        <v>Ponte sobre o Rio Anhanduí                                                          Coordenadas S 21° 24' 06.95" W 54° 07' 51.18"</v>
      </c>
      <c r="C4" s="315"/>
      <c r="D4" s="315"/>
      <c r="E4" s="315"/>
      <c r="F4" s="315"/>
      <c r="G4" s="315"/>
      <c r="H4" s="315"/>
      <c r="I4" s="316" t="s">
        <v>6</v>
      </c>
      <c r="J4" s="316"/>
      <c r="K4" s="311">
        <f>'1 Quadro Resumo'!E10</f>
        <v>46113</v>
      </c>
      <c r="L4" s="334"/>
      <c r="M4" s="312"/>
      <c r="N4" s="87"/>
    </row>
    <row r="5" spans="1:15" x14ac:dyDescent="0.2">
      <c r="A5" s="12" t="s">
        <v>8</v>
      </c>
      <c r="B5" s="315" t="str">
        <f>'1 Quadro Resumo'!B11</f>
        <v>70,00 metros</v>
      </c>
      <c r="C5" s="315"/>
      <c r="D5" s="315"/>
      <c r="E5" s="315"/>
      <c r="F5" s="315"/>
      <c r="G5" s="315"/>
      <c r="H5" s="315"/>
      <c r="I5" s="316" t="s">
        <v>7</v>
      </c>
      <c r="J5" s="316"/>
      <c r="K5" s="221">
        <f>'1 Quadro Resumo'!D11</f>
        <v>10</v>
      </c>
      <c r="L5" s="132" t="s">
        <v>378</v>
      </c>
      <c r="M5" s="133"/>
      <c r="N5" s="87"/>
    </row>
    <row r="6" spans="1:15" x14ac:dyDescent="0.2">
      <c r="A6" s="341" t="s">
        <v>123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7"/>
      <c r="N6" s="88"/>
    </row>
    <row r="7" spans="1:15" ht="29.25" customHeight="1" x14ac:dyDescent="0.2">
      <c r="A7" s="321" t="s">
        <v>114</v>
      </c>
      <c r="B7" s="321"/>
      <c r="C7" s="343" t="s">
        <v>113</v>
      </c>
      <c r="D7" s="343"/>
      <c r="E7" s="173" t="s">
        <v>112</v>
      </c>
      <c r="F7" s="173" t="s">
        <v>111</v>
      </c>
      <c r="G7" s="173" t="s">
        <v>110</v>
      </c>
      <c r="H7" s="173" t="s">
        <v>109</v>
      </c>
      <c r="I7" s="173" t="s">
        <v>108</v>
      </c>
      <c r="J7" s="173" t="s">
        <v>107</v>
      </c>
      <c r="K7" s="173" t="s">
        <v>106</v>
      </c>
      <c r="L7" s="173" t="s">
        <v>105</v>
      </c>
      <c r="M7" s="260" t="s">
        <v>92</v>
      </c>
      <c r="N7" s="345"/>
    </row>
    <row r="8" spans="1:15" ht="30.75" thickBot="1" x14ac:dyDescent="0.25">
      <c r="A8" s="342"/>
      <c r="B8" s="342"/>
      <c r="C8" s="195" t="s">
        <v>104</v>
      </c>
      <c r="D8" s="195" t="s">
        <v>103</v>
      </c>
      <c r="E8" s="195" t="s">
        <v>67</v>
      </c>
      <c r="F8" s="195" t="s">
        <v>68</v>
      </c>
      <c r="G8" s="195" t="s">
        <v>69</v>
      </c>
      <c r="H8" s="195" t="s">
        <v>70</v>
      </c>
      <c r="I8" s="196" t="s">
        <v>102</v>
      </c>
      <c r="J8" s="195" t="s">
        <v>101</v>
      </c>
      <c r="K8" s="195" t="s">
        <v>100</v>
      </c>
      <c r="L8" s="195" t="s">
        <v>99</v>
      </c>
      <c r="M8" s="344"/>
      <c r="N8" s="346"/>
    </row>
    <row r="9" spans="1:15" hidden="1" x14ac:dyDescent="0.25">
      <c r="A9" s="349" t="s">
        <v>44</v>
      </c>
      <c r="B9" s="349"/>
      <c r="C9" s="111" t="str">
        <f>VLOOKUP(D9,DNIT_MDO!B$4:Z$102,2,0)</f>
        <v>Engenheiro coordenador</v>
      </c>
      <c r="D9" s="188" t="str">
        <f>DNIT_MDO!B38</f>
        <v>P8061</v>
      </c>
      <c r="E9" s="189">
        <v>0</v>
      </c>
      <c r="F9" s="189">
        <f t="shared" ref="F9:F29" si="0">E9</f>
        <v>0</v>
      </c>
      <c r="G9" s="189">
        <v>4</v>
      </c>
      <c r="H9" s="190">
        <f>K5</f>
        <v>10</v>
      </c>
      <c r="I9" s="189">
        <f t="shared" ref="I9:I18" si="1">E9*F9*G9*H9*(220/240)</f>
        <v>0</v>
      </c>
      <c r="J9" s="189">
        <f>I9/220</f>
        <v>0</v>
      </c>
      <c r="K9" s="191">
        <f>VLOOKUP(D9,DNIT_MDO!B4:Z102,25,0)</f>
        <v>36162.089999999997</v>
      </c>
      <c r="L9" s="191">
        <f>K9*J9</f>
        <v>0</v>
      </c>
      <c r="M9" s="192">
        <f>L9</f>
        <v>0</v>
      </c>
      <c r="N9" s="172"/>
      <c r="O9" s="59"/>
    </row>
    <row r="10" spans="1:15" hidden="1" x14ac:dyDescent="0.25">
      <c r="A10" s="350"/>
      <c r="B10" s="350"/>
      <c r="C10" s="110" t="str">
        <f>VLOOKUP(D10,DNIT_MDO!B$4:Z$102,2,0)</f>
        <v>Advogado sênior</v>
      </c>
      <c r="D10" s="179" t="str">
        <f>DNIT_MDO!B6</f>
        <v>P8003</v>
      </c>
      <c r="E10" s="180">
        <v>0</v>
      </c>
      <c r="F10" s="180">
        <f t="shared" ref="F10" si="2">E10</f>
        <v>0</v>
      </c>
      <c r="G10" s="180">
        <v>4</v>
      </c>
      <c r="H10" s="171">
        <f>'1 Quadro Resumo'!D11</f>
        <v>10</v>
      </c>
      <c r="I10" s="180">
        <f t="shared" ref="I10" si="3">E10*F10*G10*H10*(220/240)</f>
        <v>0</v>
      </c>
      <c r="J10" s="180">
        <f>I10/220</f>
        <v>0</v>
      </c>
      <c r="K10" s="181">
        <f>VLOOKUP(D10,DNIT_MDO!B5:Z103,25,0)</f>
        <v>21772.02</v>
      </c>
      <c r="L10" s="181">
        <f>K10*J10</f>
        <v>0</v>
      </c>
      <c r="M10" s="182">
        <f>L10</f>
        <v>0</v>
      </c>
      <c r="N10" s="172"/>
      <c r="O10" s="59"/>
    </row>
    <row r="11" spans="1:15" x14ac:dyDescent="0.25">
      <c r="A11" s="350"/>
      <c r="B11" s="350"/>
      <c r="C11" s="110" t="str">
        <f>VLOOKUP(D11,DNIT_MDO!B$4:Z$102,2,0)</f>
        <v>Secretária</v>
      </c>
      <c r="D11" s="179" t="str">
        <f>DNIT_MDO!B67</f>
        <v>P8135</v>
      </c>
      <c r="E11" s="180">
        <v>1</v>
      </c>
      <c r="F11" s="180">
        <f t="shared" si="0"/>
        <v>1</v>
      </c>
      <c r="G11" s="180">
        <v>4</v>
      </c>
      <c r="H11" s="171">
        <f>K5</f>
        <v>10</v>
      </c>
      <c r="I11" s="180">
        <f t="shared" si="1"/>
        <v>36.666666666666664</v>
      </c>
      <c r="J11" s="180">
        <f t="shared" ref="J11:J15" si="4">I11/220</f>
        <v>0.16666666666666666</v>
      </c>
      <c r="K11" s="181">
        <f>VLOOKUP(D11,DNIT_MDO!B4:Z103,25,0)</f>
        <v>8428.17</v>
      </c>
      <c r="L11" s="181">
        <f>ROUND(K11*J11,2)</f>
        <v>1404.7</v>
      </c>
      <c r="M11" s="182">
        <f t="shared" ref="M11:M33" si="5">L11</f>
        <v>1404.7</v>
      </c>
      <c r="N11" s="172"/>
      <c r="O11" s="59" t="s">
        <v>132</v>
      </c>
    </row>
    <row r="12" spans="1:15" x14ac:dyDescent="0.25">
      <c r="A12" s="351"/>
      <c r="B12" s="351"/>
      <c r="C12" s="110" t="str">
        <f>VLOOKUP(D12,DNIT_MDO!B$4:Z$102,2,0)</f>
        <v>Auxiliar administrativo</v>
      </c>
      <c r="D12" s="179" t="str">
        <f>DNIT_MDO!B17</f>
        <v>P8026</v>
      </c>
      <c r="E12" s="180">
        <v>1</v>
      </c>
      <c r="F12" s="180">
        <f t="shared" ref="F12" si="6">E12</f>
        <v>1</v>
      </c>
      <c r="G12" s="180">
        <v>4</v>
      </c>
      <c r="H12" s="171">
        <f>K5</f>
        <v>10</v>
      </c>
      <c r="I12" s="180">
        <f t="shared" ref="I12" si="7">E12*F12*G12*H12*(220/240)</f>
        <v>36.666666666666664</v>
      </c>
      <c r="J12" s="180">
        <f t="shared" ref="J12" si="8">I12/220</f>
        <v>0.16666666666666666</v>
      </c>
      <c r="K12" s="181">
        <f>VLOOKUP(D12,DNIT_MDO!B5:Z104,25,0)</f>
        <v>4925.74</v>
      </c>
      <c r="L12" s="181">
        <f t="shared" ref="L12:L22" si="9">ROUND(K12*J12,2)</f>
        <v>820.96</v>
      </c>
      <c r="M12" s="182">
        <f t="shared" ref="M12" si="10">L12</f>
        <v>820.96</v>
      </c>
      <c r="N12" s="172"/>
      <c r="O12" s="59"/>
    </row>
    <row r="13" spans="1:15" ht="16.5" customHeight="1" thickBot="1" x14ac:dyDescent="0.3">
      <c r="A13" s="352"/>
      <c r="B13" s="352"/>
      <c r="C13" s="112" t="str">
        <f>VLOOKUP(D13,DNIT_MDO!B$4:Z$102,2,0)</f>
        <v>Motorista de veículo leve</v>
      </c>
      <c r="D13" s="184" t="str">
        <f>DNIT_MDO!B60</f>
        <v>P8113</v>
      </c>
      <c r="E13" s="185">
        <v>1</v>
      </c>
      <c r="F13" s="185">
        <f t="shared" si="0"/>
        <v>1</v>
      </c>
      <c r="G13" s="185">
        <v>4</v>
      </c>
      <c r="H13" s="174">
        <f>K5</f>
        <v>10</v>
      </c>
      <c r="I13" s="185">
        <f t="shared" si="1"/>
        <v>36.666666666666664</v>
      </c>
      <c r="J13" s="185">
        <f t="shared" si="4"/>
        <v>0.16666666666666666</v>
      </c>
      <c r="K13" s="186">
        <f>VLOOKUP(D13,DNIT_MDO!B4:Z106,25,0)</f>
        <v>5998.01</v>
      </c>
      <c r="L13" s="181">
        <f t="shared" si="9"/>
        <v>999.67</v>
      </c>
      <c r="M13" s="193">
        <f t="shared" si="5"/>
        <v>999.67</v>
      </c>
      <c r="N13" s="187">
        <f>SUM(M9:M13)</f>
        <v>3225.33</v>
      </c>
      <c r="O13" s="59" t="s">
        <v>128</v>
      </c>
    </row>
    <row r="14" spans="1:15" ht="14.45" customHeight="1" x14ac:dyDescent="0.25">
      <c r="A14" s="349" t="s">
        <v>386</v>
      </c>
      <c r="B14" s="349"/>
      <c r="C14" s="111" t="str">
        <f>VLOOKUP(D14,DNIT_MDO!B$4:Z$102,2,0)</f>
        <v>Biólogo pleno</v>
      </c>
      <c r="D14" s="188" t="str">
        <f>DNIT_MDO!B21</f>
        <v>P8033</v>
      </c>
      <c r="E14" s="189">
        <v>1</v>
      </c>
      <c r="F14" s="189">
        <f t="shared" si="0"/>
        <v>1</v>
      </c>
      <c r="G14" s="189">
        <v>4</v>
      </c>
      <c r="H14" s="190">
        <f>K5</f>
        <v>10</v>
      </c>
      <c r="I14" s="189">
        <f t="shared" si="1"/>
        <v>36.666666666666664</v>
      </c>
      <c r="J14" s="189">
        <f t="shared" si="4"/>
        <v>0.16666666666666666</v>
      </c>
      <c r="K14" s="191">
        <f>VLOOKUP(D14,DNIT_MDO!B4:Z107,25,0)</f>
        <v>8706.0300000000007</v>
      </c>
      <c r="L14" s="181">
        <f t="shared" si="9"/>
        <v>1451.01</v>
      </c>
      <c r="M14" s="192">
        <f t="shared" si="5"/>
        <v>1451.01</v>
      </c>
      <c r="N14" s="172"/>
      <c r="O14" s="59" t="s">
        <v>127</v>
      </c>
    </row>
    <row r="15" spans="1:15" x14ac:dyDescent="0.25">
      <c r="A15" s="350"/>
      <c r="B15" s="350"/>
      <c r="C15" s="110" t="str">
        <f>VLOOKUP(D15,DNIT_MDO!B$4:Z$102,2,0)</f>
        <v>Engenheiro ambiental pleno</v>
      </c>
      <c r="D15" s="179" t="str">
        <f>DNIT_MDO!B35</f>
        <v>P8058</v>
      </c>
      <c r="E15" s="180">
        <v>1</v>
      </c>
      <c r="F15" s="180">
        <f t="shared" si="0"/>
        <v>1</v>
      </c>
      <c r="G15" s="180">
        <v>4</v>
      </c>
      <c r="H15" s="171">
        <f>K5</f>
        <v>10</v>
      </c>
      <c r="I15" s="180">
        <f t="shared" si="1"/>
        <v>36.666666666666664</v>
      </c>
      <c r="J15" s="180">
        <f t="shared" si="4"/>
        <v>0.16666666666666666</v>
      </c>
      <c r="K15" s="181">
        <f>VLOOKUP(D15,DNIT_MDO!B4:Z108,25,0)</f>
        <v>28502.49</v>
      </c>
      <c r="L15" s="181">
        <f t="shared" si="9"/>
        <v>4750.42</v>
      </c>
      <c r="M15" s="182">
        <f t="shared" si="5"/>
        <v>4750.42</v>
      </c>
      <c r="N15" s="172"/>
      <c r="O15" s="59" t="s">
        <v>129</v>
      </c>
    </row>
    <row r="16" spans="1:15" hidden="1" x14ac:dyDescent="0.25">
      <c r="A16" s="350"/>
      <c r="B16" s="350"/>
      <c r="C16" s="110" t="str">
        <f>VLOOKUP(D16,DNIT_MDO!B$4:Z$102,2,0)</f>
        <v>Engenheiro florestal pleno</v>
      </c>
      <c r="D16" s="179" t="str">
        <f>DNIT_MDO!B46</f>
        <v>P8069</v>
      </c>
      <c r="E16" s="180">
        <v>0</v>
      </c>
      <c r="F16" s="180">
        <f t="shared" si="0"/>
        <v>0</v>
      </c>
      <c r="G16" s="180">
        <v>8</v>
      </c>
      <c r="H16" s="171">
        <f>K5</f>
        <v>10</v>
      </c>
      <c r="I16" s="180">
        <f t="shared" ref="I16" si="11">E16*F16*G16*H16*(220/240)</f>
        <v>0</v>
      </c>
      <c r="J16" s="180">
        <f t="shared" ref="J16" si="12">I16/220</f>
        <v>0</v>
      </c>
      <c r="K16" s="181">
        <f>VLOOKUP(D16,DNIT_MDO!B4:Z109,25,0)</f>
        <v>27034.68</v>
      </c>
      <c r="L16" s="181">
        <f t="shared" si="9"/>
        <v>0</v>
      </c>
      <c r="M16" s="182">
        <f t="shared" ref="M16" si="13">L16</f>
        <v>0</v>
      </c>
      <c r="N16" s="172"/>
      <c r="O16" s="59"/>
    </row>
    <row r="17" spans="1:15" x14ac:dyDescent="0.25">
      <c r="A17" s="350"/>
      <c r="B17" s="350"/>
      <c r="C17" s="110" t="str">
        <f>VLOOKUP(D17,DNIT_MDO!B$4:Z$102,2,0)</f>
        <v>Engenheiro de projetos pleno</v>
      </c>
      <c r="D17" s="179" t="str">
        <f>DNIT_MDO!B43</f>
        <v>P8066</v>
      </c>
      <c r="E17" s="180">
        <v>1</v>
      </c>
      <c r="F17" s="180">
        <f t="shared" si="0"/>
        <v>1</v>
      </c>
      <c r="G17" s="180">
        <v>4</v>
      </c>
      <c r="H17" s="171">
        <f>K5</f>
        <v>10</v>
      </c>
      <c r="I17" s="180">
        <f t="shared" ref="I17" si="14">E17*F17*G17*H17*(220/240)</f>
        <v>36.666666666666664</v>
      </c>
      <c r="J17" s="180">
        <f t="shared" ref="J17" si="15">I17/220</f>
        <v>0.16666666666666666</v>
      </c>
      <c r="K17" s="181">
        <f>VLOOKUP(D17,DNIT_MDO!B4:Z109,25,0)</f>
        <v>27362.69</v>
      </c>
      <c r="L17" s="181">
        <f t="shared" si="9"/>
        <v>4560.45</v>
      </c>
      <c r="M17" s="182">
        <f t="shared" ref="M17" si="16">L17</f>
        <v>4560.45</v>
      </c>
      <c r="N17" s="172"/>
      <c r="O17" s="59"/>
    </row>
    <row r="18" spans="1:15" ht="15" customHeight="1" thickBot="1" x14ac:dyDescent="0.3">
      <c r="A18" s="350"/>
      <c r="B18" s="350"/>
      <c r="C18" s="110" t="str">
        <f>VLOOKUP(D18,DNIT_MDO!B$4:Z$102,2,0)</f>
        <v>Técnico ambiental</v>
      </c>
      <c r="D18" s="179" t="str">
        <f>DNIT_MDO!B69</f>
        <v>P8143</v>
      </c>
      <c r="E18" s="180">
        <v>1</v>
      </c>
      <c r="F18" s="180">
        <f t="shared" si="0"/>
        <v>1</v>
      </c>
      <c r="G18" s="180">
        <v>4</v>
      </c>
      <c r="H18" s="171">
        <f>K5</f>
        <v>10</v>
      </c>
      <c r="I18" s="180">
        <f t="shared" si="1"/>
        <v>36.666666666666664</v>
      </c>
      <c r="J18" s="180">
        <f>I18/220</f>
        <v>0.16666666666666666</v>
      </c>
      <c r="K18" s="181">
        <f>VLOOKUP(D18,DNIT_MDO!B4:Z109,25,0)</f>
        <v>5442.71</v>
      </c>
      <c r="L18" s="181">
        <f t="shared" si="9"/>
        <v>907.12</v>
      </c>
      <c r="M18" s="182">
        <f t="shared" si="5"/>
        <v>907.12</v>
      </c>
      <c r="N18" s="172"/>
      <c r="O18" s="59"/>
    </row>
    <row r="19" spans="1:15" ht="15.75" hidden="1" thickBot="1" x14ac:dyDescent="0.3">
      <c r="A19" s="352"/>
      <c r="B19" s="352"/>
      <c r="C19" s="112" t="str">
        <f>VLOOKUP(D19,DNIT_MDO!B$4:Z$102,2,0)</f>
        <v>Auxiliar administrativo</v>
      </c>
      <c r="D19" s="184" t="str">
        <f>DNIT_MDO!B17</f>
        <v>P8026</v>
      </c>
      <c r="E19" s="185">
        <v>0</v>
      </c>
      <c r="F19" s="185">
        <f t="shared" si="0"/>
        <v>0</v>
      </c>
      <c r="G19" s="185">
        <v>4</v>
      </c>
      <c r="H19" s="174">
        <f>K5</f>
        <v>10</v>
      </c>
      <c r="I19" s="185">
        <f t="shared" ref="I19:I33" si="17">E19*F19*G19*H19*(220/240)</f>
        <v>0</v>
      </c>
      <c r="J19" s="185">
        <f>I19/220</f>
        <v>0</v>
      </c>
      <c r="K19" s="186">
        <f>VLOOKUP(D19,DNIT_MDO!B4:Z110,25,0)</f>
        <v>4925.74</v>
      </c>
      <c r="L19" s="181">
        <f t="shared" si="9"/>
        <v>0</v>
      </c>
      <c r="M19" s="193">
        <f t="shared" si="5"/>
        <v>0</v>
      </c>
      <c r="N19" s="187">
        <f>SUM(M14:M19)</f>
        <v>11669.000000000002</v>
      </c>
      <c r="O19" s="64" t="s">
        <v>130</v>
      </c>
    </row>
    <row r="20" spans="1:15" x14ac:dyDescent="0.25">
      <c r="A20" s="349" t="s">
        <v>382</v>
      </c>
      <c r="B20" s="349"/>
      <c r="C20" s="111" t="str">
        <f>VLOOKUP(D20,DNIT_MDO!B$4:Z$102,2,0)</f>
        <v>Engenheiro florestal pleno</v>
      </c>
      <c r="D20" s="188" t="str">
        <f>DNIT_MDO!B46</f>
        <v>P8069</v>
      </c>
      <c r="E20" s="189">
        <v>1</v>
      </c>
      <c r="F20" s="189">
        <f t="shared" si="0"/>
        <v>1</v>
      </c>
      <c r="G20" s="189">
        <v>4</v>
      </c>
      <c r="H20" s="190">
        <f>K5</f>
        <v>10</v>
      </c>
      <c r="I20" s="189">
        <f t="shared" ref="I20:I23" si="18">E20*F20*G20*H20*(220/240)</f>
        <v>36.666666666666664</v>
      </c>
      <c r="J20" s="189">
        <f t="shared" ref="J20:J23" si="19">I20/220</f>
        <v>0.16666666666666666</v>
      </c>
      <c r="K20" s="191">
        <f>VLOOKUP(D20,DNIT_MDO!B5:Z111,25,0)</f>
        <v>27034.68</v>
      </c>
      <c r="L20" s="181">
        <f t="shared" si="9"/>
        <v>4505.78</v>
      </c>
      <c r="M20" s="192">
        <f t="shared" ref="M20:M23" si="20">L20</f>
        <v>4505.78</v>
      </c>
      <c r="N20" s="172"/>
      <c r="O20" s="64"/>
    </row>
    <row r="21" spans="1:15" x14ac:dyDescent="0.25">
      <c r="A21" s="350"/>
      <c r="B21" s="350"/>
      <c r="C21" s="110" t="str">
        <f>VLOOKUP(D21,DNIT_MDO!B$4:Z$102,2,0)</f>
        <v>Engenheiro agrônomo pleno</v>
      </c>
      <c r="D21" s="179" t="str">
        <f>DNIT_MDO!B32</f>
        <v>P8055</v>
      </c>
      <c r="E21" s="180">
        <v>1</v>
      </c>
      <c r="F21" s="180">
        <f t="shared" si="0"/>
        <v>1</v>
      </c>
      <c r="G21" s="180">
        <v>4</v>
      </c>
      <c r="H21" s="171">
        <f>K5</f>
        <v>10</v>
      </c>
      <c r="I21" s="180">
        <f t="shared" si="18"/>
        <v>36.666666666666664</v>
      </c>
      <c r="J21" s="180">
        <f t="shared" si="19"/>
        <v>0.16666666666666666</v>
      </c>
      <c r="K21" s="181">
        <f>VLOOKUP(D21,DNIT_MDO!B6:Z112,25,0)</f>
        <v>27169.72</v>
      </c>
      <c r="L21" s="181">
        <f t="shared" si="9"/>
        <v>4528.29</v>
      </c>
      <c r="M21" s="182">
        <f t="shared" si="20"/>
        <v>4528.29</v>
      </c>
      <c r="N21" s="172"/>
      <c r="O21" s="64"/>
    </row>
    <row r="22" spans="1:15" x14ac:dyDescent="0.25">
      <c r="A22" s="350"/>
      <c r="B22" s="350"/>
      <c r="C22" s="110" t="str">
        <f>VLOOKUP(D22,DNIT_MDO!B$4:Z$102,2,0)</f>
        <v>Técnico ambiental</v>
      </c>
      <c r="D22" s="179" t="str">
        <f>DNIT_MDO!B69</f>
        <v>P8143</v>
      </c>
      <c r="E22" s="180">
        <v>1</v>
      </c>
      <c r="F22" s="180">
        <f t="shared" si="0"/>
        <v>1</v>
      </c>
      <c r="G22" s="180">
        <v>4</v>
      </c>
      <c r="H22" s="171">
        <f>K5</f>
        <v>10</v>
      </c>
      <c r="I22" s="180">
        <f t="shared" si="18"/>
        <v>36.666666666666664</v>
      </c>
      <c r="J22" s="180">
        <f t="shared" si="19"/>
        <v>0.16666666666666666</v>
      </c>
      <c r="K22" s="181">
        <f>VLOOKUP(D22,DNIT_MDO!B7:Z113,25,0)</f>
        <v>5442.71</v>
      </c>
      <c r="L22" s="181">
        <f t="shared" si="9"/>
        <v>907.12</v>
      </c>
      <c r="M22" s="182">
        <f t="shared" si="20"/>
        <v>907.12</v>
      </c>
      <c r="N22" s="172"/>
      <c r="O22" s="64"/>
    </row>
    <row r="23" spans="1:15" ht="15.75" hidden="1" thickBot="1" x14ac:dyDescent="0.3">
      <c r="A23" s="350"/>
      <c r="B23" s="350"/>
      <c r="C23" s="110" t="str">
        <f>VLOOKUP(D23,DNIT_MDO!B$4:Z$102,2,0)</f>
        <v>Auxiliar administrativo</v>
      </c>
      <c r="D23" s="179" t="str">
        <f>DNIT_MDO!B17</f>
        <v>P8026</v>
      </c>
      <c r="E23" s="180">
        <v>0</v>
      </c>
      <c r="F23" s="180">
        <f t="shared" si="0"/>
        <v>0</v>
      </c>
      <c r="G23" s="180">
        <v>4</v>
      </c>
      <c r="H23" s="171">
        <f>K5</f>
        <v>10</v>
      </c>
      <c r="I23" s="180">
        <f t="shared" si="18"/>
        <v>0</v>
      </c>
      <c r="J23" s="180">
        <f t="shared" si="19"/>
        <v>0</v>
      </c>
      <c r="K23" s="181">
        <f>VLOOKUP(D23,DNIT_MDO!B8:Z114,25,0)</f>
        <v>4925.74</v>
      </c>
      <c r="L23" s="181">
        <f t="shared" ref="L20:L23" si="21">K23*J23</f>
        <v>0</v>
      </c>
      <c r="M23" s="182">
        <f t="shared" si="20"/>
        <v>0</v>
      </c>
      <c r="N23" s="187">
        <f>SUM(M20:M23)</f>
        <v>9941.19</v>
      </c>
      <c r="O23" s="64"/>
    </row>
    <row r="24" spans="1:15" ht="15.75" hidden="1" thickBot="1" x14ac:dyDescent="0.3">
      <c r="A24" s="352"/>
      <c r="B24" s="352"/>
      <c r="C24" s="112" t="str">
        <f>VLOOKUP(D24,DNIT_MDO!B$4:Z$102,2,0)</f>
        <v>Auxiliar administrativo</v>
      </c>
      <c r="D24" s="184" t="str">
        <f>D23</f>
        <v>P8026</v>
      </c>
      <c r="E24" s="185">
        <v>0</v>
      </c>
      <c r="F24" s="185">
        <f t="shared" si="0"/>
        <v>0</v>
      </c>
      <c r="G24" s="185">
        <f>G9</f>
        <v>4</v>
      </c>
      <c r="H24" s="174">
        <f>'1 Quadro Resumo'!D11</f>
        <v>10</v>
      </c>
      <c r="I24" s="185">
        <f t="shared" si="17"/>
        <v>0</v>
      </c>
      <c r="J24" s="185">
        <f t="shared" ref="J24:J25" si="22">I24/220</f>
        <v>0</v>
      </c>
      <c r="K24" s="186">
        <f>VLOOKUP(D24,DNIT_MDO!B11:Z111,25,0)</f>
        <v>4925.74</v>
      </c>
      <c r="L24" s="186">
        <f t="shared" ref="L11:L33" si="23">K24*J24</f>
        <v>0</v>
      </c>
      <c r="M24" s="186">
        <f t="shared" si="5"/>
        <v>0</v>
      </c>
      <c r="N24" s="172">
        <f>SUM(M20:M24)</f>
        <v>9941.19</v>
      </c>
      <c r="O24" s="347" t="s">
        <v>131</v>
      </c>
    </row>
    <row r="25" spans="1:15" ht="15" hidden="1" customHeight="1" x14ac:dyDescent="0.25">
      <c r="A25" s="349" t="s">
        <v>365</v>
      </c>
      <c r="B25" s="349"/>
      <c r="C25" s="111" t="str">
        <f>VLOOKUP(D25,DNIT_MDO!B$4:Z$102,2,0)</f>
        <v>Engenheiro agrônomo pleno</v>
      </c>
      <c r="D25" s="188" t="str">
        <f>DNIT_MDO!B32</f>
        <v>P8055</v>
      </c>
      <c r="E25" s="189">
        <v>0</v>
      </c>
      <c r="F25" s="189">
        <f t="shared" si="0"/>
        <v>0</v>
      </c>
      <c r="G25" s="189">
        <v>8</v>
      </c>
      <c r="H25" s="190">
        <f>K5</f>
        <v>10</v>
      </c>
      <c r="I25" s="189">
        <f t="shared" si="17"/>
        <v>0</v>
      </c>
      <c r="J25" s="189">
        <f t="shared" si="22"/>
        <v>0</v>
      </c>
      <c r="K25" s="191">
        <f>VLOOKUP(D25,DNIT_MDO!B4:Z112,25,0)</f>
        <v>27169.72</v>
      </c>
      <c r="L25" s="191">
        <f t="shared" si="23"/>
        <v>0</v>
      </c>
      <c r="M25" s="192">
        <f t="shared" si="5"/>
        <v>0</v>
      </c>
      <c r="N25" s="197"/>
      <c r="O25" s="348"/>
    </row>
    <row r="26" spans="1:15" hidden="1" x14ac:dyDescent="0.25">
      <c r="A26" s="350"/>
      <c r="B26" s="350"/>
      <c r="C26" s="110" t="str">
        <f>VLOOKUP(D26,DNIT_MDO!B$4:Z$102,2,0)</f>
        <v>Engenheiro ambiental pleno</v>
      </c>
      <c r="D26" s="179" t="str">
        <f>DNIT_MDO!B35</f>
        <v>P8058</v>
      </c>
      <c r="E26" s="180">
        <v>0</v>
      </c>
      <c r="F26" s="180">
        <f t="shared" si="0"/>
        <v>0</v>
      </c>
      <c r="G26" s="180">
        <v>8</v>
      </c>
      <c r="H26" s="171">
        <f>K5</f>
        <v>10</v>
      </c>
      <c r="I26" s="180">
        <f t="shared" si="17"/>
        <v>0</v>
      </c>
      <c r="J26" s="180">
        <f>I26/220</f>
        <v>0</v>
      </c>
      <c r="K26" s="181">
        <f>VLOOKUP(D26,DNIT_MDO!B4:Z113,25,0)</f>
        <v>28502.49</v>
      </c>
      <c r="L26" s="181">
        <f t="shared" si="23"/>
        <v>0</v>
      </c>
      <c r="M26" s="182">
        <f t="shared" si="5"/>
        <v>0</v>
      </c>
      <c r="N26" s="172"/>
      <c r="O26" s="348"/>
    </row>
    <row r="27" spans="1:15" hidden="1" x14ac:dyDescent="0.25">
      <c r="A27" s="350"/>
      <c r="B27" s="350"/>
      <c r="C27" s="110" t="str">
        <f>VLOOKUP(D27,DNIT_MDO!B$4:Z$102,2,0)</f>
        <v>Auxiliar de topografia</v>
      </c>
      <c r="D27" s="179" t="str">
        <f>DNIT_MDO!B19</f>
        <v>P8028</v>
      </c>
      <c r="E27" s="180">
        <v>0</v>
      </c>
      <c r="F27" s="180">
        <f t="shared" si="0"/>
        <v>0</v>
      </c>
      <c r="G27" s="180">
        <v>8</v>
      </c>
      <c r="H27" s="171">
        <f>K5</f>
        <v>10</v>
      </c>
      <c r="I27" s="180">
        <f t="shared" ref="I27" si="24">E27*F27*G27*H27*(220/240)</f>
        <v>0</v>
      </c>
      <c r="J27" s="180">
        <f>I27/220</f>
        <v>0</v>
      </c>
      <c r="K27" s="181">
        <f>VLOOKUP(D27,DNIT_MDO!B5:Z114,25,0)</f>
        <v>4492.8</v>
      </c>
      <c r="L27" s="181">
        <f t="shared" ref="L27" si="25">K27*J27</f>
        <v>0</v>
      </c>
      <c r="M27" s="182">
        <f t="shared" ref="M27" si="26">L27</f>
        <v>0</v>
      </c>
      <c r="N27" s="172"/>
      <c r="O27" s="348"/>
    </row>
    <row r="28" spans="1:15" hidden="1" x14ac:dyDescent="0.25">
      <c r="A28" s="350"/>
      <c r="B28" s="350"/>
      <c r="C28" s="110" t="str">
        <f>VLOOKUP(D28,DNIT_MDO!B$4:Z$102,2,0)</f>
        <v>Técnico ambiental</v>
      </c>
      <c r="D28" s="179" t="str">
        <f>DNIT_MDO!B69</f>
        <v>P8143</v>
      </c>
      <c r="E28" s="180">
        <v>0</v>
      </c>
      <c r="F28" s="180">
        <f t="shared" si="0"/>
        <v>0</v>
      </c>
      <c r="G28" s="180">
        <v>8</v>
      </c>
      <c r="H28" s="171">
        <f>K5</f>
        <v>10</v>
      </c>
      <c r="I28" s="180">
        <f t="shared" si="17"/>
        <v>0</v>
      </c>
      <c r="J28" s="180">
        <f>I28/220</f>
        <v>0</v>
      </c>
      <c r="K28" s="181">
        <f>VLOOKUP(D28,DNIT_MDO!B4:Z114,25,0)</f>
        <v>5442.71</v>
      </c>
      <c r="L28" s="181">
        <f t="shared" si="23"/>
        <v>0</v>
      </c>
      <c r="M28" s="182">
        <f t="shared" si="5"/>
        <v>0</v>
      </c>
      <c r="N28" s="172"/>
      <c r="O28" s="348"/>
    </row>
    <row r="29" spans="1:15" ht="15.75" hidden="1" thickBot="1" x14ac:dyDescent="0.3">
      <c r="A29" s="352"/>
      <c r="B29" s="352"/>
      <c r="C29" s="112" t="str">
        <f>VLOOKUP(D29,DNIT_MDO!B$4:Z$102,2,0)</f>
        <v>Auxiliar administrativo</v>
      </c>
      <c r="D29" s="184" t="str">
        <f>DNIT_MDO!B17</f>
        <v>P8026</v>
      </c>
      <c r="E29" s="185">
        <v>0</v>
      </c>
      <c r="F29" s="185">
        <f t="shared" si="0"/>
        <v>0</v>
      </c>
      <c r="G29" s="185">
        <v>8</v>
      </c>
      <c r="H29" s="174">
        <f>K5</f>
        <v>10</v>
      </c>
      <c r="I29" s="185">
        <f t="shared" si="17"/>
        <v>0</v>
      </c>
      <c r="J29" s="185">
        <f t="shared" ref="J29:J31" si="27">I29/220</f>
        <v>0</v>
      </c>
      <c r="K29" s="186">
        <f>VLOOKUP(D29,DNIT_MDO!B4:Z117,25,0)</f>
        <v>4925.74</v>
      </c>
      <c r="L29" s="186">
        <f t="shared" si="23"/>
        <v>0</v>
      </c>
      <c r="M29" s="193">
        <f t="shared" si="5"/>
        <v>0</v>
      </c>
      <c r="N29" s="187">
        <f>SUM(M25:M29)</f>
        <v>0</v>
      </c>
      <c r="O29" s="120">
        <f>M14+M15+M16+M17+M18+M19+M2+M25+M26+M28+M29</f>
        <v>11669.000000000002</v>
      </c>
    </row>
    <row r="30" spans="1:15" hidden="1" x14ac:dyDescent="0.25">
      <c r="A30" s="349" t="s">
        <v>377</v>
      </c>
      <c r="B30" s="349"/>
      <c r="C30" s="111" t="str">
        <f>VLOOKUP(D30,DNIT_MDO!B$4:Z$102,2,0)</f>
        <v>Advogado sênior</v>
      </c>
      <c r="D30" s="188" t="str">
        <f>DNIT_MDO!B6</f>
        <v>P8003</v>
      </c>
      <c r="E30" s="189">
        <v>0</v>
      </c>
      <c r="F30" s="189">
        <f t="shared" ref="F30:F41" si="28">E30</f>
        <v>0</v>
      </c>
      <c r="G30" s="189">
        <v>8</v>
      </c>
      <c r="H30" s="190">
        <f>K5</f>
        <v>10</v>
      </c>
      <c r="I30" s="189">
        <f t="shared" si="17"/>
        <v>0</v>
      </c>
      <c r="J30" s="189">
        <f t="shared" si="27"/>
        <v>0</v>
      </c>
      <c r="K30" s="191">
        <f>VLOOKUP(D30,DNIT_MDO!B5:Z118,25,0)</f>
        <v>21772.02</v>
      </c>
      <c r="L30" s="191">
        <f t="shared" si="23"/>
        <v>0</v>
      </c>
      <c r="M30" s="192">
        <f t="shared" si="5"/>
        <v>0</v>
      </c>
      <c r="N30" s="172"/>
      <c r="O30" s="120"/>
    </row>
    <row r="31" spans="1:15" hidden="1" x14ac:dyDescent="0.25">
      <c r="A31" s="350"/>
      <c r="B31" s="350"/>
      <c r="C31" s="110" t="str">
        <f>VLOOKUP(D31,DNIT_MDO!B$4:Z$102,2,0)</f>
        <v>Arqueólogo júnior</v>
      </c>
      <c r="D31" s="179" t="str">
        <f>DNIT_MDO!B89</f>
        <v>P8189</v>
      </c>
      <c r="E31" s="180">
        <v>0</v>
      </c>
      <c r="F31" s="180">
        <f t="shared" si="28"/>
        <v>0</v>
      </c>
      <c r="G31" s="180">
        <v>8</v>
      </c>
      <c r="H31" s="171">
        <f>K5</f>
        <v>10</v>
      </c>
      <c r="I31" s="180">
        <f t="shared" si="17"/>
        <v>0</v>
      </c>
      <c r="J31" s="180">
        <f t="shared" si="27"/>
        <v>0</v>
      </c>
      <c r="K31" s="181">
        <f>VLOOKUP(D31,DNIT_MDO!B4:Z119,25,0)</f>
        <v>9800.3700000000008</v>
      </c>
      <c r="L31" s="183">
        <f t="shared" si="23"/>
        <v>0</v>
      </c>
      <c r="M31" s="182">
        <f t="shared" si="5"/>
        <v>0</v>
      </c>
      <c r="N31" s="172"/>
      <c r="O31" s="120"/>
    </row>
    <row r="32" spans="1:15" hidden="1" x14ac:dyDescent="0.25">
      <c r="A32" s="350"/>
      <c r="B32" s="350"/>
      <c r="C32" s="110" t="str">
        <f>VLOOKUP(D32,DNIT_MDO!B$4:Z$102,2,0)</f>
        <v>Historiador júnior</v>
      </c>
      <c r="D32" s="179" t="str">
        <f>DNIT_MDO!B92</f>
        <v>P8192</v>
      </c>
      <c r="E32" s="180">
        <v>0</v>
      </c>
      <c r="F32" s="180">
        <f t="shared" ref="F32" si="29">E32</f>
        <v>0</v>
      </c>
      <c r="G32" s="180">
        <v>8</v>
      </c>
      <c r="H32" s="171">
        <f>K5</f>
        <v>10</v>
      </c>
      <c r="I32" s="180">
        <f t="shared" ref="I32" si="30">E32*F32*G32*H32*(220/240)</f>
        <v>0</v>
      </c>
      <c r="J32" s="180">
        <f t="shared" ref="J32" si="31">I32/220</f>
        <v>0</v>
      </c>
      <c r="K32" s="181">
        <f>VLOOKUP(D32,DNIT_MDO!B5:Z120,25,0)</f>
        <v>8636.02</v>
      </c>
      <c r="L32" s="181">
        <f t="shared" ref="L32" si="32">K32*J32</f>
        <v>0</v>
      </c>
      <c r="M32" s="182">
        <f t="shared" ref="M32" si="33">L32</f>
        <v>0</v>
      </c>
      <c r="N32" s="172"/>
      <c r="O32" s="120"/>
    </row>
    <row r="33" spans="1:15" hidden="1" x14ac:dyDescent="0.25">
      <c r="A33" s="350"/>
      <c r="B33" s="350"/>
      <c r="C33" s="110" t="str">
        <f>VLOOKUP(D33,DNIT_MDO!B$4:Z$102,2,0)</f>
        <v>Biólogo sênior</v>
      </c>
      <c r="D33" s="179" t="str">
        <f>DNIT_MDO!B22</f>
        <v>P8034</v>
      </c>
      <c r="E33" s="180">
        <v>0</v>
      </c>
      <c r="F33" s="180">
        <f t="shared" si="28"/>
        <v>0</v>
      </c>
      <c r="G33" s="180">
        <v>8</v>
      </c>
      <c r="H33" s="171">
        <f>K5</f>
        <v>10</v>
      </c>
      <c r="I33" s="180">
        <f t="shared" si="17"/>
        <v>0</v>
      </c>
      <c r="J33" s="180">
        <f>I33/220</f>
        <v>0</v>
      </c>
      <c r="K33" s="181">
        <f>VLOOKUP(D33,DNIT_MDO!B4:Z120,25,0)</f>
        <v>14796.33</v>
      </c>
      <c r="L33" s="181">
        <f t="shared" si="23"/>
        <v>0</v>
      </c>
      <c r="M33" s="182">
        <f t="shared" si="5"/>
        <v>0</v>
      </c>
      <c r="N33" s="172"/>
      <c r="O33" s="120"/>
    </row>
    <row r="34" spans="1:15" hidden="1" x14ac:dyDescent="0.25">
      <c r="A34" s="350"/>
      <c r="B34" s="350"/>
      <c r="C34" s="110" t="str">
        <f>VLOOKUP(D34,DNIT_MDO!B$4:Z$102,2,0)</f>
        <v>Antropólogo júnior</v>
      </c>
      <c r="D34" s="179" t="str">
        <f>DNIT_MDO!B86</f>
        <v>P8186</v>
      </c>
      <c r="E34" s="180">
        <v>0</v>
      </c>
      <c r="F34" s="180">
        <f t="shared" si="28"/>
        <v>0</v>
      </c>
      <c r="G34" s="180">
        <v>8</v>
      </c>
      <c r="H34" s="171">
        <f>K5</f>
        <v>10</v>
      </c>
      <c r="I34" s="180">
        <f t="shared" ref="I34" si="34">E34*F34*G34*H34*(220/240)</f>
        <v>0</v>
      </c>
      <c r="J34" s="180">
        <f>I34/220</f>
        <v>0</v>
      </c>
      <c r="K34" s="181">
        <f>VLOOKUP(D34,DNIT_MDO!B4:Z121,25,0)</f>
        <v>11084.16</v>
      </c>
      <c r="L34" s="181">
        <f t="shared" ref="L34" si="35">K34*J34</f>
        <v>0</v>
      </c>
      <c r="M34" s="182">
        <f t="shared" ref="M34" si="36">L34</f>
        <v>0</v>
      </c>
      <c r="N34" s="172"/>
      <c r="O34" s="109"/>
    </row>
    <row r="35" spans="1:15" hidden="1" x14ac:dyDescent="0.25">
      <c r="A35" s="350"/>
      <c r="B35" s="350"/>
      <c r="C35" s="110" t="str">
        <f>VLOOKUP(D35,DNIT_MDO!B$4:Z$102,2,0)</f>
        <v>Geólogo sênior</v>
      </c>
      <c r="D35" s="179" t="str">
        <f>DNIT_MDO!B50</f>
        <v>P8082</v>
      </c>
      <c r="E35" s="180">
        <v>0</v>
      </c>
      <c r="F35" s="180">
        <f t="shared" si="28"/>
        <v>0</v>
      </c>
      <c r="G35" s="180">
        <v>8</v>
      </c>
      <c r="H35" s="171">
        <f>K5</f>
        <v>10</v>
      </c>
      <c r="I35" s="180">
        <f t="shared" ref="I35:I41" si="37">E35*F35*G35*H35*(220/240)</f>
        <v>0</v>
      </c>
      <c r="J35" s="180">
        <f t="shared" ref="J35:J41" si="38">I35/220</f>
        <v>0</v>
      </c>
      <c r="K35" s="181">
        <f>VLOOKUP(D35,DNIT_MDO!B4:Z122,25,0)</f>
        <v>31102.97</v>
      </c>
      <c r="L35" s="181">
        <f t="shared" ref="L35:L41" si="39">K35*J35</f>
        <v>0</v>
      </c>
      <c r="M35" s="182">
        <f t="shared" ref="M35:M41" si="40">L35</f>
        <v>0</v>
      </c>
      <c r="N35" s="172"/>
      <c r="O35" s="109">
        <f>N9+N14+N25</f>
        <v>0</v>
      </c>
    </row>
    <row r="36" spans="1:15" hidden="1" x14ac:dyDescent="0.25">
      <c r="A36" s="350"/>
      <c r="B36" s="350"/>
      <c r="C36" s="110" t="str">
        <f>VLOOKUP(D36,DNIT_MDO!B$4:Z$102,2,0)</f>
        <v>Meteorologista sênior</v>
      </c>
      <c r="D36" s="179" t="str">
        <f>DNIT_MDO!B58</f>
        <v>P8108</v>
      </c>
      <c r="E36" s="180">
        <v>0</v>
      </c>
      <c r="F36" s="180">
        <f t="shared" si="28"/>
        <v>0</v>
      </c>
      <c r="G36" s="180">
        <v>8</v>
      </c>
      <c r="H36" s="171">
        <f>K5</f>
        <v>10</v>
      </c>
      <c r="I36" s="180">
        <f t="shared" si="37"/>
        <v>0</v>
      </c>
      <c r="J36" s="180">
        <f t="shared" si="38"/>
        <v>0</v>
      </c>
      <c r="K36" s="181">
        <f>VLOOKUP(D36,DNIT_MDO!B4:Z123,25,0)</f>
        <v>14376.43</v>
      </c>
      <c r="L36" s="181">
        <f t="shared" si="39"/>
        <v>0</v>
      </c>
      <c r="M36" s="182">
        <f t="shared" si="40"/>
        <v>0</v>
      </c>
      <c r="N36" s="172"/>
      <c r="O36" s="109"/>
    </row>
    <row r="37" spans="1:15" ht="30" hidden="1" x14ac:dyDescent="0.25">
      <c r="A37" s="350"/>
      <c r="B37" s="350"/>
      <c r="C37" s="110" t="str">
        <f>VLOOKUP(D37,DNIT_MDO!B$4:Z$102,2,0)</f>
        <v>Motorista de veículo leve - horista</v>
      </c>
      <c r="D37" s="179" t="str">
        <f>DNIT_MDO!B101</f>
        <v>P8264</v>
      </c>
      <c r="E37" s="180">
        <v>0</v>
      </c>
      <c r="F37" s="180">
        <f t="shared" si="28"/>
        <v>0</v>
      </c>
      <c r="G37" s="180">
        <v>8</v>
      </c>
      <c r="H37" s="171">
        <f>K5</f>
        <v>10</v>
      </c>
      <c r="I37" s="180">
        <f t="shared" si="37"/>
        <v>0</v>
      </c>
      <c r="J37" s="180">
        <f t="shared" si="38"/>
        <v>0</v>
      </c>
      <c r="K37" s="181">
        <f>VLOOKUP(D37,DNIT_MDO!B4:Z124,25,0)</f>
        <v>12589.55</v>
      </c>
      <c r="L37" s="181">
        <f t="shared" si="39"/>
        <v>0</v>
      </c>
      <c r="M37" s="182">
        <f t="shared" si="40"/>
        <v>0</v>
      </c>
      <c r="N37" s="172"/>
      <c r="O37" s="109"/>
    </row>
    <row r="38" spans="1:15" hidden="1" x14ac:dyDescent="0.25">
      <c r="A38" s="350"/>
      <c r="B38" s="350"/>
      <c r="C38" s="110" t="str">
        <f>VLOOKUP(D38,DNIT_MDO!B$4:Z$102,2,0)</f>
        <v>Arquivista júnior</v>
      </c>
      <c r="D38" s="179" t="str">
        <f>DNIT_MDO!B74</f>
        <v>P8167</v>
      </c>
      <c r="E38" s="180">
        <v>0</v>
      </c>
      <c r="F38" s="180">
        <f t="shared" si="28"/>
        <v>0</v>
      </c>
      <c r="G38" s="180">
        <v>8</v>
      </c>
      <c r="H38" s="171">
        <f>K5</f>
        <v>10</v>
      </c>
      <c r="I38" s="180">
        <f t="shared" ref="I38" si="41">E38*F38*G38*H38*(220/240)</f>
        <v>0</v>
      </c>
      <c r="J38" s="180">
        <f t="shared" ref="J38" si="42">I38/220</f>
        <v>0</v>
      </c>
      <c r="K38" s="181">
        <f>VLOOKUP(D38,DNIT_MDO!B5:Z125,25,0)</f>
        <v>6095.68</v>
      </c>
      <c r="L38" s="181">
        <f t="shared" ref="L38" si="43">K38*J38</f>
        <v>0</v>
      </c>
      <c r="M38" s="182">
        <f t="shared" ref="M38" si="44">L38</f>
        <v>0</v>
      </c>
      <c r="N38" s="172"/>
      <c r="O38" s="109"/>
    </row>
    <row r="39" spans="1:15" hidden="1" x14ac:dyDescent="0.25">
      <c r="A39" s="350"/>
      <c r="B39" s="350"/>
      <c r="C39" s="110" t="str">
        <f>VLOOKUP(D39,DNIT_MDO!B$4:Z$102,2,0)</f>
        <v>Técnico ambiental</v>
      </c>
      <c r="D39" s="179" t="str">
        <f>DNIT_MDO!B69</f>
        <v>P8143</v>
      </c>
      <c r="E39" s="180">
        <v>0</v>
      </c>
      <c r="F39" s="180">
        <f t="shared" si="28"/>
        <v>0</v>
      </c>
      <c r="G39" s="180">
        <v>8</v>
      </c>
      <c r="H39" s="171">
        <f>K5</f>
        <v>10</v>
      </c>
      <c r="I39" s="180">
        <f t="shared" si="37"/>
        <v>0</v>
      </c>
      <c r="J39" s="180">
        <f t="shared" si="38"/>
        <v>0</v>
      </c>
      <c r="K39" s="181">
        <f>VLOOKUP(D39,DNIT_MDO!B4:Z125,25,0)</f>
        <v>5442.71</v>
      </c>
      <c r="L39" s="181">
        <f t="shared" si="39"/>
        <v>0</v>
      </c>
      <c r="M39" s="182">
        <f t="shared" si="40"/>
        <v>0</v>
      </c>
      <c r="N39" s="172"/>
      <c r="O39" s="109"/>
    </row>
    <row r="40" spans="1:15" hidden="1" x14ac:dyDescent="0.25">
      <c r="A40" s="350"/>
      <c r="B40" s="350"/>
      <c r="C40" s="110" t="e">
        <f>VLOOKUP(D40,DNIT_MDO!B$4:Z$102,2,0)</f>
        <v>#N/A</v>
      </c>
      <c r="D40" s="179"/>
      <c r="E40" s="180"/>
      <c r="F40" s="180"/>
      <c r="G40" s="180"/>
      <c r="H40" s="171"/>
      <c r="I40" s="180"/>
      <c r="J40" s="180"/>
      <c r="K40" s="181"/>
      <c r="L40" s="181"/>
      <c r="M40" s="182"/>
      <c r="N40" s="172"/>
      <c r="O40" s="109"/>
    </row>
    <row r="41" spans="1:15" ht="15.75" hidden="1" thickBot="1" x14ac:dyDescent="0.3">
      <c r="A41" s="352"/>
      <c r="B41" s="352"/>
      <c r="C41" s="112" t="str">
        <f>VLOOKUP(D41,DNIT_MDO!B$4:Z$102,2,0)</f>
        <v>Auxiliar administrativo</v>
      </c>
      <c r="D41" s="184" t="str">
        <f>DNIT_MDO!B17</f>
        <v>P8026</v>
      </c>
      <c r="E41" s="185">
        <v>0</v>
      </c>
      <c r="F41" s="185">
        <f t="shared" si="28"/>
        <v>0</v>
      </c>
      <c r="G41" s="185">
        <v>8</v>
      </c>
      <c r="H41" s="174">
        <f>K5</f>
        <v>10</v>
      </c>
      <c r="I41" s="185">
        <f t="shared" si="37"/>
        <v>0</v>
      </c>
      <c r="J41" s="185">
        <f t="shared" si="38"/>
        <v>0</v>
      </c>
      <c r="K41" s="186">
        <f>VLOOKUP(D41,DNIT_MDO!B4:Z126,25,0)</f>
        <v>4925.74</v>
      </c>
      <c r="L41" s="186">
        <f t="shared" si="39"/>
        <v>0</v>
      </c>
      <c r="M41" s="193">
        <f t="shared" si="40"/>
        <v>0</v>
      </c>
      <c r="N41" s="187">
        <f>SUM(M30:M41)</f>
        <v>0</v>
      </c>
      <c r="O41" s="109">
        <f>SUM(M30:M41)</f>
        <v>0</v>
      </c>
    </row>
    <row r="42" spans="1:15" x14ac:dyDescent="0.25">
      <c r="A42" s="175"/>
      <c r="B42" s="176"/>
      <c r="C42" s="115"/>
      <c r="D42" s="115"/>
      <c r="E42" s="113" t="s">
        <v>97</v>
      </c>
      <c r="F42" s="114">
        <f>SUM(F9:F41)</f>
        <v>10</v>
      </c>
      <c r="G42" s="115"/>
      <c r="H42" s="115"/>
      <c r="I42" s="115"/>
      <c r="J42" s="115"/>
      <c r="K42" s="115"/>
      <c r="L42" s="177" t="s">
        <v>97</v>
      </c>
      <c r="M42" s="178">
        <f>SUM(M9:M41)</f>
        <v>24835.52</v>
      </c>
      <c r="N42" s="194">
        <f>SUM(N13+N19+N23+N29+N41)</f>
        <v>24835.520000000004</v>
      </c>
      <c r="O42" s="60"/>
    </row>
    <row r="43" spans="1:15" x14ac:dyDescent="0.2">
      <c r="O43" s="60"/>
    </row>
    <row r="44" spans="1:15" x14ac:dyDescent="0.2">
      <c r="N44" s="116">
        <f>N9+N14+N30</f>
        <v>0</v>
      </c>
    </row>
    <row r="45" spans="1:15" x14ac:dyDescent="0.2">
      <c r="A45" s="1" t="s">
        <v>377</v>
      </c>
    </row>
    <row r="46" spans="1:15" x14ac:dyDescent="0.2">
      <c r="A46" s="353"/>
      <c r="B46" s="353"/>
    </row>
    <row r="47" spans="1:15" x14ac:dyDescent="0.2">
      <c r="A47" s="353"/>
      <c r="B47" s="353"/>
    </row>
    <row r="48" spans="1:15" x14ac:dyDescent="0.2">
      <c r="A48" s="353"/>
      <c r="B48" s="353"/>
    </row>
  </sheetData>
  <mergeCells count="23">
    <mergeCell ref="N7:N8"/>
    <mergeCell ref="O24:O28"/>
    <mergeCell ref="A9:B13"/>
    <mergeCell ref="A46:B48"/>
    <mergeCell ref="A25:B29"/>
    <mergeCell ref="A30:B41"/>
    <mergeCell ref="A14:B19"/>
    <mergeCell ref="A20:B24"/>
    <mergeCell ref="A6:M6"/>
    <mergeCell ref="A7:B8"/>
    <mergeCell ref="C7:D7"/>
    <mergeCell ref="M7:M8"/>
    <mergeCell ref="A1:M1"/>
    <mergeCell ref="K2:M2"/>
    <mergeCell ref="K3:M3"/>
    <mergeCell ref="K4:M4"/>
    <mergeCell ref="B2:H2"/>
    <mergeCell ref="B3:H3"/>
    <mergeCell ref="B4:H4"/>
    <mergeCell ref="B5:H5"/>
    <mergeCell ref="I2:J2"/>
    <mergeCell ref="I4:J4"/>
    <mergeCell ref="I5:J5"/>
  </mergeCells>
  <printOptions horizontalCentered="1"/>
  <pageMargins left="0.11811023622047245" right="0.11811023622047245" top="1.4960629921259843" bottom="0.74803149606299213" header="0" footer="0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2"/>
  <sheetViews>
    <sheetView showGridLines="0" view="pageBreakPreview" zoomScaleNormal="100" zoomScaleSheetLayoutView="100" workbookViewId="0">
      <selection activeCell="L10" sqref="L10"/>
    </sheetView>
  </sheetViews>
  <sheetFormatPr defaultColWidth="9.83203125" defaultRowHeight="15" x14ac:dyDescent="0.2"/>
  <cols>
    <col min="1" max="1" width="12" style="1" bestFit="1" customWidth="1"/>
    <col min="2" max="2" width="8.33203125" style="1" bestFit="1" customWidth="1"/>
    <col min="3" max="3" width="24.83203125" style="1" customWidth="1"/>
    <col min="4" max="4" width="14.83203125" style="1" customWidth="1"/>
    <col min="5" max="5" width="17.6640625" style="1" customWidth="1"/>
    <col min="6" max="6" width="11" style="1" customWidth="1"/>
    <col min="7" max="7" width="13.83203125" style="1" customWidth="1"/>
    <col min="8" max="8" width="11.33203125" style="1" customWidth="1"/>
    <col min="9" max="9" width="14.1640625" style="1" bestFit="1" customWidth="1"/>
    <col min="10" max="10" width="13.5" style="1" bestFit="1" customWidth="1"/>
    <col min="11" max="11" width="7.83203125" style="1" bestFit="1" customWidth="1"/>
    <col min="12" max="12" width="10.6640625" style="1" bestFit="1" customWidth="1"/>
    <col min="13" max="16384" width="9.83203125" style="1"/>
  </cols>
  <sheetData>
    <row r="1" spans="1:12" ht="45.75" customHeight="1" x14ac:dyDescent="0.2">
      <c r="A1" s="338" t="str">
        <f>'1 Quadro Resumo'!A7</f>
        <v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40"/>
    </row>
    <row r="2" spans="1:12" x14ac:dyDescent="0.2">
      <c r="A2" s="12" t="s">
        <v>3</v>
      </c>
      <c r="B2" s="315" t="str">
        <f>'1 Quadro Resumo'!B8</f>
        <v>Campo Grande - MS e Nova Alvorada do Sul - MS</v>
      </c>
      <c r="C2" s="315"/>
      <c r="D2" s="315"/>
      <c r="E2" s="315"/>
      <c r="F2" s="315"/>
      <c r="G2" s="315"/>
      <c r="H2" s="315"/>
      <c r="I2" s="28" t="s">
        <v>0</v>
      </c>
      <c r="J2" s="334" t="str">
        <f>'1 Quadro Resumo'!E8</f>
        <v>Tabela de consultoria</v>
      </c>
      <c r="K2" s="334"/>
      <c r="L2" s="312"/>
    </row>
    <row r="3" spans="1:12" ht="14.45" customHeight="1" x14ac:dyDescent="0.2">
      <c r="A3" s="12" t="s">
        <v>4</v>
      </c>
      <c r="B3" s="315" t="str">
        <f>'1 Quadro Resumo'!B9</f>
        <v>Ponte sobre o Rio Anhanduí (CG-342)</v>
      </c>
      <c r="C3" s="315"/>
      <c r="D3" s="315"/>
      <c r="E3" s="315"/>
      <c r="F3" s="315"/>
      <c r="G3" s="315"/>
      <c r="H3" s="315"/>
      <c r="I3" s="13"/>
      <c r="J3" s="334" t="str">
        <f>'1 Quadro Resumo'!E9</f>
        <v>DNIT SICRO</v>
      </c>
      <c r="K3" s="334"/>
      <c r="L3" s="312"/>
    </row>
    <row r="4" spans="1:12" ht="50.25" customHeight="1" x14ac:dyDescent="0.2">
      <c r="A4" s="163" t="s">
        <v>5</v>
      </c>
      <c r="B4" s="315" t="str">
        <f>'1 Quadro Resumo'!B10</f>
        <v>Ponte sobre o Rio Anhanduí                                                          Coordenadas S 21° 24' 06.95" W 54° 07' 51.18"</v>
      </c>
      <c r="C4" s="315"/>
      <c r="D4" s="315"/>
      <c r="E4" s="315"/>
      <c r="F4" s="315"/>
      <c r="G4" s="315"/>
      <c r="H4" s="315"/>
      <c r="I4" s="28" t="s">
        <v>6</v>
      </c>
      <c r="J4" s="311">
        <f>'1 Quadro Resumo'!E10</f>
        <v>46113</v>
      </c>
      <c r="K4" s="334"/>
      <c r="L4" s="312"/>
    </row>
    <row r="5" spans="1:12" ht="14.45" customHeight="1" x14ac:dyDescent="0.2">
      <c r="A5" s="12" t="s">
        <v>8</v>
      </c>
      <c r="B5" s="365" t="str">
        <f>'1 Quadro Resumo'!B11</f>
        <v>70,00 metros</v>
      </c>
      <c r="C5" s="365"/>
      <c r="D5" s="365"/>
      <c r="E5" s="365"/>
      <c r="F5" s="365"/>
      <c r="G5" s="365"/>
      <c r="H5" s="365"/>
      <c r="I5" s="28" t="s">
        <v>7</v>
      </c>
      <c r="J5" s="132">
        <f>'1 Quadro Resumo'!D11</f>
        <v>10</v>
      </c>
      <c r="K5" s="371" t="s">
        <v>378</v>
      </c>
      <c r="L5" s="372"/>
    </row>
    <row r="6" spans="1:12" x14ac:dyDescent="0.2">
      <c r="A6" s="366" t="s">
        <v>45</v>
      </c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</row>
    <row r="7" spans="1:12" x14ac:dyDescent="0.2">
      <c r="A7" s="369" t="s">
        <v>46</v>
      </c>
      <c r="B7" s="358" t="s">
        <v>47</v>
      </c>
      <c r="C7" s="358" t="s">
        <v>48</v>
      </c>
      <c r="D7" s="356" t="s">
        <v>49</v>
      </c>
      <c r="E7" s="357"/>
      <c r="F7" s="356" t="s">
        <v>50</v>
      </c>
      <c r="G7" s="357"/>
      <c r="H7" s="356" t="s">
        <v>51</v>
      </c>
      <c r="I7" s="357"/>
      <c r="J7" s="358" t="s">
        <v>52</v>
      </c>
      <c r="K7" s="358" t="s">
        <v>53</v>
      </c>
      <c r="L7" s="354" t="s">
        <v>11</v>
      </c>
    </row>
    <row r="8" spans="1:12" ht="45" x14ac:dyDescent="0.2">
      <c r="A8" s="370"/>
      <c r="B8" s="329"/>
      <c r="C8" s="329"/>
      <c r="D8" s="18" t="s">
        <v>54</v>
      </c>
      <c r="E8" s="18" t="s">
        <v>55</v>
      </c>
      <c r="F8" s="18" t="s">
        <v>56</v>
      </c>
      <c r="G8" s="18" t="s">
        <v>57</v>
      </c>
      <c r="H8" s="18" t="s">
        <v>58</v>
      </c>
      <c r="I8" s="18" t="s">
        <v>59</v>
      </c>
      <c r="J8" s="329"/>
      <c r="K8" s="329"/>
      <c r="L8" s="355"/>
    </row>
    <row r="9" spans="1:12" ht="60" x14ac:dyDescent="0.2">
      <c r="A9" s="29" t="s">
        <v>30</v>
      </c>
      <c r="B9" s="18" t="s">
        <v>60</v>
      </c>
      <c r="C9" s="18" t="str">
        <f>DNIT_EQUIP!D8</f>
        <v>Veículo leve picape 4 x 4 com capacidade de 1,10 t - 147 kW (sem motorista)</v>
      </c>
      <c r="D9" s="30">
        <f>DNIT_EQUIP!F8</f>
        <v>79.599999999999994</v>
      </c>
      <c r="E9" s="30">
        <f>DNIT_EQUIP!G8</f>
        <v>22.89</v>
      </c>
      <c r="F9" s="30">
        <v>66</v>
      </c>
      <c r="G9" s="30">
        <v>116.49</v>
      </c>
      <c r="H9" s="31">
        <f>D9*F9</f>
        <v>5253.5999999999995</v>
      </c>
      <c r="I9" s="31">
        <f>E9*G9</f>
        <v>2666.4560999999999</v>
      </c>
      <c r="J9" s="30">
        <v>1</v>
      </c>
      <c r="K9" s="30">
        <f>J5/30</f>
        <v>0.33333333333333331</v>
      </c>
      <c r="L9" s="81">
        <f>ROUND((H9+I9)*J9*K9,2)</f>
        <v>2640.02</v>
      </c>
    </row>
    <row r="10" spans="1:12" x14ac:dyDescent="0.2">
      <c r="A10" s="360"/>
      <c r="B10" s="361"/>
      <c r="C10" s="361"/>
      <c r="D10" s="361"/>
      <c r="E10" s="361"/>
      <c r="F10" s="361"/>
      <c r="G10" s="361"/>
      <c r="H10" s="361"/>
      <c r="I10" s="362"/>
      <c r="J10" s="363" t="s">
        <v>61</v>
      </c>
      <c r="K10" s="364"/>
      <c r="L10" s="32">
        <f>L9</f>
        <v>2640.02</v>
      </c>
    </row>
    <row r="12" spans="1:12" x14ac:dyDescent="0.2">
      <c r="A12" s="359"/>
      <c r="B12" s="359"/>
      <c r="C12" s="359"/>
      <c r="D12" s="359"/>
      <c r="E12" s="359"/>
      <c r="F12" s="359"/>
      <c r="G12" s="359"/>
      <c r="H12" s="359"/>
    </row>
  </sheetData>
  <mergeCells count="22">
    <mergeCell ref="A12:H12"/>
    <mergeCell ref="B4:H4"/>
    <mergeCell ref="J4:L4"/>
    <mergeCell ref="A1:L1"/>
    <mergeCell ref="B2:H2"/>
    <mergeCell ref="J2:L2"/>
    <mergeCell ref="B3:H3"/>
    <mergeCell ref="J3:L3"/>
    <mergeCell ref="A10:I10"/>
    <mergeCell ref="J10:K10"/>
    <mergeCell ref="B5:H5"/>
    <mergeCell ref="A6:L6"/>
    <mergeCell ref="A7:A8"/>
    <mergeCell ref="B7:B8"/>
    <mergeCell ref="C7:C8"/>
    <mergeCell ref="K5:L5"/>
    <mergeCell ref="L7:L8"/>
    <mergeCell ref="D7:E7"/>
    <mergeCell ref="F7:G7"/>
    <mergeCell ref="H7:I7"/>
    <mergeCell ref="J7:J8"/>
    <mergeCell ref="K7:K8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16"/>
  <sheetViews>
    <sheetView showGridLines="0" view="pageBreakPreview" zoomScaleNormal="100" zoomScaleSheetLayoutView="100" workbookViewId="0">
      <selection activeCell="H11" sqref="H11"/>
    </sheetView>
  </sheetViews>
  <sheetFormatPr defaultColWidth="9.33203125" defaultRowHeight="15" x14ac:dyDescent="0.2"/>
  <cols>
    <col min="1" max="1" width="12" style="1" bestFit="1" customWidth="1"/>
    <col min="2" max="2" width="24.1640625" style="1" customWidth="1"/>
    <col min="3" max="3" width="8.33203125" style="1" bestFit="1" customWidth="1"/>
    <col min="4" max="4" width="34.6640625" style="1" customWidth="1"/>
    <col min="5" max="5" width="6.6640625" style="1" bestFit="1" customWidth="1"/>
    <col min="6" max="6" width="13.6640625" style="1" bestFit="1" customWidth="1"/>
    <col min="7" max="7" width="19.6640625" style="1" bestFit="1" customWidth="1"/>
    <col min="8" max="8" width="12.33203125" style="1" bestFit="1" customWidth="1"/>
    <col min="9" max="16384" width="9.33203125" style="1"/>
  </cols>
  <sheetData>
    <row r="1" spans="1:8" ht="46.5" customHeight="1" x14ac:dyDescent="0.2">
      <c r="A1" s="338" t="str">
        <f>'1 Quadro Resumo'!A7</f>
        <v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v>
      </c>
      <c r="B1" s="339"/>
      <c r="C1" s="339"/>
      <c r="D1" s="339"/>
      <c r="E1" s="339"/>
      <c r="F1" s="339"/>
      <c r="G1" s="339"/>
      <c r="H1" s="340"/>
    </row>
    <row r="2" spans="1:8" x14ac:dyDescent="0.2">
      <c r="A2" s="12" t="s">
        <v>3</v>
      </c>
      <c r="B2" s="315" t="str">
        <f>'1 Quadro Resumo'!B8</f>
        <v>Campo Grande - MS e Nova Alvorada do Sul - MS</v>
      </c>
      <c r="C2" s="315"/>
      <c r="D2" s="315"/>
      <c r="E2" s="382" t="s">
        <v>0</v>
      </c>
      <c r="F2" s="382"/>
      <c r="G2" s="334" t="str">
        <f>'1 Quadro Resumo'!E8</f>
        <v>Tabela de consultoria</v>
      </c>
      <c r="H2" s="312"/>
    </row>
    <row r="3" spans="1:8" x14ac:dyDescent="0.2">
      <c r="A3" s="12" t="s">
        <v>4</v>
      </c>
      <c r="B3" s="315" t="str">
        <f>'1 Quadro Resumo'!B9</f>
        <v>Ponte sobre o Rio Anhanduí (CG-342)</v>
      </c>
      <c r="C3" s="315"/>
      <c r="D3" s="315"/>
      <c r="E3" s="13"/>
      <c r="F3" s="28"/>
      <c r="G3" s="334" t="str">
        <f>'1 Quadro Resumo'!E9</f>
        <v>DNIT SICRO</v>
      </c>
      <c r="H3" s="312"/>
    </row>
    <row r="4" spans="1:8" ht="33.75" customHeight="1" x14ac:dyDescent="0.2">
      <c r="A4" s="163" t="s">
        <v>5</v>
      </c>
      <c r="B4" s="315" t="str">
        <f>'1 Quadro Resumo'!B10</f>
        <v>Ponte sobre o Rio Anhanduí                                                          Coordenadas S 21° 24' 06.95" W 54° 07' 51.18"</v>
      </c>
      <c r="C4" s="315"/>
      <c r="D4" s="315"/>
      <c r="E4" s="382" t="s">
        <v>6</v>
      </c>
      <c r="F4" s="382"/>
      <c r="G4" s="311">
        <f>'1 Quadro Resumo'!E10</f>
        <v>46113</v>
      </c>
      <c r="H4" s="312"/>
    </row>
    <row r="5" spans="1:8" x14ac:dyDescent="0.2">
      <c r="A5" s="12" t="s">
        <v>8</v>
      </c>
      <c r="B5" s="315" t="str">
        <f>'1 Quadro Resumo'!B11</f>
        <v>70,00 metros</v>
      </c>
      <c r="C5" s="315"/>
      <c r="D5" s="315"/>
      <c r="E5" s="382" t="s">
        <v>7</v>
      </c>
      <c r="F5" s="382"/>
      <c r="G5" s="132">
        <f>'1 Quadro Resumo'!D11</f>
        <v>10</v>
      </c>
      <c r="H5" s="133" t="s">
        <v>378</v>
      </c>
    </row>
    <row r="6" spans="1:8" x14ac:dyDescent="0.2">
      <c r="A6" s="373" t="s">
        <v>115</v>
      </c>
      <c r="B6" s="374"/>
      <c r="C6" s="374"/>
      <c r="D6" s="374"/>
      <c r="E6" s="374"/>
      <c r="F6" s="374"/>
      <c r="G6" s="374"/>
      <c r="H6" s="375"/>
    </row>
    <row r="7" spans="1:8" x14ac:dyDescent="0.2">
      <c r="A7" s="321" t="s">
        <v>46</v>
      </c>
      <c r="B7" s="321"/>
      <c r="C7" s="376" t="s">
        <v>47</v>
      </c>
      <c r="D7" s="358" t="s">
        <v>48</v>
      </c>
      <c r="E7" s="18" t="s">
        <v>63</v>
      </c>
      <c r="F7" s="18" t="s">
        <v>53</v>
      </c>
      <c r="G7" s="18" t="s">
        <v>116</v>
      </c>
      <c r="H7" s="49" t="s">
        <v>11</v>
      </c>
    </row>
    <row r="8" spans="1:8" x14ac:dyDescent="0.2">
      <c r="A8" s="321"/>
      <c r="B8" s="321"/>
      <c r="C8" s="327"/>
      <c r="D8" s="329"/>
      <c r="E8" s="18" t="s">
        <v>67</v>
      </c>
      <c r="F8" s="18" t="s">
        <v>68</v>
      </c>
      <c r="G8" s="18" t="s">
        <v>69</v>
      </c>
      <c r="H8" s="49" t="s">
        <v>117</v>
      </c>
    </row>
    <row r="9" spans="1:8" x14ac:dyDescent="0.2">
      <c r="A9" s="380" t="s">
        <v>118</v>
      </c>
      <c r="B9" s="381"/>
      <c r="C9" s="67" t="str">
        <f>DNIT_EQUIP!C22</f>
        <v>B8957</v>
      </c>
      <c r="D9" s="68" t="s">
        <v>161</v>
      </c>
      <c r="E9" s="18">
        <v>1</v>
      </c>
      <c r="F9" s="102">
        <f>G5/30</f>
        <v>0.33333333333333331</v>
      </c>
      <c r="G9" s="82">
        <f>DNIT_EQUIP!G22</f>
        <v>3882.01</v>
      </c>
      <c r="H9" s="83">
        <f>ROUND(G9*F9*E9,2)</f>
        <v>1294</v>
      </c>
    </row>
    <row r="10" spans="1:8" ht="30" customHeight="1" x14ac:dyDescent="0.2">
      <c r="A10" s="324"/>
      <c r="B10" s="325"/>
      <c r="C10" s="17" t="s">
        <v>119</v>
      </c>
      <c r="D10" s="56" t="s">
        <v>120</v>
      </c>
      <c r="E10" s="57">
        <v>1</v>
      </c>
      <c r="F10" s="30">
        <f>G5/30</f>
        <v>0.33333333333333331</v>
      </c>
      <c r="G10" s="31">
        <f>DNIT_EQUIP!G23</f>
        <v>6145.87</v>
      </c>
      <c r="H10" s="83">
        <f>ROUND(G10*F10*E10,2)</f>
        <v>2048.62</v>
      </c>
    </row>
    <row r="11" spans="1:8" x14ac:dyDescent="0.2">
      <c r="A11" s="377" t="s">
        <v>61</v>
      </c>
      <c r="B11" s="378"/>
      <c r="C11" s="378"/>
      <c r="D11" s="378"/>
      <c r="E11" s="378"/>
      <c r="F11" s="378"/>
      <c r="G11" s="379"/>
      <c r="H11" s="58">
        <f>SUM(H9:H10)</f>
        <v>3342.62</v>
      </c>
    </row>
    <row r="13" spans="1:8" x14ac:dyDescent="0.2">
      <c r="A13" s="359"/>
      <c r="B13" s="359"/>
      <c r="C13" s="359"/>
      <c r="D13" s="359"/>
      <c r="E13" s="359"/>
      <c r="F13" s="359"/>
      <c r="G13" s="359"/>
      <c r="H13" s="359"/>
    </row>
    <row r="16" spans="1:8" x14ac:dyDescent="0.2">
      <c r="G16" s="11"/>
    </row>
  </sheetData>
  <mergeCells count="18">
    <mergeCell ref="A1:H1"/>
    <mergeCell ref="B2:D2"/>
    <mergeCell ref="E2:F2"/>
    <mergeCell ref="G2:H2"/>
    <mergeCell ref="B3:D3"/>
    <mergeCell ref="G3:H3"/>
    <mergeCell ref="B4:D4"/>
    <mergeCell ref="E4:F4"/>
    <mergeCell ref="G4:H4"/>
    <mergeCell ref="B5:D5"/>
    <mergeCell ref="E5:F5"/>
    <mergeCell ref="A13:H13"/>
    <mergeCell ref="A6:H6"/>
    <mergeCell ref="A7:B8"/>
    <mergeCell ref="C7:C8"/>
    <mergeCell ref="D7:D8"/>
    <mergeCell ref="A11:G11"/>
    <mergeCell ref="A9:B10"/>
  </mergeCells>
  <printOptions horizontalCentered="1"/>
  <pageMargins left="0.11811023622047245" right="0.11811023622047245" top="1.4960629921259843" bottom="0.74803149606299213" header="0" footer="0"/>
  <pageSetup paperSize="9" scale="11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showGridLines="0" view="pageBreakPreview" zoomScaleNormal="100" zoomScaleSheetLayoutView="100" workbookViewId="0">
      <selection activeCell="K14" sqref="K14"/>
    </sheetView>
  </sheetViews>
  <sheetFormatPr defaultColWidth="9.33203125" defaultRowHeight="15" x14ac:dyDescent="0.2"/>
  <cols>
    <col min="1" max="1" width="12" style="1" bestFit="1" customWidth="1"/>
    <col min="2" max="2" width="13.33203125" style="1" customWidth="1"/>
    <col min="3" max="3" width="8.33203125" style="1" bestFit="1" customWidth="1"/>
    <col min="4" max="4" width="23.33203125" style="1" customWidth="1"/>
    <col min="5" max="5" width="17.6640625" style="1" bestFit="1" customWidth="1"/>
    <col min="6" max="6" width="25.33203125" style="1" bestFit="1" customWidth="1"/>
    <col min="7" max="7" width="13.5" style="1" bestFit="1" customWidth="1"/>
    <col min="8" max="8" width="12.1640625" style="1" bestFit="1" customWidth="1"/>
    <col min="9" max="9" width="11" style="1" bestFit="1" customWidth="1"/>
    <col min="10" max="10" width="7.83203125" style="1" bestFit="1" customWidth="1"/>
    <col min="11" max="11" width="12.33203125" style="1" bestFit="1" customWidth="1"/>
    <col min="12" max="16384" width="9.33203125" style="1"/>
  </cols>
  <sheetData>
    <row r="1" spans="1:13" ht="41.25" customHeight="1" x14ac:dyDescent="0.2">
      <c r="A1" s="389" t="str">
        <f>'2 Cronograma'!A7</f>
        <v>Objeto: ELABORAÇÃO DE RELATÓRIO AMBIENTAL SIMPLIFICADO (RAS), PLANO DE CONTROLE AMBIENTAL (PCA),  DOS ESTUDOS PARA O LICENCIAMENTO AMBIENTAL, OBRAS DE ARTES ESPECIAIS - OAE, SUPRESSÃO VEGETAL E/OU CORTE DE ÁRVORES NATIVAS ISOLADAS EM FAIXAS DE SERVIDÃO PARA OBRA DE PONTE</v>
      </c>
      <c r="B1" s="315"/>
      <c r="C1" s="315"/>
      <c r="D1" s="315"/>
      <c r="E1" s="315"/>
      <c r="F1" s="315"/>
      <c r="G1" s="315"/>
      <c r="H1" s="315"/>
      <c r="I1" s="315"/>
      <c r="J1" s="315"/>
      <c r="K1" s="390"/>
    </row>
    <row r="2" spans="1:13" x14ac:dyDescent="0.2">
      <c r="A2" s="12" t="s">
        <v>3</v>
      </c>
      <c r="B2" s="315" t="str">
        <f>'1 Quadro Resumo'!B8</f>
        <v>Campo Grande - MS e Nova Alvorada do Sul - MS</v>
      </c>
      <c r="C2" s="315"/>
      <c r="D2" s="315"/>
      <c r="E2" s="315"/>
      <c r="F2" s="315"/>
      <c r="G2" s="382" t="s">
        <v>0</v>
      </c>
      <c r="H2" s="382"/>
      <c r="I2" s="334" t="str">
        <f>'1 Quadro Resumo'!E8</f>
        <v>Tabela de consultoria</v>
      </c>
      <c r="J2" s="334"/>
      <c r="K2" s="312"/>
    </row>
    <row r="3" spans="1:13" ht="14.45" customHeight="1" x14ac:dyDescent="0.2">
      <c r="A3" s="12" t="s">
        <v>4</v>
      </c>
      <c r="B3" s="315" t="str">
        <f>'1 Quadro Resumo'!B9</f>
        <v>Ponte sobre o Rio Anhanduí (CG-342)</v>
      </c>
      <c r="C3" s="315"/>
      <c r="D3" s="315"/>
      <c r="E3" s="315"/>
      <c r="F3" s="315"/>
      <c r="G3" s="13"/>
      <c r="H3" s="33"/>
      <c r="I3" s="334" t="str">
        <f>'1 Quadro Resumo'!E9</f>
        <v>DNIT SICRO</v>
      </c>
      <c r="J3" s="334"/>
      <c r="K3" s="312"/>
    </row>
    <row r="4" spans="1:13" ht="31.5" customHeight="1" x14ac:dyDescent="0.2">
      <c r="A4" s="163" t="s">
        <v>5</v>
      </c>
      <c r="B4" s="315" t="str">
        <f>'1 Quadro Resumo'!B10</f>
        <v>Ponte sobre o Rio Anhanduí                                                          Coordenadas S 21° 24' 06.95" W 54° 07' 51.18"</v>
      </c>
      <c r="C4" s="315"/>
      <c r="D4" s="315"/>
      <c r="E4" s="315"/>
      <c r="F4" s="315"/>
      <c r="G4" s="382" t="s">
        <v>6</v>
      </c>
      <c r="H4" s="382"/>
      <c r="I4" s="311">
        <f>'1 Quadro Resumo'!E10</f>
        <v>46113</v>
      </c>
      <c r="J4" s="334"/>
      <c r="K4" s="312"/>
    </row>
    <row r="5" spans="1:13" x14ac:dyDescent="0.2">
      <c r="A5" s="12" t="s">
        <v>8</v>
      </c>
      <c r="B5" s="315" t="str">
        <f>'1 Quadro Resumo'!B11</f>
        <v>70,00 metros</v>
      </c>
      <c r="C5" s="315"/>
      <c r="D5" s="315"/>
      <c r="E5" s="315"/>
      <c r="F5" s="315"/>
      <c r="G5" s="382" t="s">
        <v>7</v>
      </c>
      <c r="H5" s="382"/>
      <c r="I5" s="132">
        <f>'1 Quadro Resumo'!D11</f>
        <v>10</v>
      </c>
      <c r="J5" s="132" t="s">
        <v>378</v>
      </c>
      <c r="K5" s="133"/>
    </row>
    <row r="6" spans="1:13" x14ac:dyDescent="0.2">
      <c r="A6" s="301" t="s">
        <v>62</v>
      </c>
      <c r="B6" s="302"/>
      <c r="C6" s="302"/>
      <c r="D6" s="302"/>
      <c r="E6" s="302"/>
      <c r="F6" s="302"/>
      <c r="G6" s="302"/>
      <c r="H6" s="302"/>
      <c r="I6" s="302"/>
      <c r="J6" s="302"/>
      <c r="K6" s="303"/>
    </row>
    <row r="7" spans="1:13" x14ac:dyDescent="0.2">
      <c r="A7" s="321" t="s">
        <v>46</v>
      </c>
      <c r="B7" s="321"/>
      <c r="C7" s="321" t="s">
        <v>47</v>
      </c>
      <c r="D7" s="321" t="s">
        <v>48</v>
      </c>
      <c r="E7" s="321" t="s">
        <v>63</v>
      </c>
      <c r="F7" s="34" t="s">
        <v>49</v>
      </c>
      <c r="G7" s="20" t="s">
        <v>52</v>
      </c>
      <c r="H7" s="321" t="s">
        <v>64</v>
      </c>
      <c r="I7" s="20" t="s">
        <v>65</v>
      </c>
      <c r="J7" s="20" t="s">
        <v>53</v>
      </c>
      <c r="K7" s="383" t="s">
        <v>66</v>
      </c>
    </row>
    <row r="8" spans="1:13" x14ac:dyDescent="0.2">
      <c r="A8" s="321"/>
      <c r="B8" s="321"/>
      <c r="C8" s="321"/>
      <c r="D8" s="321"/>
      <c r="E8" s="321"/>
      <c r="F8" s="20" t="s">
        <v>67</v>
      </c>
      <c r="G8" s="20" t="s">
        <v>68</v>
      </c>
      <c r="H8" s="321"/>
      <c r="I8" s="20" t="s">
        <v>69</v>
      </c>
      <c r="J8" s="20" t="s">
        <v>70</v>
      </c>
      <c r="K8" s="384"/>
    </row>
    <row r="9" spans="1:13" ht="30" x14ac:dyDescent="0.2">
      <c r="A9" s="321" t="s">
        <v>71</v>
      </c>
      <c r="B9" s="321"/>
      <c r="C9" s="20" t="s">
        <v>72</v>
      </c>
      <c r="D9" s="20" t="s">
        <v>73</v>
      </c>
      <c r="E9" s="20" t="s">
        <v>74</v>
      </c>
      <c r="F9" s="35">
        <f>DNIT_EQUIP!G16</f>
        <v>52.26</v>
      </c>
      <c r="G9" s="35">
        <v>1</v>
      </c>
      <c r="H9" s="119">
        <f>'4 Equipe Técnica'!F42</f>
        <v>10</v>
      </c>
      <c r="I9" s="35">
        <v>55</v>
      </c>
      <c r="J9" s="35">
        <f>I5/30</f>
        <v>0.33333333333333331</v>
      </c>
      <c r="K9" s="36">
        <f>ROUND(F9*H9*J9,2)</f>
        <v>174.2</v>
      </c>
      <c r="M9" s="1">
        <f>F9*H9</f>
        <v>522.6</v>
      </c>
    </row>
    <row r="10" spans="1:13" x14ac:dyDescent="0.2">
      <c r="A10" s="385" t="s">
        <v>75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6">
        <f>K9</f>
        <v>174.2</v>
      </c>
    </row>
    <row r="11" spans="1:13" x14ac:dyDescent="0.2">
      <c r="A11" s="385" t="s">
        <v>75</v>
      </c>
      <c r="B11" s="385"/>
      <c r="C11" s="385"/>
      <c r="D11" s="385"/>
      <c r="E11" s="385"/>
      <c r="F11" s="385"/>
      <c r="G11" s="385"/>
      <c r="H11" s="385"/>
      <c r="I11" s="385"/>
      <c r="J11" s="385"/>
      <c r="K11" s="36">
        <f>K10</f>
        <v>174.2</v>
      </c>
    </row>
    <row r="12" spans="1:13" x14ac:dyDescent="0.2">
      <c r="A12" s="321" t="s">
        <v>76</v>
      </c>
      <c r="B12" s="321"/>
      <c r="C12" s="20" t="s">
        <v>77</v>
      </c>
      <c r="D12" s="20" t="s">
        <v>78</v>
      </c>
      <c r="E12" s="20" t="s">
        <v>79</v>
      </c>
      <c r="F12" s="35">
        <f>DNIT_EQUIP!G25</f>
        <v>198.94</v>
      </c>
      <c r="G12" s="35">
        <v>1</v>
      </c>
      <c r="H12" s="119">
        <f>'4 Equipe Técnica'!F42</f>
        <v>10</v>
      </c>
      <c r="I12" s="165">
        <v>55</v>
      </c>
      <c r="J12" s="35">
        <f>I5/30</f>
        <v>0.33333333333333331</v>
      </c>
      <c r="K12" s="36">
        <f>ROUND(F12*H12*J12,2)</f>
        <v>663.13</v>
      </c>
    </row>
    <row r="13" spans="1:13" x14ac:dyDescent="0.2">
      <c r="A13" s="385" t="s">
        <v>80</v>
      </c>
      <c r="B13" s="385"/>
      <c r="C13" s="385"/>
      <c r="D13" s="385"/>
      <c r="E13" s="385"/>
      <c r="F13" s="385"/>
      <c r="G13" s="385"/>
      <c r="H13" s="385"/>
      <c r="I13" s="385"/>
      <c r="J13" s="385"/>
      <c r="K13" s="36">
        <f>K12</f>
        <v>663.13</v>
      </c>
    </row>
    <row r="14" spans="1:13" x14ac:dyDescent="0.2">
      <c r="A14" s="386" t="s">
        <v>81</v>
      </c>
      <c r="B14" s="387"/>
      <c r="C14" s="387"/>
      <c r="D14" s="387"/>
      <c r="E14" s="387"/>
      <c r="F14" s="387"/>
      <c r="G14" s="387"/>
      <c r="H14" s="387"/>
      <c r="I14" s="387"/>
      <c r="J14" s="388"/>
      <c r="K14" s="37">
        <f>K13+K11</f>
        <v>837.32999999999993</v>
      </c>
    </row>
    <row r="16" spans="1:13" x14ac:dyDescent="0.2">
      <c r="A16" s="359" t="s">
        <v>366</v>
      </c>
      <c r="B16" s="359"/>
      <c r="C16" s="359"/>
      <c r="D16" s="359"/>
      <c r="E16" s="359"/>
      <c r="F16" s="359"/>
      <c r="G16" s="359"/>
      <c r="H16" s="359"/>
      <c r="I16" s="359"/>
    </row>
  </sheetData>
  <mergeCells count="25">
    <mergeCell ref="A1:K1"/>
    <mergeCell ref="B2:F2"/>
    <mergeCell ref="G2:H2"/>
    <mergeCell ref="I2:K2"/>
    <mergeCell ref="B3:F3"/>
    <mergeCell ref="I3:K3"/>
    <mergeCell ref="B4:F4"/>
    <mergeCell ref="G4:H4"/>
    <mergeCell ref="I4:K4"/>
    <mergeCell ref="B5:F5"/>
    <mergeCell ref="G5:H5"/>
    <mergeCell ref="A16:I16"/>
    <mergeCell ref="A6:K6"/>
    <mergeCell ref="A7:B8"/>
    <mergeCell ref="C7:C8"/>
    <mergeCell ref="D7:D8"/>
    <mergeCell ref="E7:E8"/>
    <mergeCell ref="H7:H8"/>
    <mergeCell ref="K7:K8"/>
    <mergeCell ref="A11:J11"/>
    <mergeCell ref="A12:B12"/>
    <mergeCell ref="A13:J13"/>
    <mergeCell ref="A9:B9"/>
    <mergeCell ref="A10:J10"/>
    <mergeCell ref="A14:J14"/>
  </mergeCells>
  <printOptions horizontalCentered="1"/>
  <pageMargins left="0.11811023622047245" right="0.11811023622047245" top="1.4960629921259843" bottom="0.74803149606299213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H27"/>
  <sheetViews>
    <sheetView showGridLines="0" showRuler="0" zoomScale="80" zoomScaleNormal="80" zoomScaleSheetLayoutView="115" zoomScalePageLayoutView="85" workbookViewId="0">
      <selection activeCell="F3" sqref="F3"/>
    </sheetView>
  </sheetViews>
  <sheetFormatPr defaultColWidth="4.5" defaultRowHeight="15" x14ac:dyDescent="0.2"/>
  <cols>
    <col min="1" max="1" width="8" style="75" customWidth="1"/>
    <col min="2" max="2" width="19.6640625" style="75" customWidth="1"/>
    <col min="3" max="3" width="15.83203125" style="75" customWidth="1"/>
    <col min="4" max="4" width="67" style="75" customWidth="1"/>
    <col min="5" max="5" width="15.5" style="75" customWidth="1"/>
    <col min="6" max="7" width="23.33203125" style="75" customWidth="1"/>
    <col min="8" max="8" width="8" style="75" customWidth="1"/>
    <col min="9" max="16384" width="4.5" style="75"/>
  </cols>
  <sheetData>
    <row r="1" spans="2:8" x14ac:dyDescent="0.2">
      <c r="B1" s="74">
        <f>'1 Quadro Resumo'!E10</f>
        <v>46113</v>
      </c>
      <c r="C1" s="77"/>
      <c r="D1" s="77"/>
      <c r="E1" s="77"/>
      <c r="F1" s="77"/>
      <c r="G1" s="77"/>
    </row>
    <row r="2" spans="2:8" s="76" customFormat="1" ht="20.25" customHeight="1" x14ac:dyDescent="0.25">
      <c r="B2" s="141" t="s">
        <v>133</v>
      </c>
      <c r="C2" s="142"/>
      <c r="D2" s="143"/>
      <c r="E2" s="142"/>
      <c r="F2" s="142"/>
      <c r="G2" s="142"/>
    </row>
    <row r="3" spans="2:8" s="76" customFormat="1" ht="24" customHeight="1" x14ac:dyDescent="0.25">
      <c r="B3" s="144" t="str">
        <f>"Tabela de Preços de Consultoria - mês de referência: "&amp;TEXT(B1,"MMMM")&amp;" de "&amp;TEXT(B1,"AAAA")</f>
        <v>Tabela de Preços de Consultoria - mês de referência: abril de 2026</v>
      </c>
      <c r="C3" s="145"/>
      <c r="D3" s="145"/>
      <c r="E3" s="145"/>
      <c r="F3" s="145"/>
      <c r="G3" s="145"/>
    </row>
    <row r="4" spans="2:8" ht="27" customHeight="1" x14ac:dyDescent="0.2">
      <c r="B4" s="398" t="s">
        <v>46</v>
      </c>
      <c r="C4" s="397" t="s">
        <v>47</v>
      </c>
      <c r="D4" s="397" t="s">
        <v>48</v>
      </c>
      <c r="E4" s="397" t="s">
        <v>134</v>
      </c>
      <c r="F4" s="397" t="s">
        <v>135</v>
      </c>
      <c r="G4" s="399"/>
      <c r="H4" s="77" t="s">
        <v>136</v>
      </c>
    </row>
    <row r="5" spans="2:8" ht="28.5" customHeight="1" x14ac:dyDescent="0.2">
      <c r="B5" s="398"/>
      <c r="C5" s="397"/>
      <c r="D5" s="397"/>
      <c r="E5" s="397"/>
      <c r="F5" s="146" t="s">
        <v>137</v>
      </c>
      <c r="G5" s="147" t="s">
        <v>138</v>
      </c>
    </row>
    <row r="6" spans="2:8" ht="33.75" customHeight="1" x14ac:dyDescent="0.2">
      <c r="B6" s="393" t="s">
        <v>30</v>
      </c>
      <c r="C6" s="103" t="s">
        <v>139</v>
      </c>
      <c r="D6" s="104" t="s">
        <v>140</v>
      </c>
      <c r="E6" s="103" t="s">
        <v>141</v>
      </c>
      <c r="F6" s="226">
        <v>36.69</v>
      </c>
      <c r="G6" s="227">
        <v>6.57</v>
      </c>
    </row>
    <row r="7" spans="2:8" ht="33.75" customHeight="1" x14ac:dyDescent="0.2">
      <c r="B7" s="393"/>
      <c r="C7" s="103" t="s">
        <v>368</v>
      </c>
      <c r="D7" s="104" t="s">
        <v>369</v>
      </c>
      <c r="E7" s="103" t="s">
        <v>141</v>
      </c>
      <c r="F7" s="226">
        <v>64.3</v>
      </c>
      <c r="G7" s="227">
        <v>34.18</v>
      </c>
    </row>
    <row r="8" spans="2:8" ht="33.75" customHeight="1" x14ac:dyDescent="0.2">
      <c r="B8" s="393"/>
      <c r="C8" s="103" t="s">
        <v>60</v>
      </c>
      <c r="D8" s="104" t="s">
        <v>380</v>
      </c>
      <c r="E8" s="103" t="s">
        <v>141</v>
      </c>
      <c r="F8" s="226">
        <v>79.599999999999994</v>
      </c>
      <c r="G8" s="227">
        <v>22.89</v>
      </c>
    </row>
    <row r="9" spans="2:8" ht="30" x14ac:dyDescent="0.2">
      <c r="B9" s="393"/>
      <c r="C9" s="103" t="s">
        <v>370</v>
      </c>
      <c r="D9" s="104" t="s">
        <v>371</v>
      </c>
      <c r="E9" s="103" t="s">
        <v>141</v>
      </c>
      <c r="F9" s="226">
        <v>56.35</v>
      </c>
      <c r="G9" s="227">
        <v>17.21</v>
      </c>
    </row>
    <row r="10" spans="2:8" ht="35.1" customHeight="1" x14ac:dyDescent="0.2">
      <c r="B10" s="393"/>
      <c r="C10" s="103" t="s">
        <v>142</v>
      </c>
      <c r="D10" s="104" t="s">
        <v>143</v>
      </c>
      <c r="E10" s="103" t="s">
        <v>141</v>
      </c>
      <c r="F10" s="226">
        <v>83.96</v>
      </c>
      <c r="G10" s="227">
        <v>44.82</v>
      </c>
    </row>
    <row r="11" spans="2:8" s="76" customFormat="1" ht="20.25" customHeight="1" x14ac:dyDescent="0.25">
      <c r="B11" s="148" t="s">
        <v>144</v>
      </c>
      <c r="C11" s="149"/>
      <c r="D11" s="150"/>
      <c r="E11" s="149"/>
      <c r="F11" s="151"/>
      <c r="G11" s="151"/>
    </row>
    <row r="12" spans="2:8" s="76" customFormat="1" ht="24" customHeight="1" x14ac:dyDescent="0.25">
      <c r="B12" s="75"/>
      <c r="C12" s="75"/>
      <c r="D12" s="75"/>
      <c r="E12" s="75"/>
      <c r="F12" s="75"/>
      <c r="G12" s="75"/>
    </row>
    <row r="13" spans="2:8" ht="18" x14ac:dyDescent="0.25">
      <c r="B13" s="141" t="s">
        <v>145</v>
      </c>
      <c r="C13" s="142"/>
      <c r="D13" s="143"/>
      <c r="E13" s="142"/>
      <c r="F13" s="142"/>
      <c r="G13" s="142"/>
    </row>
    <row r="14" spans="2:8" ht="27" customHeight="1" x14ac:dyDescent="0.2">
      <c r="B14" s="144" t="str">
        <f>"Tabela de Preços de Consultoria - mês de referência: "&amp;TEXT(B1,"MMMM")&amp;" de "&amp;TEXT(B1,"AAAA")</f>
        <v>Tabela de Preços de Consultoria - mês de referência: abril de 2026</v>
      </c>
      <c r="C14" s="145"/>
      <c r="D14" s="145"/>
      <c r="E14" s="145"/>
      <c r="F14" s="145"/>
      <c r="G14" s="145"/>
    </row>
    <row r="15" spans="2:8" ht="27" customHeight="1" x14ac:dyDescent="0.2">
      <c r="B15" s="152" t="s">
        <v>46</v>
      </c>
      <c r="C15" s="146" t="s">
        <v>47</v>
      </c>
      <c r="D15" s="397" t="s">
        <v>48</v>
      </c>
      <c r="E15" s="397"/>
      <c r="F15" s="146" t="s">
        <v>134</v>
      </c>
      <c r="G15" s="147" t="s">
        <v>146</v>
      </c>
    </row>
    <row r="16" spans="2:8" ht="27" customHeight="1" x14ac:dyDescent="0.2">
      <c r="B16" s="393" t="s">
        <v>147</v>
      </c>
      <c r="C16" s="103" t="s">
        <v>72</v>
      </c>
      <c r="D16" s="391" t="s">
        <v>372</v>
      </c>
      <c r="E16" s="392"/>
      <c r="F16" s="103" t="s">
        <v>148</v>
      </c>
      <c r="G16" s="228">
        <v>52.26</v>
      </c>
    </row>
    <row r="17" spans="2:7" ht="27" customHeight="1" x14ac:dyDescent="0.2">
      <c r="B17" s="393"/>
      <c r="C17" s="103" t="s">
        <v>149</v>
      </c>
      <c r="D17" s="391" t="s">
        <v>373</v>
      </c>
      <c r="E17" s="392"/>
      <c r="F17" s="103" t="s">
        <v>148</v>
      </c>
      <c r="G17" s="228">
        <v>50.21</v>
      </c>
    </row>
    <row r="18" spans="2:7" ht="27" customHeight="1" x14ac:dyDescent="0.2">
      <c r="B18" s="393" t="s">
        <v>150</v>
      </c>
      <c r="C18" s="103" t="s">
        <v>151</v>
      </c>
      <c r="D18" s="391" t="s">
        <v>78</v>
      </c>
      <c r="E18" s="392"/>
      <c r="F18" s="103" t="s">
        <v>79</v>
      </c>
      <c r="G18" s="228">
        <v>488.94</v>
      </c>
    </row>
    <row r="19" spans="2:7" ht="27" customHeight="1" x14ac:dyDescent="0.2">
      <c r="B19" s="393"/>
      <c r="C19" s="103" t="s">
        <v>152</v>
      </c>
      <c r="D19" s="391" t="s">
        <v>153</v>
      </c>
      <c r="E19" s="392"/>
      <c r="F19" s="103" t="s">
        <v>79</v>
      </c>
      <c r="G19" s="228">
        <v>43.94</v>
      </c>
    </row>
    <row r="20" spans="2:7" ht="27" customHeight="1" x14ac:dyDescent="0.2">
      <c r="B20" s="394" t="s">
        <v>154</v>
      </c>
      <c r="C20" s="103" t="s">
        <v>155</v>
      </c>
      <c r="D20" s="391" t="s">
        <v>156</v>
      </c>
      <c r="E20" s="392"/>
      <c r="F20" s="103" t="s">
        <v>157</v>
      </c>
      <c r="G20" s="228">
        <v>5749.9</v>
      </c>
    </row>
    <row r="21" spans="2:7" ht="27" customHeight="1" x14ac:dyDescent="0.2">
      <c r="B21" s="395"/>
      <c r="C21" s="103" t="s">
        <v>158</v>
      </c>
      <c r="D21" s="391" t="s">
        <v>159</v>
      </c>
      <c r="E21" s="392"/>
      <c r="F21" s="103" t="s">
        <v>157</v>
      </c>
      <c r="G21" s="228">
        <v>5016.59</v>
      </c>
    </row>
    <row r="22" spans="2:7" ht="27" customHeight="1" x14ac:dyDescent="0.2">
      <c r="B22" s="395"/>
      <c r="C22" s="103" t="s">
        <v>160</v>
      </c>
      <c r="D22" s="391" t="s">
        <v>161</v>
      </c>
      <c r="E22" s="392"/>
      <c r="F22" s="103" t="s">
        <v>157</v>
      </c>
      <c r="G22" s="228">
        <v>3882.01</v>
      </c>
    </row>
    <row r="23" spans="2:7" ht="27" customHeight="1" x14ac:dyDescent="0.2">
      <c r="B23" s="395"/>
      <c r="C23" s="103" t="s">
        <v>119</v>
      </c>
      <c r="D23" s="391" t="s">
        <v>162</v>
      </c>
      <c r="E23" s="392"/>
      <c r="F23" s="103" t="s">
        <v>157</v>
      </c>
      <c r="G23" s="228">
        <v>6145.87</v>
      </c>
    </row>
    <row r="24" spans="2:7" x14ac:dyDescent="0.2">
      <c r="B24" s="396"/>
      <c r="C24" s="103" t="s">
        <v>374</v>
      </c>
      <c r="D24" s="105" t="s">
        <v>375</v>
      </c>
      <c r="E24" s="106"/>
      <c r="F24" s="103" t="s">
        <v>157</v>
      </c>
      <c r="G24" s="228">
        <v>858.63</v>
      </c>
    </row>
    <row r="25" spans="2:7" ht="15" customHeight="1" x14ac:dyDescent="0.2">
      <c r="B25" s="393" t="s">
        <v>163</v>
      </c>
      <c r="C25" s="103" t="s">
        <v>77</v>
      </c>
      <c r="D25" s="391" t="s">
        <v>78</v>
      </c>
      <c r="E25" s="392"/>
      <c r="F25" s="103" t="s">
        <v>79</v>
      </c>
      <c r="G25" s="228">
        <v>198.94</v>
      </c>
    </row>
    <row r="26" spans="2:7" x14ac:dyDescent="0.2">
      <c r="B26" s="393"/>
      <c r="C26" s="103" t="s">
        <v>164</v>
      </c>
      <c r="D26" s="391" t="s">
        <v>153</v>
      </c>
      <c r="E26" s="392"/>
      <c r="F26" s="103" t="s">
        <v>79</v>
      </c>
      <c r="G26" s="228">
        <v>302.16000000000003</v>
      </c>
    </row>
    <row r="27" spans="2:7" x14ac:dyDescent="0.2">
      <c r="B27" s="148" t="s">
        <v>144</v>
      </c>
      <c r="C27" s="153"/>
      <c r="D27" s="153"/>
      <c r="E27" s="153"/>
      <c r="F27" s="153"/>
      <c r="G27" s="153"/>
    </row>
  </sheetData>
  <mergeCells count="21">
    <mergeCell ref="B4:B5"/>
    <mergeCell ref="C4:C5"/>
    <mergeCell ref="D4:D5"/>
    <mergeCell ref="E4:E5"/>
    <mergeCell ref="F4:G4"/>
    <mergeCell ref="D25:E25"/>
    <mergeCell ref="D26:E26"/>
    <mergeCell ref="B6:B10"/>
    <mergeCell ref="B18:B19"/>
    <mergeCell ref="B20:B24"/>
    <mergeCell ref="B25:B26"/>
    <mergeCell ref="D22:E22"/>
    <mergeCell ref="D23:E23"/>
    <mergeCell ref="D15:E15"/>
    <mergeCell ref="B16:B17"/>
    <mergeCell ref="D16:E16"/>
    <mergeCell ref="D17:E17"/>
    <mergeCell ref="D18:E18"/>
    <mergeCell ref="D19:E19"/>
    <mergeCell ref="D20:E20"/>
    <mergeCell ref="D21:E21"/>
  </mergeCells>
  <pageMargins left="0.19685039370078741" right="0.19685039370078741" top="1.2" bottom="0.6692913385826772" header="0.25" footer="0.19685039370078741"/>
  <pageSetup paperSize="9" scale="62" fitToHeight="0" orientation="portrait" horizontalDpi="1200" verticalDpi="1200" r:id="rId1"/>
  <headerFooter>
    <oddHeader>&amp;C&amp;"Arial,Negrito"&amp;12&amp;G
&amp;16RELATÓRIO DE CUSTOS GERAIS</oddHeader>
    <oddFooter>&amp;C&amp;"Arial,Negrito"&amp;10
&amp;12&amp;P&amp;11
&amp;G</oddFooter>
    <firstHeader>&amp;C&amp;"Arial,Negrito"&amp;G
RELATÓRIO DE CUSTOS GERAIS E BENEFÍCIOS E DESPESAS INDIRETAS - BDI</firstHeader>
    <firstFooter>&amp;C
&amp;"Arial,Negrito"&amp;8&amp;P&amp;"Arial,Normal"&amp;11
&amp;G</firstFooter>
  </headerFooter>
  <rowBreaks count="3" manualBreakCount="3">
    <brk id="25" min="1" max="13" man="1"/>
    <brk id="51" max="16383" man="1"/>
    <brk id="75" min="1" max="1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AA108"/>
  <sheetViews>
    <sheetView showGridLines="0" zoomScale="90" zoomScaleNormal="90" zoomScaleSheetLayoutView="70" zoomScalePageLayoutView="55" workbookViewId="0">
      <selection activeCell="M19" sqref="M19"/>
    </sheetView>
  </sheetViews>
  <sheetFormatPr defaultColWidth="50.6640625" defaultRowHeight="14.25" x14ac:dyDescent="0.2"/>
  <cols>
    <col min="1" max="1" width="7.33203125" style="78" customWidth="1"/>
    <col min="2" max="2" width="17.1640625" style="78" customWidth="1"/>
    <col min="3" max="3" width="53.33203125" style="78" customWidth="1"/>
    <col min="4" max="4" width="14.1640625" style="78" bestFit="1" customWidth="1"/>
    <col min="5" max="5" width="15.1640625" style="78" customWidth="1"/>
    <col min="6" max="6" width="14.33203125" style="78" customWidth="1"/>
    <col min="7" max="7" width="13.5" style="78" customWidth="1"/>
    <col min="8" max="8" width="11.1640625" style="78" customWidth="1"/>
    <col min="9" max="9" width="10.6640625" style="78" customWidth="1"/>
    <col min="10" max="10" width="10.83203125" style="78" customWidth="1"/>
    <col min="11" max="11" width="8.33203125" style="78" customWidth="1"/>
    <col min="12" max="12" width="10.1640625" style="78" customWidth="1"/>
    <col min="13" max="13" width="7.6640625" style="78" customWidth="1"/>
    <col min="14" max="14" width="10.83203125" style="78" customWidth="1"/>
    <col min="15" max="15" width="9.33203125" style="78" bestFit="1" customWidth="1"/>
    <col min="16" max="16" width="11.6640625" style="78" customWidth="1"/>
    <col min="17" max="17" width="8.33203125" style="78" customWidth="1"/>
    <col min="18" max="18" width="10.5" style="78" customWidth="1"/>
    <col min="19" max="19" width="8.1640625" style="78" customWidth="1"/>
    <col min="20" max="21" width="10.1640625" style="78" customWidth="1"/>
    <col min="22" max="22" width="11.5" style="78" customWidth="1"/>
    <col min="23" max="23" width="7.83203125" style="78" customWidth="1"/>
    <col min="24" max="24" width="12.83203125" style="78" customWidth="1"/>
    <col min="25" max="25" width="14" style="78" customWidth="1"/>
    <col min="26" max="26" width="16" style="78" customWidth="1"/>
    <col min="27" max="27" width="7.33203125" style="78" customWidth="1"/>
    <col min="28" max="16384" width="50.6640625" style="78"/>
  </cols>
  <sheetData>
    <row r="1" spans="2:26" ht="28.35" customHeight="1" x14ac:dyDescent="0.2">
      <c r="B1" s="400" t="s">
        <v>47</v>
      </c>
      <c r="C1" s="401" t="s">
        <v>113</v>
      </c>
      <c r="D1" s="401" t="s">
        <v>63</v>
      </c>
      <c r="E1" s="401" t="s">
        <v>165</v>
      </c>
      <c r="F1" s="401" t="s">
        <v>166</v>
      </c>
      <c r="G1" s="401"/>
      <c r="H1" s="401" t="s">
        <v>167</v>
      </c>
      <c r="I1" s="401"/>
      <c r="J1" s="401"/>
      <c r="K1" s="401"/>
      <c r="L1" s="401"/>
      <c r="M1" s="401"/>
      <c r="N1" s="401"/>
      <c r="O1" s="401"/>
      <c r="P1" s="401"/>
      <c r="Q1" s="401"/>
      <c r="R1" s="401" t="s">
        <v>168</v>
      </c>
      <c r="S1" s="401"/>
      <c r="T1" s="401"/>
      <c r="U1" s="401"/>
      <c r="V1" s="401"/>
      <c r="W1" s="401"/>
      <c r="X1" s="401" t="s">
        <v>169</v>
      </c>
      <c r="Y1" s="401"/>
      <c r="Z1" s="402" t="s">
        <v>170</v>
      </c>
    </row>
    <row r="2" spans="2:26" ht="36" customHeight="1" x14ac:dyDescent="0.2">
      <c r="B2" s="400"/>
      <c r="C2" s="401"/>
      <c r="D2" s="401"/>
      <c r="E2" s="401"/>
      <c r="F2" s="401"/>
      <c r="G2" s="401"/>
      <c r="H2" s="401" t="s">
        <v>171</v>
      </c>
      <c r="I2" s="401"/>
      <c r="J2" s="401" t="s">
        <v>172</v>
      </c>
      <c r="K2" s="401"/>
      <c r="L2" s="401" t="s">
        <v>173</v>
      </c>
      <c r="M2" s="401"/>
      <c r="N2" s="401" t="s">
        <v>174</v>
      </c>
      <c r="O2" s="401"/>
      <c r="P2" s="401" t="s">
        <v>175</v>
      </c>
      <c r="Q2" s="401"/>
      <c r="R2" s="401" t="s">
        <v>176</v>
      </c>
      <c r="S2" s="401"/>
      <c r="T2" s="401" t="s">
        <v>177</v>
      </c>
      <c r="U2" s="401"/>
      <c r="V2" s="401" t="s">
        <v>178</v>
      </c>
      <c r="W2" s="401"/>
      <c r="X2" s="401"/>
      <c r="Y2" s="401"/>
      <c r="Z2" s="402"/>
    </row>
    <row r="3" spans="2:26" ht="28.35" customHeight="1" x14ac:dyDescent="0.2">
      <c r="B3" s="400"/>
      <c r="C3" s="401"/>
      <c r="D3" s="401"/>
      <c r="E3" s="79" t="s">
        <v>179</v>
      </c>
      <c r="F3" s="79" t="s">
        <v>91</v>
      </c>
      <c r="G3" s="79" t="s">
        <v>179</v>
      </c>
      <c r="H3" s="79" t="s">
        <v>91</v>
      </c>
      <c r="I3" s="79" t="s">
        <v>179</v>
      </c>
      <c r="J3" s="79" t="s">
        <v>91</v>
      </c>
      <c r="K3" s="79" t="s">
        <v>179</v>
      </c>
      <c r="L3" s="79" t="s">
        <v>91</v>
      </c>
      <c r="M3" s="79" t="s">
        <v>179</v>
      </c>
      <c r="N3" s="79" t="s">
        <v>91</v>
      </c>
      <c r="O3" s="79" t="s">
        <v>179</v>
      </c>
      <c r="P3" s="79" t="s">
        <v>91</v>
      </c>
      <c r="Q3" s="79" t="s">
        <v>179</v>
      </c>
      <c r="R3" s="79" t="s">
        <v>91</v>
      </c>
      <c r="S3" s="79" t="s">
        <v>179</v>
      </c>
      <c r="T3" s="79" t="s">
        <v>91</v>
      </c>
      <c r="U3" s="79" t="s">
        <v>179</v>
      </c>
      <c r="V3" s="79" t="s">
        <v>91</v>
      </c>
      <c r="W3" s="79" t="s">
        <v>179</v>
      </c>
      <c r="X3" s="79" t="s">
        <v>91</v>
      </c>
      <c r="Y3" s="79" t="s">
        <v>179</v>
      </c>
      <c r="Z3" s="80" t="s">
        <v>179</v>
      </c>
    </row>
    <row r="4" spans="2:26" ht="28.35" customHeight="1" x14ac:dyDescent="0.2">
      <c r="B4" s="204" t="s">
        <v>180</v>
      </c>
      <c r="C4" s="202" t="s">
        <v>181</v>
      </c>
      <c r="D4" s="203" t="s">
        <v>157</v>
      </c>
      <c r="E4" s="198">
        <v>5021.6000000000004</v>
      </c>
      <c r="F4" s="199">
        <v>75.53</v>
      </c>
      <c r="G4" s="198">
        <v>3792.81</v>
      </c>
      <c r="H4" s="199">
        <v>15.46</v>
      </c>
      <c r="I4" s="198">
        <v>776.57</v>
      </c>
      <c r="J4" s="199">
        <v>0.53</v>
      </c>
      <c r="K4" s="198">
        <v>26.77</v>
      </c>
      <c r="L4" s="199">
        <v>0</v>
      </c>
      <c r="M4" s="198">
        <v>0</v>
      </c>
      <c r="N4" s="199">
        <v>0</v>
      </c>
      <c r="O4" s="198">
        <v>0</v>
      </c>
      <c r="P4" s="199">
        <v>0.09</v>
      </c>
      <c r="Q4" s="198">
        <v>4.47</v>
      </c>
      <c r="R4" s="199">
        <v>0</v>
      </c>
      <c r="S4" s="198">
        <v>0</v>
      </c>
      <c r="T4" s="199">
        <v>7.33</v>
      </c>
      <c r="U4" s="198">
        <v>368.29</v>
      </c>
      <c r="V4" s="199">
        <v>0.2</v>
      </c>
      <c r="W4" s="198">
        <v>9.98</v>
      </c>
      <c r="X4" s="199">
        <v>99.15</v>
      </c>
      <c r="Y4" s="198">
        <v>4978.8999999999996</v>
      </c>
      <c r="Z4" s="200">
        <v>10000.49</v>
      </c>
    </row>
    <row r="5" spans="2:26" s="201" customFormat="1" ht="28.35" customHeight="1" x14ac:dyDescent="0.2">
      <c r="B5" s="204" t="s">
        <v>182</v>
      </c>
      <c r="C5" s="202" t="s">
        <v>183</v>
      </c>
      <c r="D5" s="203" t="s">
        <v>157</v>
      </c>
      <c r="E5" s="198">
        <v>6695.46</v>
      </c>
      <c r="F5" s="199">
        <v>75.53</v>
      </c>
      <c r="G5" s="198">
        <v>5057.08</v>
      </c>
      <c r="H5" s="199">
        <v>11.6</v>
      </c>
      <c r="I5" s="198">
        <v>776.57</v>
      </c>
      <c r="J5" s="199">
        <v>0.4</v>
      </c>
      <c r="K5" s="198">
        <v>26.77</v>
      </c>
      <c r="L5" s="199">
        <v>0</v>
      </c>
      <c r="M5" s="198">
        <v>0</v>
      </c>
      <c r="N5" s="199">
        <v>0</v>
      </c>
      <c r="O5" s="198">
        <v>0</v>
      </c>
      <c r="P5" s="199">
        <v>7.0000000000000007E-2</v>
      </c>
      <c r="Q5" s="198">
        <v>4.47</v>
      </c>
      <c r="R5" s="199">
        <v>0</v>
      </c>
      <c r="S5" s="198">
        <v>0</v>
      </c>
      <c r="T5" s="199">
        <v>5.5</v>
      </c>
      <c r="U5" s="198">
        <v>368.29</v>
      </c>
      <c r="V5" s="199">
        <v>0.15</v>
      </c>
      <c r="W5" s="198">
        <v>9.98</v>
      </c>
      <c r="X5" s="199">
        <v>93.24</v>
      </c>
      <c r="Y5" s="198">
        <v>6243.17</v>
      </c>
      <c r="Z5" s="200">
        <v>12938.63</v>
      </c>
    </row>
    <row r="6" spans="2:26" ht="28.35" customHeight="1" x14ac:dyDescent="0.2">
      <c r="B6" s="204" t="s">
        <v>184</v>
      </c>
      <c r="C6" s="202" t="s">
        <v>185</v>
      </c>
      <c r="D6" s="203" t="s">
        <v>157</v>
      </c>
      <c r="E6" s="198">
        <v>11727.87</v>
      </c>
      <c r="F6" s="199">
        <v>75.53</v>
      </c>
      <c r="G6" s="198">
        <v>8858.06</v>
      </c>
      <c r="H6" s="199">
        <v>6.62</v>
      </c>
      <c r="I6" s="198">
        <v>776.57</v>
      </c>
      <c r="J6" s="199">
        <v>0.23</v>
      </c>
      <c r="K6" s="198">
        <v>26.77</v>
      </c>
      <c r="L6" s="199">
        <v>0</v>
      </c>
      <c r="M6" s="198">
        <v>0</v>
      </c>
      <c r="N6" s="199">
        <v>0</v>
      </c>
      <c r="O6" s="198">
        <v>0</v>
      </c>
      <c r="P6" s="199">
        <v>0.04</v>
      </c>
      <c r="Q6" s="198">
        <v>4.47</v>
      </c>
      <c r="R6" s="199">
        <v>0</v>
      </c>
      <c r="S6" s="198">
        <v>0</v>
      </c>
      <c r="T6" s="199">
        <v>3.14</v>
      </c>
      <c r="U6" s="198">
        <v>368.29</v>
      </c>
      <c r="V6" s="199">
        <v>0.09</v>
      </c>
      <c r="W6" s="198">
        <v>9.98</v>
      </c>
      <c r="X6" s="199">
        <v>85.64</v>
      </c>
      <c r="Y6" s="198">
        <v>10044.15</v>
      </c>
      <c r="Z6" s="200">
        <v>21772.02</v>
      </c>
    </row>
    <row r="7" spans="2:26" ht="28.35" customHeight="1" x14ac:dyDescent="0.2">
      <c r="B7" s="204" t="s">
        <v>186</v>
      </c>
      <c r="C7" s="202" t="s">
        <v>187</v>
      </c>
      <c r="D7" s="203" t="s">
        <v>157</v>
      </c>
      <c r="E7" s="198">
        <v>4300.72</v>
      </c>
      <c r="F7" s="199">
        <v>75.459999999999994</v>
      </c>
      <c r="G7" s="198">
        <v>3245.33</v>
      </c>
      <c r="H7" s="199">
        <v>18.059999999999999</v>
      </c>
      <c r="I7" s="198">
        <v>776.57</v>
      </c>
      <c r="J7" s="199">
        <v>0</v>
      </c>
      <c r="K7" s="198">
        <v>0</v>
      </c>
      <c r="L7" s="199">
        <v>0</v>
      </c>
      <c r="M7" s="198">
        <v>0</v>
      </c>
      <c r="N7" s="199">
        <v>0.13</v>
      </c>
      <c r="O7" s="198">
        <v>5.79</v>
      </c>
      <c r="P7" s="199">
        <v>0.11</v>
      </c>
      <c r="Q7" s="198">
        <v>4.74</v>
      </c>
      <c r="R7" s="199">
        <v>0</v>
      </c>
      <c r="S7" s="198">
        <v>0</v>
      </c>
      <c r="T7" s="199">
        <v>8.56</v>
      </c>
      <c r="U7" s="198">
        <v>368.29</v>
      </c>
      <c r="V7" s="199">
        <v>0.23</v>
      </c>
      <c r="W7" s="198">
        <v>9.98</v>
      </c>
      <c r="X7" s="199">
        <v>102.56</v>
      </c>
      <c r="Y7" s="198">
        <v>4410.7</v>
      </c>
      <c r="Z7" s="200">
        <v>8711.42</v>
      </c>
    </row>
    <row r="8" spans="2:26" ht="28.35" customHeight="1" x14ac:dyDescent="0.2">
      <c r="B8" s="204" t="s">
        <v>188</v>
      </c>
      <c r="C8" s="202" t="s">
        <v>189</v>
      </c>
      <c r="D8" s="203" t="s">
        <v>157</v>
      </c>
      <c r="E8" s="198">
        <v>5734.3</v>
      </c>
      <c r="F8" s="199">
        <v>75.459999999999994</v>
      </c>
      <c r="G8" s="198">
        <v>4327.1000000000004</v>
      </c>
      <c r="H8" s="199">
        <v>13.54</v>
      </c>
      <c r="I8" s="198">
        <v>776.57</v>
      </c>
      <c r="J8" s="199">
        <v>0</v>
      </c>
      <c r="K8" s="198">
        <v>0</v>
      </c>
      <c r="L8" s="199">
        <v>0</v>
      </c>
      <c r="M8" s="198">
        <v>0</v>
      </c>
      <c r="N8" s="199">
        <v>0</v>
      </c>
      <c r="O8" s="198">
        <v>0</v>
      </c>
      <c r="P8" s="199">
        <v>0.08</v>
      </c>
      <c r="Q8" s="198">
        <v>4.74</v>
      </c>
      <c r="R8" s="199">
        <v>0</v>
      </c>
      <c r="S8" s="198">
        <v>0</v>
      </c>
      <c r="T8" s="199">
        <v>6.42</v>
      </c>
      <c r="U8" s="198">
        <v>368.29</v>
      </c>
      <c r="V8" s="199">
        <v>0.17</v>
      </c>
      <c r="W8" s="198">
        <v>9.98</v>
      </c>
      <c r="X8" s="199">
        <v>95.68</v>
      </c>
      <c r="Y8" s="198">
        <v>5486.68</v>
      </c>
      <c r="Z8" s="200">
        <v>11220.98</v>
      </c>
    </row>
    <row r="9" spans="2:26" ht="28.35" customHeight="1" x14ac:dyDescent="0.2">
      <c r="B9" s="204" t="s">
        <v>190</v>
      </c>
      <c r="C9" s="202" t="s">
        <v>191</v>
      </c>
      <c r="D9" s="203" t="s">
        <v>157</v>
      </c>
      <c r="E9" s="198">
        <v>10254.629999999999</v>
      </c>
      <c r="F9" s="199">
        <v>75.459999999999994</v>
      </c>
      <c r="G9" s="198">
        <v>7738.15</v>
      </c>
      <c r="H9" s="199">
        <v>7.57</v>
      </c>
      <c r="I9" s="198">
        <v>776.57</v>
      </c>
      <c r="J9" s="199">
        <v>0</v>
      </c>
      <c r="K9" s="198">
        <v>0</v>
      </c>
      <c r="L9" s="199">
        <v>0</v>
      </c>
      <c r="M9" s="198">
        <v>0</v>
      </c>
      <c r="N9" s="199">
        <v>0</v>
      </c>
      <c r="O9" s="198">
        <v>0</v>
      </c>
      <c r="P9" s="199">
        <v>0.05</v>
      </c>
      <c r="Q9" s="198">
        <v>4.74</v>
      </c>
      <c r="R9" s="199">
        <v>0</v>
      </c>
      <c r="S9" s="198">
        <v>0</v>
      </c>
      <c r="T9" s="199">
        <v>3.59</v>
      </c>
      <c r="U9" s="198">
        <v>368.29</v>
      </c>
      <c r="V9" s="199">
        <v>0.1</v>
      </c>
      <c r="W9" s="198">
        <v>9.98</v>
      </c>
      <c r="X9" s="199">
        <v>86.77</v>
      </c>
      <c r="Y9" s="198">
        <v>8897.73</v>
      </c>
      <c r="Z9" s="200">
        <v>19152.36</v>
      </c>
    </row>
    <row r="10" spans="2:26" ht="28.35" customHeight="1" x14ac:dyDescent="0.2">
      <c r="B10" s="204" t="s">
        <v>192</v>
      </c>
      <c r="C10" s="202" t="s">
        <v>193</v>
      </c>
      <c r="D10" s="203" t="s">
        <v>157</v>
      </c>
      <c r="E10" s="198">
        <v>12443.57</v>
      </c>
      <c r="F10" s="199">
        <v>75.45</v>
      </c>
      <c r="G10" s="198">
        <v>9388.67</v>
      </c>
      <c r="H10" s="199">
        <v>6.24</v>
      </c>
      <c r="I10" s="198">
        <v>776.57</v>
      </c>
      <c r="J10" s="199">
        <v>0.22</v>
      </c>
      <c r="K10" s="198">
        <v>26.77</v>
      </c>
      <c r="L10" s="199">
        <v>0</v>
      </c>
      <c r="M10" s="198">
        <v>0</v>
      </c>
      <c r="N10" s="199">
        <v>0</v>
      </c>
      <c r="O10" s="198">
        <v>0</v>
      </c>
      <c r="P10" s="199">
        <v>0.04</v>
      </c>
      <c r="Q10" s="198">
        <v>4.5999999999999996</v>
      </c>
      <c r="R10" s="199">
        <v>0</v>
      </c>
      <c r="S10" s="198">
        <v>0</v>
      </c>
      <c r="T10" s="199">
        <v>2.96</v>
      </c>
      <c r="U10" s="198">
        <v>368.29</v>
      </c>
      <c r="V10" s="199">
        <v>0.08</v>
      </c>
      <c r="W10" s="198">
        <v>9.98</v>
      </c>
      <c r="X10" s="199">
        <v>84.98</v>
      </c>
      <c r="Y10" s="198">
        <v>10574.89</v>
      </c>
      <c r="Z10" s="200">
        <v>23018.46</v>
      </c>
    </row>
    <row r="11" spans="2:26" ht="28.35" customHeight="1" x14ac:dyDescent="0.2">
      <c r="B11" s="204" t="s">
        <v>194</v>
      </c>
      <c r="C11" s="202" t="s">
        <v>195</v>
      </c>
      <c r="D11" s="203" t="s">
        <v>157</v>
      </c>
      <c r="E11" s="198">
        <v>14523.65</v>
      </c>
      <c r="F11" s="199">
        <v>75.45</v>
      </c>
      <c r="G11" s="198">
        <v>10958.1</v>
      </c>
      <c r="H11" s="199">
        <v>5.35</v>
      </c>
      <c r="I11" s="198">
        <v>776.57</v>
      </c>
      <c r="J11" s="199">
        <v>0.18</v>
      </c>
      <c r="K11" s="198">
        <v>26.77</v>
      </c>
      <c r="L11" s="199">
        <v>0</v>
      </c>
      <c r="M11" s="198">
        <v>0</v>
      </c>
      <c r="N11" s="199">
        <v>0</v>
      </c>
      <c r="O11" s="198">
        <v>0</v>
      </c>
      <c r="P11" s="199">
        <v>0.03</v>
      </c>
      <c r="Q11" s="198">
        <v>4.5999999999999996</v>
      </c>
      <c r="R11" s="199">
        <v>0</v>
      </c>
      <c r="S11" s="198">
        <v>0</v>
      </c>
      <c r="T11" s="199">
        <v>2.54</v>
      </c>
      <c r="U11" s="198">
        <v>368.29</v>
      </c>
      <c r="V11" s="199">
        <v>7.0000000000000007E-2</v>
      </c>
      <c r="W11" s="198">
        <v>9.98</v>
      </c>
      <c r="X11" s="199">
        <v>83.62</v>
      </c>
      <c r="Y11" s="198">
        <v>12144.31</v>
      </c>
      <c r="Z11" s="200">
        <v>26667.96</v>
      </c>
    </row>
    <row r="12" spans="2:26" ht="28.35" customHeight="1" x14ac:dyDescent="0.2">
      <c r="B12" s="204" t="s">
        <v>196</v>
      </c>
      <c r="C12" s="202" t="s">
        <v>197</v>
      </c>
      <c r="D12" s="203" t="s">
        <v>157</v>
      </c>
      <c r="E12" s="198">
        <v>16603.73</v>
      </c>
      <c r="F12" s="199">
        <v>75.45</v>
      </c>
      <c r="G12" s="198">
        <v>12527.52</v>
      </c>
      <c r="H12" s="199">
        <v>4.68</v>
      </c>
      <c r="I12" s="198">
        <v>776.57</v>
      </c>
      <c r="J12" s="199">
        <v>0.16</v>
      </c>
      <c r="K12" s="198">
        <v>26.77</v>
      </c>
      <c r="L12" s="199">
        <v>0</v>
      </c>
      <c r="M12" s="198">
        <v>0</v>
      </c>
      <c r="N12" s="199">
        <v>0</v>
      </c>
      <c r="O12" s="198">
        <v>0</v>
      </c>
      <c r="P12" s="199">
        <v>0.03</v>
      </c>
      <c r="Q12" s="198">
        <v>4.5999999999999996</v>
      </c>
      <c r="R12" s="199">
        <v>0</v>
      </c>
      <c r="S12" s="198">
        <v>0</v>
      </c>
      <c r="T12" s="199">
        <v>2.2200000000000002</v>
      </c>
      <c r="U12" s="198">
        <v>368.29</v>
      </c>
      <c r="V12" s="199">
        <v>0.06</v>
      </c>
      <c r="W12" s="198">
        <v>9.98</v>
      </c>
      <c r="X12" s="199">
        <v>82.59</v>
      </c>
      <c r="Y12" s="198">
        <v>13713.73</v>
      </c>
      <c r="Z12" s="200">
        <v>30317.47</v>
      </c>
    </row>
    <row r="13" spans="2:26" ht="28.35" customHeight="1" x14ac:dyDescent="0.2">
      <c r="B13" s="204" t="s">
        <v>198</v>
      </c>
      <c r="C13" s="202" t="s">
        <v>199</v>
      </c>
      <c r="D13" s="203" t="s">
        <v>157</v>
      </c>
      <c r="E13" s="198">
        <v>3278.98</v>
      </c>
      <c r="F13" s="199">
        <v>76.040000000000006</v>
      </c>
      <c r="G13" s="198">
        <v>2493.34</v>
      </c>
      <c r="H13" s="199">
        <v>23.68</v>
      </c>
      <c r="I13" s="198">
        <v>776.57</v>
      </c>
      <c r="J13" s="199">
        <v>0.82</v>
      </c>
      <c r="K13" s="198">
        <v>26.77</v>
      </c>
      <c r="L13" s="199">
        <v>0</v>
      </c>
      <c r="M13" s="198">
        <v>0</v>
      </c>
      <c r="N13" s="199">
        <v>2.0499999999999998</v>
      </c>
      <c r="O13" s="198">
        <v>67.099999999999994</v>
      </c>
      <c r="P13" s="199">
        <v>0.22</v>
      </c>
      <c r="Q13" s="198">
        <v>7.22</v>
      </c>
      <c r="R13" s="199">
        <v>0</v>
      </c>
      <c r="S13" s="198">
        <v>0</v>
      </c>
      <c r="T13" s="199">
        <v>11.23</v>
      </c>
      <c r="U13" s="198">
        <v>368.29</v>
      </c>
      <c r="V13" s="199">
        <v>0.3</v>
      </c>
      <c r="W13" s="198">
        <v>9.98</v>
      </c>
      <c r="X13" s="199">
        <v>114.34</v>
      </c>
      <c r="Y13" s="198">
        <v>3749.26</v>
      </c>
      <c r="Z13" s="200">
        <v>7028.24</v>
      </c>
    </row>
    <row r="14" spans="2:26" ht="28.35" customHeight="1" x14ac:dyDescent="0.2">
      <c r="B14" s="204" t="s">
        <v>200</v>
      </c>
      <c r="C14" s="202" t="s">
        <v>201</v>
      </c>
      <c r="D14" s="203" t="s">
        <v>157</v>
      </c>
      <c r="E14" s="198">
        <v>4371.97</v>
      </c>
      <c r="F14" s="199">
        <v>76.040000000000006</v>
      </c>
      <c r="G14" s="198">
        <v>3324.45</v>
      </c>
      <c r="H14" s="199">
        <v>17.760000000000002</v>
      </c>
      <c r="I14" s="198">
        <v>776.57</v>
      </c>
      <c r="J14" s="199">
        <v>0.61</v>
      </c>
      <c r="K14" s="198">
        <v>26.77</v>
      </c>
      <c r="L14" s="199">
        <v>0</v>
      </c>
      <c r="M14" s="198">
        <v>0</v>
      </c>
      <c r="N14" s="199">
        <v>0.03</v>
      </c>
      <c r="O14" s="198">
        <v>1.52</v>
      </c>
      <c r="P14" s="199">
        <v>0.17</v>
      </c>
      <c r="Q14" s="198">
        <v>7.22</v>
      </c>
      <c r="R14" s="199">
        <v>0</v>
      </c>
      <c r="S14" s="198">
        <v>0</v>
      </c>
      <c r="T14" s="199">
        <v>8.42</v>
      </c>
      <c r="U14" s="198">
        <v>368.29</v>
      </c>
      <c r="V14" s="199">
        <v>0.23</v>
      </c>
      <c r="W14" s="198">
        <v>9.98</v>
      </c>
      <c r="X14" s="199">
        <v>103.27</v>
      </c>
      <c r="Y14" s="198">
        <v>4514.79</v>
      </c>
      <c r="Z14" s="200">
        <v>8886.76</v>
      </c>
    </row>
    <row r="15" spans="2:26" ht="28.35" customHeight="1" x14ac:dyDescent="0.2">
      <c r="B15" s="204" t="s">
        <v>202</v>
      </c>
      <c r="C15" s="202" t="s">
        <v>203</v>
      </c>
      <c r="D15" s="203" t="s">
        <v>157</v>
      </c>
      <c r="E15" s="198">
        <v>7412.23</v>
      </c>
      <c r="F15" s="199">
        <v>76.040000000000006</v>
      </c>
      <c r="G15" s="198">
        <v>5636.26</v>
      </c>
      <c r="H15" s="199">
        <v>10.48</v>
      </c>
      <c r="I15" s="198">
        <v>776.57</v>
      </c>
      <c r="J15" s="199">
        <v>0.36</v>
      </c>
      <c r="K15" s="198">
        <v>26.77</v>
      </c>
      <c r="L15" s="199">
        <v>0</v>
      </c>
      <c r="M15" s="198">
        <v>0</v>
      </c>
      <c r="N15" s="199">
        <v>0</v>
      </c>
      <c r="O15" s="198">
        <v>0</v>
      </c>
      <c r="P15" s="199">
        <v>0.1</v>
      </c>
      <c r="Q15" s="198">
        <v>7.22</v>
      </c>
      <c r="R15" s="199">
        <v>0</v>
      </c>
      <c r="S15" s="198">
        <v>0</v>
      </c>
      <c r="T15" s="199">
        <v>4.97</v>
      </c>
      <c r="U15" s="198">
        <v>368.29</v>
      </c>
      <c r="V15" s="199">
        <v>0.13</v>
      </c>
      <c r="W15" s="198">
        <v>9.98</v>
      </c>
      <c r="X15" s="199">
        <v>92.08</v>
      </c>
      <c r="Y15" s="198">
        <v>6825.09</v>
      </c>
      <c r="Z15" s="200">
        <v>14237.32</v>
      </c>
    </row>
    <row r="16" spans="2:26" ht="28.35" customHeight="1" x14ac:dyDescent="0.2">
      <c r="B16" s="204" t="s">
        <v>204</v>
      </c>
      <c r="C16" s="202" t="s">
        <v>205</v>
      </c>
      <c r="D16" s="203" t="s">
        <v>157</v>
      </c>
      <c r="E16" s="198">
        <v>1786.75</v>
      </c>
      <c r="F16" s="199">
        <v>76.180000000000007</v>
      </c>
      <c r="G16" s="198">
        <v>1361.14</v>
      </c>
      <c r="H16" s="199">
        <v>43.46</v>
      </c>
      <c r="I16" s="198">
        <v>776.57</v>
      </c>
      <c r="J16" s="199">
        <v>1.82</v>
      </c>
      <c r="K16" s="198">
        <v>32.6</v>
      </c>
      <c r="L16" s="199">
        <v>0.09</v>
      </c>
      <c r="M16" s="198">
        <v>1.67</v>
      </c>
      <c r="N16" s="199">
        <v>8.77</v>
      </c>
      <c r="O16" s="198">
        <v>156.63</v>
      </c>
      <c r="P16" s="199">
        <v>0.43</v>
      </c>
      <c r="Q16" s="198">
        <v>7.68</v>
      </c>
      <c r="R16" s="199">
        <v>0</v>
      </c>
      <c r="S16" s="198">
        <v>0</v>
      </c>
      <c r="T16" s="199">
        <v>20.61</v>
      </c>
      <c r="U16" s="198">
        <v>368.29</v>
      </c>
      <c r="V16" s="199">
        <v>0.56000000000000005</v>
      </c>
      <c r="W16" s="198">
        <v>9.98</v>
      </c>
      <c r="X16" s="199">
        <v>151.93</v>
      </c>
      <c r="Y16" s="198">
        <v>2714.56</v>
      </c>
      <c r="Z16" s="200">
        <v>4501.3</v>
      </c>
    </row>
    <row r="17" spans="2:26" ht="28.35" customHeight="1" x14ac:dyDescent="0.2">
      <c r="B17" s="204" t="s">
        <v>206</v>
      </c>
      <c r="C17" s="202" t="s">
        <v>207</v>
      </c>
      <c r="D17" s="203" t="s">
        <v>157</v>
      </c>
      <c r="E17" s="198">
        <v>2062.16</v>
      </c>
      <c r="F17" s="199">
        <v>75.790000000000006</v>
      </c>
      <c r="G17" s="198">
        <v>1562.91</v>
      </c>
      <c r="H17" s="199">
        <v>37.659999999999997</v>
      </c>
      <c r="I17" s="198">
        <v>776.57</v>
      </c>
      <c r="J17" s="199">
        <v>0</v>
      </c>
      <c r="K17" s="198">
        <v>0</v>
      </c>
      <c r="L17" s="199">
        <v>0</v>
      </c>
      <c r="M17" s="198">
        <v>0</v>
      </c>
      <c r="N17" s="199">
        <v>6.79</v>
      </c>
      <c r="O17" s="198">
        <v>140.1</v>
      </c>
      <c r="P17" s="199">
        <v>0.28000000000000003</v>
      </c>
      <c r="Q17" s="198">
        <v>5.72</v>
      </c>
      <c r="R17" s="199">
        <v>0</v>
      </c>
      <c r="S17" s="198">
        <v>0</v>
      </c>
      <c r="T17" s="199">
        <v>17.86</v>
      </c>
      <c r="U17" s="198">
        <v>368.29</v>
      </c>
      <c r="V17" s="199">
        <v>0.48</v>
      </c>
      <c r="W17" s="198">
        <v>9.98</v>
      </c>
      <c r="X17" s="199">
        <v>138.86000000000001</v>
      </c>
      <c r="Y17" s="198">
        <v>2863.58</v>
      </c>
      <c r="Z17" s="200">
        <v>4925.74</v>
      </c>
    </row>
    <row r="18" spans="2:26" ht="28.35" customHeight="1" x14ac:dyDescent="0.2">
      <c r="B18" s="204" t="s">
        <v>208</v>
      </c>
      <c r="C18" s="202" t="s">
        <v>209</v>
      </c>
      <c r="D18" s="203" t="s">
        <v>157</v>
      </c>
      <c r="E18" s="198">
        <v>1983.2</v>
      </c>
      <c r="F18" s="199">
        <v>75.739999999999995</v>
      </c>
      <c r="G18" s="198">
        <v>1502.08</v>
      </c>
      <c r="H18" s="199">
        <v>39.159999999999997</v>
      </c>
      <c r="I18" s="198">
        <v>776.57</v>
      </c>
      <c r="J18" s="199">
        <v>1.64</v>
      </c>
      <c r="K18" s="198">
        <v>32.6</v>
      </c>
      <c r="L18" s="199">
        <v>0.17</v>
      </c>
      <c r="M18" s="198">
        <v>3.44</v>
      </c>
      <c r="N18" s="199">
        <v>7.3</v>
      </c>
      <c r="O18" s="198">
        <v>144.84</v>
      </c>
      <c r="P18" s="199">
        <v>0.28000000000000003</v>
      </c>
      <c r="Q18" s="198">
        <v>5.63</v>
      </c>
      <c r="R18" s="199">
        <v>0</v>
      </c>
      <c r="S18" s="198">
        <v>0</v>
      </c>
      <c r="T18" s="199">
        <v>18.57</v>
      </c>
      <c r="U18" s="198">
        <v>368.29</v>
      </c>
      <c r="V18" s="199">
        <v>0.5</v>
      </c>
      <c r="W18" s="198">
        <v>9.98</v>
      </c>
      <c r="X18" s="199">
        <v>143.38</v>
      </c>
      <c r="Y18" s="198">
        <v>2843.43</v>
      </c>
      <c r="Z18" s="200">
        <v>4826.63</v>
      </c>
    </row>
    <row r="19" spans="2:26" ht="28.35" customHeight="1" x14ac:dyDescent="0.2">
      <c r="B19" s="204" t="s">
        <v>210</v>
      </c>
      <c r="C19" s="202" t="s">
        <v>211</v>
      </c>
      <c r="D19" s="203" t="s">
        <v>157</v>
      </c>
      <c r="E19" s="198">
        <v>1786.75</v>
      </c>
      <c r="F19" s="199">
        <v>75.8</v>
      </c>
      <c r="G19" s="198">
        <v>1354.35</v>
      </c>
      <c r="H19" s="199">
        <v>43.46</v>
      </c>
      <c r="I19" s="198">
        <v>776.57</v>
      </c>
      <c r="J19" s="199">
        <v>1.82</v>
      </c>
      <c r="K19" s="198">
        <v>32.6</v>
      </c>
      <c r="L19" s="199">
        <v>0.08</v>
      </c>
      <c r="M19" s="198">
        <v>1.45</v>
      </c>
      <c r="N19" s="199">
        <v>8.77</v>
      </c>
      <c r="O19" s="198">
        <v>156.63</v>
      </c>
      <c r="P19" s="199">
        <v>0.35</v>
      </c>
      <c r="Q19" s="198">
        <v>6.18</v>
      </c>
      <c r="R19" s="199">
        <v>0</v>
      </c>
      <c r="S19" s="198">
        <v>0</v>
      </c>
      <c r="T19" s="199">
        <v>20.61</v>
      </c>
      <c r="U19" s="198">
        <v>368.29</v>
      </c>
      <c r="V19" s="199">
        <v>0.56000000000000005</v>
      </c>
      <c r="W19" s="198">
        <v>9.98</v>
      </c>
      <c r="X19" s="199">
        <v>151.44999999999999</v>
      </c>
      <c r="Y19" s="198">
        <v>2706.05</v>
      </c>
      <c r="Z19" s="200">
        <v>4492.8</v>
      </c>
    </row>
    <row r="20" spans="2:26" ht="28.35" customHeight="1" x14ac:dyDescent="0.2">
      <c r="B20" s="204" t="s">
        <v>212</v>
      </c>
      <c r="C20" s="202" t="s">
        <v>213</v>
      </c>
      <c r="D20" s="203" t="s">
        <v>157</v>
      </c>
      <c r="E20" s="198">
        <v>3210.11</v>
      </c>
      <c r="F20" s="199">
        <v>75.510000000000005</v>
      </c>
      <c r="G20" s="198">
        <v>2423.9499999999998</v>
      </c>
      <c r="H20" s="199">
        <v>24.19</v>
      </c>
      <c r="I20" s="198">
        <v>776.57</v>
      </c>
      <c r="J20" s="199">
        <v>0.83</v>
      </c>
      <c r="K20" s="198">
        <v>26.77</v>
      </c>
      <c r="L20" s="199">
        <v>0</v>
      </c>
      <c r="M20" s="198">
        <v>0</v>
      </c>
      <c r="N20" s="199">
        <v>2.2200000000000002</v>
      </c>
      <c r="O20" s="198">
        <v>71.23</v>
      </c>
      <c r="P20" s="199">
        <v>0.17</v>
      </c>
      <c r="Q20" s="198">
        <v>5.32</v>
      </c>
      <c r="R20" s="199">
        <v>0</v>
      </c>
      <c r="S20" s="198">
        <v>0</v>
      </c>
      <c r="T20" s="199">
        <v>11.47</v>
      </c>
      <c r="U20" s="198">
        <v>368.29</v>
      </c>
      <c r="V20" s="199">
        <v>0.31</v>
      </c>
      <c r="W20" s="198">
        <v>9.98</v>
      </c>
      <c r="X20" s="199">
        <v>114.7</v>
      </c>
      <c r="Y20" s="198">
        <v>3682.11</v>
      </c>
      <c r="Z20" s="200">
        <v>6892.22</v>
      </c>
    </row>
    <row r="21" spans="2:26" ht="28.35" customHeight="1" x14ac:dyDescent="0.2">
      <c r="B21" s="204" t="s">
        <v>121</v>
      </c>
      <c r="C21" s="202" t="s">
        <v>122</v>
      </c>
      <c r="D21" s="203" t="s">
        <v>157</v>
      </c>
      <c r="E21" s="198">
        <v>4280.1400000000003</v>
      </c>
      <c r="F21" s="199">
        <v>75.510000000000005</v>
      </c>
      <c r="G21" s="198">
        <v>3231.93</v>
      </c>
      <c r="H21" s="199">
        <v>18.14</v>
      </c>
      <c r="I21" s="198">
        <v>776.57</v>
      </c>
      <c r="J21" s="199">
        <v>0.63</v>
      </c>
      <c r="K21" s="198">
        <v>26.77</v>
      </c>
      <c r="L21" s="199">
        <v>0</v>
      </c>
      <c r="M21" s="198">
        <v>0</v>
      </c>
      <c r="N21" s="199">
        <v>0.16</v>
      </c>
      <c r="O21" s="198">
        <v>7.03</v>
      </c>
      <c r="P21" s="199">
        <v>0.12</v>
      </c>
      <c r="Q21" s="198">
        <v>5.32</v>
      </c>
      <c r="R21" s="199">
        <v>0</v>
      </c>
      <c r="S21" s="198">
        <v>0</v>
      </c>
      <c r="T21" s="199">
        <v>8.6</v>
      </c>
      <c r="U21" s="198">
        <v>368.29</v>
      </c>
      <c r="V21" s="199">
        <v>0.23</v>
      </c>
      <c r="W21" s="198">
        <v>9.98</v>
      </c>
      <c r="X21" s="199">
        <v>103.41</v>
      </c>
      <c r="Y21" s="198">
        <v>4425.8900000000003</v>
      </c>
      <c r="Z21" s="200">
        <v>8706.0300000000007</v>
      </c>
    </row>
    <row r="22" spans="2:26" ht="28.35" customHeight="1" x14ac:dyDescent="0.2">
      <c r="B22" s="204" t="s">
        <v>214</v>
      </c>
      <c r="C22" s="202" t="s">
        <v>215</v>
      </c>
      <c r="D22" s="203" t="s">
        <v>157</v>
      </c>
      <c r="E22" s="198">
        <v>7754.2</v>
      </c>
      <c r="F22" s="199">
        <v>75.510000000000005</v>
      </c>
      <c r="G22" s="198">
        <v>5855.2</v>
      </c>
      <c r="H22" s="199">
        <v>10.01</v>
      </c>
      <c r="I22" s="198">
        <v>776.57</v>
      </c>
      <c r="J22" s="199">
        <v>0.35</v>
      </c>
      <c r="K22" s="198">
        <v>26.77</v>
      </c>
      <c r="L22" s="199">
        <v>0</v>
      </c>
      <c r="M22" s="198">
        <v>0</v>
      </c>
      <c r="N22" s="199">
        <v>0</v>
      </c>
      <c r="O22" s="198">
        <v>0</v>
      </c>
      <c r="P22" s="199">
        <v>7.0000000000000007E-2</v>
      </c>
      <c r="Q22" s="198">
        <v>5.32</v>
      </c>
      <c r="R22" s="199">
        <v>0</v>
      </c>
      <c r="S22" s="198">
        <v>0</v>
      </c>
      <c r="T22" s="199">
        <v>4.75</v>
      </c>
      <c r="U22" s="198">
        <v>368.29</v>
      </c>
      <c r="V22" s="199">
        <v>0.13</v>
      </c>
      <c r="W22" s="198">
        <v>9.98</v>
      </c>
      <c r="X22" s="199">
        <v>90.82</v>
      </c>
      <c r="Y22" s="198">
        <v>7042.13</v>
      </c>
      <c r="Z22" s="200">
        <v>14796.33</v>
      </c>
    </row>
    <row r="23" spans="2:26" ht="28.35" customHeight="1" x14ac:dyDescent="0.2">
      <c r="B23" s="204" t="s">
        <v>216</v>
      </c>
      <c r="C23" s="202" t="s">
        <v>217</v>
      </c>
      <c r="D23" s="203" t="s">
        <v>157</v>
      </c>
      <c r="E23" s="198">
        <v>4337.3999999999996</v>
      </c>
      <c r="F23" s="199">
        <v>75.180000000000007</v>
      </c>
      <c r="G23" s="198">
        <v>3260.86</v>
      </c>
      <c r="H23" s="199">
        <v>17.899999999999999</v>
      </c>
      <c r="I23" s="198">
        <v>776.57</v>
      </c>
      <c r="J23" s="199">
        <v>0</v>
      </c>
      <c r="K23" s="198">
        <v>0</v>
      </c>
      <c r="L23" s="199">
        <v>0</v>
      </c>
      <c r="M23" s="198">
        <v>0</v>
      </c>
      <c r="N23" s="199">
        <v>0.08</v>
      </c>
      <c r="O23" s="198">
        <v>3.59</v>
      </c>
      <c r="P23" s="199">
        <v>0.09</v>
      </c>
      <c r="Q23" s="198">
        <v>3.96</v>
      </c>
      <c r="R23" s="199">
        <v>0</v>
      </c>
      <c r="S23" s="198">
        <v>0</v>
      </c>
      <c r="T23" s="199">
        <v>8.49</v>
      </c>
      <c r="U23" s="198">
        <v>368.29</v>
      </c>
      <c r="V23" s="199">
        <v>0.23</v>
      </c>
      <c r="W23" s="198">
        <v>9.98</v>
      </c>
      <c r="X23" s="199">
        <v>101.98</v>
      </c>
      <c r="Y23" s="198">
        <v>4423.25</v>
      </c>
      <c r="Z23" s="200">
        <v>8760.65</v>
      </c>
    </row>
    <row r="24" spans="2:26" ht="28.35" customHeight="1" x14ac:dyDescent="0.2">
      <c r="B24" s="204" t="s">
        <v>218</v>
      </c>
      <c r="C24" s="202" t="s">
        <v>219</v>
      </c>
      <c r="D24" s="203" t="s">
        <v>157</v>
      </c>
      <c r="E24" s="198">
        <v>4573.5200000000004</v>
      </c>
      <c r="F24" s="199">
        <v>75.39</v>
      </c>
      <c r="G24" s="198">
        <v>3447.98</v>
      </c>
      <c r="H24" s="199">
        <v>16.98</v>
      </c>
      <c r="I24" s="198">
        <v>776.57</v>
      </c>
      <c r="J24" s="199">
        <v>0</v>
      </c>
      <c r="K24" s="198">
        <v>0</v>
      </c>
      <c r="L24" s="199">
        <v>0</v>
      </c>
      <c r="M24" s="198">
        <v>0</v>
      </c>
      <c r="N24" s="199">
        <v>0</v>
      </c>
      <c r="O24" s="198">
        <v>0</v>
      </c>
      <c r="P24" s="199">
        <v>0.11</v>
      </c>
      <c r="Q24" s="198">
        <v>4.88</v>
      </c>
      <c r="R24" s="199">
        <v>0</v>
      </c>
      <c r="S24" s="198">
        <v>0</v>
      </c>
      <c r="T24" s="199">
        <v>8.0500000000000007</v>
      </c>
      <c r="U24" s="198">
        <v>368.29</v>
      </c>
      <c r="V24" s="199">
        <v>0.22</v>
      </c>
      <c r="W24" s="198">
        <v>9.98</v>
      </c>
      <c r="X24" s="199">
        <v>100.75</v>
      </c>
      <c r="Y24" s="198">
        <v>4607.7</v>
      </c>
      <c r="Z24" s="200">
        <v>9181.2199999999993</v>
      </c>
    </row>
    <row r="25" spans="2:26" ht="28.35" customHeight="1" x14ac:dyDescent="0.2">
      <c r="B25" s="204" t="s">
        <v>220</v>
      </c>
      <c r="C25" s="202" t="s">
        <v>221</v>
      </c>
      <c r="D25" s="203" t="s">
        <v>157</v>
      </c>
      <c r="E25" s="198">
        <v>6098.03</v>
      </c>
      <c r="F25" s="199">
        <v>75.39</v>
      </c>
      <c r="G25" s="198">
        <v>4597.3100000000004</v>
      </c>
      <c r="H25" s="199">
        <v>12.73</v>
      </c>
      <c r="I25" s="198">
        <v>776.57</v>
      </c>
      <c r="J25" s="199">
        <v>0</v>
      </c>
      <c r="K25" s="198">
        <v>0</v>
      </c>
      <c r="L25" s="199">
        <v>0</v>
      </c>
      <c r="M25" s="198">
        <v>0</v>
      </c>
      <c r="N25" s="199">
        <v>0</v>
      </c>
      <c r="O25" s="198">
        <v>0</v>
      </c>
      <c r="P25" s="199">
        <v>0.08</v>
      </c>
      <c r="Q25" s="198">
        <v>4.88</v>
      </c>
      <c r="R25" s="199">
        <v>0</v>
      </c>
      <c r="S25" s="198">
        <v>0</v>
      </c>
      <c r="T25" s="199">
        <v>6.04</v>
      </c>
      <c r="U25" s="198">
        <v>368.29</v>
      </c>
      <c r="V25" s="199">
        <v>0.16</v>
      </c>
      <c r="W25" s="198">
        <v>9.98</v>
      </c>
      <c r="X25" s="199">
        <v>94.41</v>
      </c>
      <c r="Y25" s="198">
        <v>5757.02</v>
      </c>
      <c r="Z25" s="200">
        <v>11855.05</v>
      </c>
    </row>
    <row r="26" spans="2:26" ht="28.35" customHeight="1" x14ac:dyDescent="0.2">
      <c r="B26" s="204" t="s">
        <v>222</v>
      </c>
      <c r="C26" s="202" t="s">
        <v>223</v>
      </c>
      <c r="D26" s="203" t="s">
        <v>157</v>
      </c>
      <c r="E26" s="198">
        <v>11552.8</v>
      </c>
      <c r="F26" s="199">
        <v>75.39</v>
      </c>
      <c r="G26" s="198">
        <v>8709.66</v>
      </c>
      <c r="H26" s="199">
        <v>6.72</v>
      </c>
      <c r="I26" s="198">
        <v>776.57</v>
      </c>
      <c r="J26" s="199">
        <v>0</v>
      </c>
      <c r="K26" s="198">
        <v>0</v>
      </c>
      <c r="L26" s="199">
        <v>0</v>
      </c>
      <c r="M26" s="198">
        <v>0</v>
      </c>
      <c r="N26" s="199">
        <v>0</v>
      </c>
      <c r="O26" s="198">
        <v>0</v>
      </c>
      <c r="P26" s="199">
        <v>0.04</v>
      </c>
      <c r="Q26" s="198">
        <v>4.88</v>
      </c>
      <c r="R26" s="199">
        <v>0</v>
      </c>
      <c r="S26" s="198">
        <v>0</v>
      </c>
      <c r="T26" s="199">
        <v>3.19</v>
      </c>
      <c r="U26" s="198">
        <v>368.29</v>
      </c>
      <c r="V26" s="199">
        <v>0.09</v>
      </c>
      <c r="W26" s="198">
        <v>9.98</v>
      </c>
      <c r="X26" s="199">
        <v>85.43</v>
      </c>
      <c r="Y26" s="198">
        <v>9869.3700000000008</v>
      </c>
      <c r="Z26" s="200">
        <v>21422.18</v>
      </c>
    </row>
    <row r="27" spans="2:26" ht="28.35" customHeight="1" x14ac:dyDescent="0.2">
      <c r="B27" s="204" t="s">
        <v>224</v>
      </c>
      <c r="C27" s="202" t="s">
        <v>376</v>
      </c>
      <c r="D27" s="203" t="s">
        <v>157</v>
      </c>
      <c r="E27" s="198">
        <v>23874.03</v>
      </c>
      <c r="F27" s="199">
        <v>75.5</v>
      </c>
      <c r="G27" s="198">
        <v>18024.89</v>
      </c>
      <c r="H27" s="199">
        <v>3.25</v>
      </c>
      <c r="I27" s="198">
        <v>776.57</v>
      </c>
      <c r="J27" s="199">
        <v>0.1</v>
      </c>
      <c r="K27" s="198">
        <v>24.45</v>
      </c>
      <c r="L27" s="199">
        <v>0</v>
      </c>
      <c r="M27" s="198">
        <v>0</v>
      </c>
      <c r="N27" s="199">
        <v>0</v>
      </c>
      <c r="O27" s="198">
        <v>0</v>
      </c>
      <c r="P27" s="199">
        <v>0.02</v>
      </c>
      <c r="Q27" s="198">
        <v>4.47</v>
      </c>
      <c r="R27" s="199">
        <v>0</v>
      </c>
      <c r="S27" s="198">
        <v>0</v>
      </c>
      <c r="T27" s="199">
        <v>1.54</v>
      </c>
      <c r="U27" s="198">
        <v>368.29</v>
      </c>
      <c r="V27" s="199">
        <v>0.04</v>
      </c>
      <c r="W27" s="198">
        <v>9.98</v>
      </c>
      <c r="X27" s="199">
        <v>80.459999999999994</v>
      </c>
      <c r="Y27" s="198">
        <v>19208.650000000001</v>
      </c>
      <c r="Z27" s="200">
        <v>43082.68</v>
      </c>
    </row>
    <row r="28" spans="2:26" ht="28.35" customHeight="1" x14ac:dyDescent="0.2">
      <c r="B28" s="204" t="s">
        <v>225</v>
      </c>
      <c r="C28" s="202" t="s">
        <v>226</v>
      </c>
      <c r="D28" s="203" t="s">
        <v>157</v>
      </c>
      <c r="E28" s="198">
        <v>4789.97</v>
      </c>
      <c r="F28" s="199">
        <v>75.13</v>
      </c>
      <c r="G28" s="198">
        <v>3598.7</v>
      </c>
      <c r="H28" s="199">
        <v>16.21</v>
      </c>
      <c r="I28" s="198">
        <v>776.57</v>
      </c>
      <c r="J28" s="199">
        <v>0</v>
      </c>
      <c r="K28" s="198">
        <v>0</v>
      </c>
      <c r="L28" s="199">
        <v>0</v>
      </c>
      <c r="M28" s="198">
        <v>0</v>
      </c>
      <c r="N28" s="199">
        <v>0</v>
      </c>
      <c r="O28" s="198">
        <v>0</v>
      </c>
      <c r="P28" s="199">
        <v>0.11</v>
      </c>
      <c r="Q28" s="198">
        <v>5.09</v>
      </c>
      <c r="R28" s="199">
        <v>0</v>
      </c>
      <c r="S28" s="198">
        <v>0</v>
      </c>
      <c r="T28" s="199">
        <v>7.69</v>
      </c>
      <c r="U28" s="198">
        <v>368.29</v>
      </c>
      <c r="V28" s="199">
        <v>0.21</v>
      </c>
      <c r="W28" s="198">
        <v>9.98</v>
      </c>
      <c r="X28" s="199">
        <v>99.35</v>
      </c>
      <c r="Y28" s="198">
        <v>4758.63</v>
      </c>
      <c r="Z28" s="200">
        <v>9548.6</v>
      </c>
    </row>
    <row r="29" spans="2:26" ht="28.35" customHeight="1" x14ac:dyDescent="0.2">
      <c r="B29" s="204" t="s">
        <v>227</v>
      </c>
      <c r="C29" s="202" t="s">
        <v>228</v>
      </c>
      <c r="D29" s="203" t="s">
        <v>157</v>
      </c>
      <c r="E29" s="198">
        <v>6386.63</v>
      </c>
      <c r="F29" s="199">
        <v>75.13</v>
      </c>
      <c r="G29" s="198">
        <v>4798.2700000000004</v>
      </c>
      <c r="H29" s="199">
        <v>12.16</v>
      </c>
      <c r="I29" s="198">
        <v>776.57</v>
      </c>
      <c r="J29" s="199">
        <v>0</v>
      </c>
      <c r="K29" s="198">
        <v>0</v>
      </c>
      <c r="L29" s="199">
        <v>0</v>
      </c>
      <c r="M29" s="198">
        <v>0</v>
      </c>
      <c r="N29" s="199">
        <v>0</v>
      </c>
      <c r="O29" s="198">
        <v>0</v>
      </c>
      <c r="P29" s="199">
        <v>0.08</v>
      </c>
      <c r="Q29" s="198">
        <v>5.09</v>
      </c>
      <c r="R29" s="199">
        <v>0</v>
      </c>
      <c r="S29" s="198">
        <v>0</v>
      </c>
      <c r="T29" s="199">
        <v>5.77</v>
      </c>
      <c r="U29" s="198">
        <v>368.29</v>
      </c>
      <c r="V29" s="199">
        <v>0.16</v>
      </c>
      <c r="W29" s="198">
        <v>9.98</v>
      </c>
      <c r="X29" s="199">
        <v>93.29</v>
      </c>
      <c r="Y29" s="198">
        <v>5958.2</v>
      </c>
      <c r="Z29" s="200">
        <v>12344.82</v>
      </c>
    </row>
    <row r="30" spans="2:26" ht="28.35" customHeight="1" x14ac:dyDescent="0.2">
      <c r="B30" s="204" t="s">
        <v>229</v>
      </c>
      <c r="C30" s="202" t="s">
        <v>230</v>
      </c>
      <c r="D30" s="203" t="s">
        <v>157</v>
      </c>
      <c r="E30" s="198">
        <v>9586.77</v>
      </c>
      <c r="F30" s="199">
        <v>75.13</v>
      </c>
      <c r="G30" s="198">
        <v>7202.54</v>
      </c>
      <c r="H30" s="199">
        <v>8.1</v>
      </c>
      <c r="I30" s="198">
        <v>776.57</v>
      </c>
      <c r="J30" s="199">
        <v>0</v>
      </c>
      <c r="K30" s="198">
        <v>0</v>
      </c>
      <c r="L30" s="199">
        <v>0</v>
      </c>
      <c r="M30" s="198">
        <v>0</v>
      </c>
      <c r="N30" s="199">
        <v>0</v>
      </c>
      <c r="O30" s="198">
        <v>0</v>
      </c>
      <c r="P30" s="199">
        <v>0.05</v>
      </c>
      <c r="Q30" s="198">
        <v>5.09</v>
      </c>
      <c r="R30" s="199">
        <v>0</v>
      </c>
      <c r="S30" s="198">
        <v>0</v>
      </c>
      <c r="T30" s="199">
        <v>3.84</v>
      </c>
      <c r="U30" s="198">
        <v>368.29</v>
      </c>
      <c r="V30" s="199">
        <v>0.1</v>
      </c>
      <c r="W30" s="198">
        <v>9.98</v>
      </c>
      <c r="X30" s="199">
        <v>87.23</v>
      </c>
      <c r="Y30" s="198">
        <v>8362.4699999999993</v>
      </c>
      <c r="Z30" s="200">
        <v>17949.240000000002</v>
      </c>
    </row>
    <row r="31" spans="2:26" ht="28.35" customHeight="1" x14ac:dyDescent="0.2">
      <c r="B31" s="204" t="s">
        <v>231</v>
      </c>
      <c r="C31" s="202" t="s">
        <v>232</v>
      </c>
      <c r="D31" s="203" t="s">
        <v>157</v>
      </c>
      <c r="E31" s="198">
        <v>12443.57</v>
      </c>
      <c r="F31" s="199">
        <v>75.09</v>
      </c>
      <c r="G31" s="198">
        <v>9343.8799999999992</v>
      </c>
      <c r="H31" s="199">
        <v>6.24</v>
      </c>
      <c r="I31" s="198">
        <v>776.57</v>
      </c>
      <c r="J31" s="199">
        <v>0.22</v>
      </c>
      <c r="K31" s="198">
        <v>26.77</v>
      </c>
      <c r="L31" s="199">
        <v>0</v>
      </c>
      <c r="M31" s="198">
        <v>0</v>
      </c>
      <c r="N31" s="199">
        <v>0</v>
      </c>
      <c r="O31" s="198">
        <v>0</v>
      </c>
      <c r="P31" s="199">
        <v>0.03</v>
      </c>
      <c r="Q31" s="198">
        <v>3.45</v>
      </c>
      <c r="R31" s="199">
        <v>0</v>
      </c>
      <c r="S31" s="198">
        <v>0</v>
      </c>
      <c r="T31" s="199">
        <v>2.96</v>
      </c>
      <c r="U31" s="198">
        <v>368.29</v>
      </c>
      <c r="V31" s="199">
        <v>0.08</v>
      </c>
      <c r="W31" s="198">
        <v>9.98</v>
      </c>
      <c r="X31" s="199">
        <v>84.61</v>
      </c>
      <c r="Y31" s="198">
        <v>10528.94</v>
      </c>
      <c r="Z31" s="200">
        <v>22972.5</v>
      </c>
    </row>
    <row r="32" spans="2:26" ht="28.35" customHeight="1" x14ac:dyDescent="0.2">
      <c r="B32" s="204" t="s">
        <v>125</v>
      </c>
      <c r="C32" s="202" t="s">
        <v>124</v>
      </c>
      <c r="D32" s="203" t="s">
        <v>157</v>
      </c>
      <c r="E32" s="198">
        <v>14840.74</v>
      </c>
      <c r="F32" s="199">
        <v>75.09</v>
      </c>
      <c r="G32" s="198">
        <v>11143.91</v>
      </c>
      <c r="H32" s="199">
        <v>5.23</v>
      </c>
      <c r="I32" s="198">
        <v>776.57</v>
      </c>
      <c r="J32" s="199">
        <v>0.18</v>
      </c>
      <c r="K32" s="198">
        <v>26.77</v>
      </c>
      <c r="L32" s="199">
        <v>0</v>
      </c>
      <c r="M32" s="198">
        <v>0</v>
      </c>
      <c r="N32" s="199">
        <v>0</v>
      </c>
      <c r="O32" s="198">
        <v>0</v>
      </c>
      <c r="P32" s="199">
        <v>0.02</v>
      </c>
      <c r="Q32" s="198">
        <v>3.45</v>
      </c>
      <c r="R32" s="199">
        <v>0</v>
      </c>
      <c r="S32" s="198">
        <v>0</v>
      </c>
      <c r="T32" s="199">
        <v>2.48</v>
      </c>
      <c r="U32" s="198">
        <v>368.29</v>
      </c>
      <c r="V32" s="199">
        <v>7.0000000000000007E-2</v>
      </c>
      <c r="W32" s="198">
        <v>9.98</v>
      </c>
      <c r="X32" s="199">
        <v>83.08</v>
      </c>
      <c r="Y32" s="198">
        <v>12328.97</v>
      </c>
      <c r="Z32" s="200">
        <v>27169.72</v>
      </c>
    </row>
    <row r="33" spans="2:26" ht="28.35" customHeight="1" x14ac:dyDescent="0.2">
      <c r="B33" s="204" t="s">
        <v>233</v>
      </c>
      <c r="C33" s="202" t="s">
        <v>234</v>
      </c>
      <c r="D33" s="203" t="s">
        <v>157</v>
      </c>
      <c r="E33" s="198">
        <v>17237.919999999998</v>
      </c>
      <c r="F33" s="199">
        <v>75.09</v>
      </c>
      <c r="G33" s="198">
        <v>12943.95</v>
      </c>
      <c r="H33" s="199">
        <v>4.5</v>
      </c>
      <c r="I33" s="198">
        <v>776.57</v>
      </c>
      <c r="J33" s="199">
        <v>0.16</v>
      </c>
      <c r="K33" s="198">
        <v>26.77</v>
      </c>
      <c r="L33" s="199">
        <v>0</v>
      </c>
      <c r="M33" s="198">
        <v>0</v>
      </c>
      <c r="N33" s="199">
        <v>0</v>
      </c>
      <c r="O33" s="198">
        <v>0</v>
      </c>
      <c r="P33" s="199">
        <v>0.02</v>
      </c>
      <c r="Q33" s="198">
        <v>3.45</v>
      </c>
      <c r="R33" s="199">
        <v>0</v>
      </c>
      <c r="S33" s="198">
        <v>0</v>
      </c>
      <c r="T33" s="199">
        <v>2.14</v>
      </c>
      <c r="U33" s="198">
        <v>368.29</v>
      </c>
      <c r="V33" s="199">
        <v>0.06</v>
      </c>
      <c r="W33" s="198">
        <v>9.98</v>
      </c>
      <c r="X33" s="199">
        <v>81.96</v>
      </c>
      <c r="Y33" s="198">
        <v>14129.01</v>
      </c>
      <c r="Z33" s="200">
        <v>31366.93</v>
      </c>
    </row>
    <row r="34" spans="2:26" ht="28.35" customHeight="1" x14ac:dyDescent="0.2">
      <c r="B34" s="204" t="s">
        <v>235</v>
      </c>
      <c r="C34" s="202" t="s">
        <v>236</v>
      </c>
      <c r="D34" s="203" t="s">
        <v>157</v>
      </c>
      <c r="E34" s="198">
        <v>12443.57</v>
      </c>
      <c r="F34" s="199">
        <v>75.540000000000006</v>
      </c>
      <c r="G34" s="198">
        <v>9399.8700000000008</v>
      </c>
      <c r="H34" s="199">
        <v>6.24</v>
      </c>
      <c r="I34" s="198">
        <v>776.57</v>
      </c>
      <c r="J34" s="199">
        <v>0.22</v>
      </c>
      <c r="K34" s="198">
        <v>26.77</v>
      </c>
      <c r="L34" s="199">
        <v>0</v>
      </c>
      <c r="M34" s="198">
        <v>0</v>
      </c>
      <c r="N34" s="199">
        <v>0</v>
      </c>
      <c r="O34" s="198">
        <v>0</v>
      </c>
      <c r="P34" s="199">
        <v>0.04</v>
      </c>
      <c r="Q34" s="198">
        <v>4.6500000000000004</v>
      </c>
      <c r="R34" s="199">
        <v>0</v>
      </c>
      <c r="S34" s="198">
        <v>0</v>
      </c>
      <c r="T34" s="199">
        <v>2.96</v>
      </c>
      <c r="U34" s="198">
        <v>368.29</v>
      </c>
      <c r="V34" s="199">
        <v>0.08</v>
      </c>
      <c r="W34" s="198">
        <v>9.98</v>
      </c>
      <c r="X34" s="199">
        <v>85.07</v>
      </c>
      <c r="Y34" s="198">
        <v>10586.13</v>
      </c>
      <c r="Z34" s="200">
        <v>23029.7</v>
      </c>
    </row>
    <row r="35" spans="2:26" ht="28.35" customHeight="1" x14ac:dyDescent="0.2">
      <c r="B35" s="204" t="s">
        <v>12</v>
      </c>
      <c r="C35" s="202" t="s">
        <v>13</v>
      </c>
      <c r="D35" s="203" t="s">
        <v>157</v>
      </c>
      <c r="E35" s="198">
        <v>15561.26</v>
      </c>
      <c r="F35" s="199">
        <v>75.540000000000006</v>
      </c>
      <c r="G35" s="198">
        <v>11754.97</v>
      </c>
      <c r="H35" s="199">
        <v>4.99</v>
      </c>
      <c r="I35" s="198">
        <v>776.57</v>
      </c>
      <c r="J35" s="199">
        <v>0.17</v>
      </c>
      <c r="K35" s="198">
        <v>26.77</v>
      </c>
      <c r="L35" s="199">
        <v>0</v>
      </c>
      <c r="M35" s="198">
        <v>0</v>
      </c>
      <c r="N35" s="199">
        <v>0</v>
      </c>
      <c r="O35" s="198">
        <v>0</v>
      </c>
      <c r="P35" s="199">
        <v>0.03</v>
      </c>
      <c r="Q35" s="198">
        <v>4.6500000000000004</v>
      </c>
      <c r="R35" s="199">
        <v>0</v>
      </c>
      <c r="S35" s="198">
        <v>0</v>
      </c>
      <c r="T35" s="199">
        <v>2.37</v>
      </c>
      <c r="U35" s="198">
        <v>368.29</v>
      </c>
      <c r="V35" s="199">
        <v>0.06</v>
      </c>
      <c r="W35" s="198">
        <v>9.98</v>
      </c>
      <c r="X35" s="199">
        <v>83.16</v>
      </c>
      <c r="Y35" s="198">
        <v>12941.23</v>
      </c>
      <c r="Z35" s="200">
        <v>28502.49</v>
      </c>
    </row>
    <row r="36" spans="2:26" ht="28.35" customHeight="1" x14ac:dyDescent="0.2">
      <c r="B36" s="204" t="s">
        <v>237</v>
      </c>
      <c r="C36" s="202" t="s">
        <v>238</v>
      </c>
      <c r="D36" s="203" t="s">
        <v>157</v>
      </c>
      <c r="E36" s="198">
        <v>18678.939999999999</v>
      </c>
      <c r="F36" s="199">
        <v>75.540000000000006</v>
      </c>
      <c r="G36" s="198">
        <v>14110.07</v>
      </c>
      <c r="H36" s="199">
        <v>4.16</v>
      </c>
      <c r="I36" s="198">
        <v>776.57</v>
      </c>
      <c r="J36" s="199">
        <v>0.14000000000000001</v>
      </c>
      <c r="K36" s="198">
        <v>26.77</v>
      </c>
      <c r="L36" s="199">
        <v>0</v>
      </c>
      <c r="M36" s="198">
        <v>0</v>
      </c>
      <c r="N36" s="199">
        <v>0</v>
      </c>
      <c r="O36" s="198">
        <v>0</v>
      </c>
      <c r="P36" s="199">
        <v>0.02</v>
      </c>
      <c r="Q36" s="198">
        <v>4.6500000000000004</v>
      </c>
      <c r="R36" s="199">
        <v>0</v>
      </c>
      <c r="S36" s="198">
        <v>0</v>
      </c>
      <c r="T36" s="199">
        <v>1.97</v>
      </c>
      <c r="U36" s="198">
        <v>368.29</v>
      </c>
      <c r="V36" s="199">
        <v>0.05</v>
      </c>
      <c r="W36" s="198">
        <v>9.98</v>
      </c>
      <c r="X36" s="199">
        <v>81.89</v>
      </c>
      <c r="Y36" s="198">
        <v>15296.33</v>
      </c>
      <c r="Z36" s="200">
        <v>33975.269999999997</v>
      </c>
    </row>
    <row r="37" spans="2:26" ht="28.35" customHeight="1" x14ac:dyDescent="0.2">
      <c r="B37" s="204" t="s">
        <v>239</v>
      </c>
      <c r="C37" s="202" t="s">
        <v>240</v>
      </c>
      <c r="D37" s="203" t="s">
        <v>157</v>
      </c>
      <c r="E37" s="198">
        <v>23933.22</v>
      </c>
      <c r="F37" s="199">
        <v>75.38</v>
      </c>
      <c r="G37" s="198">
        <v>18040.86</v>
      </c>
      <c r="H37" s="199">
        <v>3.24</v>
      </c>
      <c r="I37" s="198">
        <v>776.57</v>
      </c>
      <c r="J37" s="199">
        <v>0.1</v>
      </c>
      <c r="K37" s="198">
        <v>24.45</v>
      </c>
      <c r="L37" s="199">
        <v>0</v>
      </c>
      <c r="M37" s="198">
        <v>0</v>
      </c>
      <c r="N37" s="199">
        <v>0</v>
      </c>
      <c r="O37" s="198">
        <v>0</v>
      </c>
      <c r="P37" s="199">
        <v>0.02</v>
      </c>
      <c r="Q37" s="198">
        <v>4.4000000000000004</v>
      </c>
      <c r="R37" s="199">
        <v>0</v>
      </c>
      <c r="S37" s="198">
        <v>0</v>
      </c>
      <c r="T37" s="199">
        <v>1.54</v>
      </c>
      <c r="U37" s="198">
        <v>368.29</v>
      </c>
      <c r="V37" s="199">
        <v>0.04</v>
      </c>
      <c r="W37" s="198">
        <v>9.98</v>
      </c>
      <c r="X37" s="199">
        <v>80.33</v>
      </c>
      <c r="Y37" s="198">
        <v>19224.55</v>
      </c>
      <c r="Z37" s="200">
        <v>43157.77</v>
      </c>
    </row>
    <row r="38" spans="2:26" ht="28.35" customHeight="1" x14ac:dyDescent="0.2">
      <c r="B38" s="204" t="s">
        <v>241</v>
      </c>
      <c r="C38" s="202" t="s">
        <v>242</v>
      </c>
      <c r="D38" s="203" t="s">
        <v>157</v>
      </c>
      <c r="E38" s="198">
        <v>19944.349999999999</v>
      </c>
      <c r="F38" s="199">
        <v>75.38</v>
      </c>
      <c r="G38" s="198">
        <v>15034.05</v>
      </c>
      <c r="H38" s="199">
        <v>3.89</v>
      </c>
      <c r="I38" s="198">
        <v>776.57</v>
      </c>
      <c r="J38" s="199">
        <v>0.12</v>
      </c>
      <c r="K38" s="198">
        <v>24.45</v>
      </c>
      <c r="L38" s="199">
        <v>0</v>
      </c>
      <c r="M38" s="198">
        <v>0</v>
      </c>
      <c r="N38" s="199">
        <v>0</v>
      </c>
      <c r="O38" s="198">
        <v>0</v>
      </c>
      <c r="P38" s="199">
        <v>0.02</v>
      </c>
      <c r="Q38" s="198">
        <v>4.4000000000000004</v>
      </c>
      <c r="R38" s="199">
        <v>0</v>
      </c>
      <c r="S38" s="198">
        <v>0</v>
      </c>
      <c r="T38" s="199">
        <v>1.85</v>
      </c>
      <c r="U38" s="198">
        <v>368.29</v>
      </c>
      <c r="V38" s="199">
        <v>0.05</v>
      </c>
      <c r="W38" s="198">
        <v>9.98</v>
      </c>
      <c r="X38" s="199">
        <v>81.319999999999993</v>
      </c>
      <c r="Y38" s="198">
        <v>16217.74</v>
      </c>
      <c r="Z38" s="200">
        <v>36162.089999999997</v>
      </c>
    </row>
    <row r="39" spans="2:26" ht="28.35" customHeight="1" x14ac:dyDescent="0.2">
      <c r="B39" s="204" t="s">
        <v>243</v>
      </c>
      <c r="C39" s="202" t="s">
        <v>244</v>
      </c>
      <c r="D39" s="203" t="s">
        <v>157</v>
      </c>
      <c r="E39" s="198">
        <v>12443.57</v>
      </c>
      <c r="F39" s="199">
        <v>76.099999999999994</v>
      </c>
      <c r="G39" s="198">
        <v>9469.56</v>
      </c>
      <c r="H39" s="199">
        <v>6.24</v>
      </c>
      <c r="I39" s="198">
        <v>776.57</v>
      </c>
      <c r="J39" s="199">
        <v>0.22</v>
      </c>
      <c r="K39" s="198">
        <v>26.77</v>
      </c>
      <c r="L39" s="199">
        <v>0</v>
      </c>
      <c r="M39" s="198">
        <v>0</v>
      </c>
      <c r="N39" s="199">
        <v>0</v>
      </c>
      <c r="O39" s="198">
        <v>0</v>
      </c>
      <c r="P39" s="199">
        <v>0.05</v>
      </c>
      <c r="Q39" s="198">
        <v>5.92</v>
      </c>
      <c r="R39" s="199">
        <v>0</v>
      </c>
      <c r="S39" s="198">
        <v>0</v>
      </c>
      <c r="T39" s="199">
        <v>2.96</v>
      </c>
      <c r="U39" s="198">
        <v>368.29</v>
      </c>
      <c r="V39" s="199">
        <v>0.08</v>
      </c>
      <c r="W39" s="198">
        <v>9.98</v>
      </c>
      <c r="X39" s="199">
        <v>85.64</v>
      </c>
      <c r="Y39" s="198">
        <v>10657.09</v>
      </c>
      <c r="Z39" s="200">
        <v>23100.66</v>
      </c>
    </row>
    <row r="40" spans="2:26" ht="28.35" customHeight="1" x14ac:dyDescent="0.2">
      <c r="B40" s="204" t="s">
        <v>245</v>
      </c>
      <c r="C40" s="202" t="s">
        <v>246</v>
      </c>
      <c r="D40" s="203" t="s">
        <v>157</v>
      </c>
      <c r="E40" s="198">
        <v>14677.54</v>
      </c>
      <c r="F40" s="199">
        <v>76.099999999999994</v>
      </c>
      <c r="G40" s="198">
        <v>11169.61</v>
      </c>
      <c r="H40" s="199">
        <v>5.29</v>
      </c>
      <c r="I40" s="198">
        <v>776.57</v>
      </c>
      <c r="J40" s="199">
        <v>0.18</v>
      </c>
      <c r="K40" s="198">
        <v>26.77</v>
      </c>
      <c r="L40" s="199">
        <v>0</v>
      </c>
      <c r="M40" s="198">
        <v>0</v>
      </c>
      <c r="N40" s="199">
        <v>0</v>
      </c>
      <c r="O40" s="198">
        <v>0</v>
      </c>
      <c r="P40" s="199">
        <v>0.04</v>
      </c>
      <c r="Q40" s="198">
        <v>5.92</v>
      </c>
      <c r="R40" s="199">
        <v>0</v>
      </c>
      <c r="S40" s="198">
        <v>0</v>
      </c>
      <c r="T40" s="199">
        <v>2.5099999999999998</v>
      </c>
      <c r="U40" s="198">
        <v>368.29</v>
      </c>
      <c r="V40" s="199">
        <v>7.0000000000000007E-2</v>
      </c>
      <c r="W40" s="198">
        <v>9.98</v>
      </c>
      <c r="X40" s="199">
        <v>84.19</v>
      </c>
      <c r="Y40" s="198">
        <v>12357.14</v>
      </c>
      <c r="Z40" s="200">
        <v>27034.68</v>
      </c>
    </row>
    <row r="41" spans="2:26" ht="28.35" customHeight="1" x14ac:dyDescent="0.2">
      <c r="B41" s="204" t="s">
        <v>247</v>
      </c>
      <c r="C41" s="202" t="s">
        <v>248</v>
      </c>
      <c r="D41" s="203" t="s">
        <v>157</v>
      </c>
      <c r="E41" s="198">
        <v>16911.509999999998</v>
      </c>
      <c r="F41" s="199">
        <v>76.099999999999994</v>
      </c>
      <c r="G41" s="198">
        <v>12869.66</v>
      </c>
      <c r="H41" s="199">
        <v>4.59</v>
      </c>
      <c r="I41" s="198">
        <v>776.57</v>
      </c>
      <c r="J41" s="199">
        <v>0.16</v>
      </c>
      <c r="K41" s="198">
        <v>26.77</v>
      </c>
      <c r="L41" s="199">
        <v>0</v>
      </c>
      <c r="M41" s="198">
        <v>0</v>
      </c>
      <c r="N41" s="199">
        <v>0</v>
      </c>
      <c r="O41" s="198">
        <v>0</v>
      </c>
      <c r="P41" s="199">
        <v>0.04</v>
      </c>
      <c r="Q41" s="198">
        <v>5.92</v>
      </c>
      <c r="R41" s="199">
        <v>0</v>
      </c>
      <c r="S41" s="198">
        <v>0</v>
      </c>
      <c r="T41" s="199">
        <v>2.1800000000000002</v>
      </c>
      <c r="U41" s="198">
        <v>368.29</v>
      </c>
      <c r="V41" s="199">
        <v>0.06</v>
      </c>
      <c r="W41" s="198">
        <v>9.98</v>
      </c>
      <c r="X41" s="199">
        <v>83.12</v>
      </c>
      <c r="Y41" s="198">
        <v>14057.19</v>
      </c>
      <c r="Z41" s="200">
        <v>30968.71</v>
      </c>
    </row>
    <row r="42" spans="2:26" ht="28.35" customHeight="1" x14ac:dyDescent="0.2">
      <c r="B42" s="204" t="s">
        <v>249</v>
      </c>
      <c r="C42" s="202" t="s">
        <v>250</v>
      </c>
      <c r="D42" s="203" t="s">
        <v>157</v>
      </c>
      <c r="E42" s="198">
        <v>12443.57</v>
      </c>
      <c r="F42" s="199">
        <v>75.38</v>
      </c>
      <c r="G42" s="198">
        <v>9379.9599999999991</v>
      </c>
      <c r="H42" s="199">
        <v>6.24</v>
      </c>
      <c r="I42" s="198">
        <v>776.57</v>
      </c>
      <c r="J42" s="199">
        <v>0.22</v>
      </c>
      <c r="K42" s="198">
        <v>26.77</v>
      </c>
      <c r="L42" s="199">
        <v>0</v>
      </c>
      <c r="M42" s="198">
        <v>0</v>
      </c>
      <c r="N42" s="199">
        <v>0</v>
      </c>
      <c r="O42" s="198">
        <v>0</v>
      </c>
      <c r="P42" s="199">
        <v>0.04</v>
      </c>
      <c r="Q42" s="198">
        <v>4.4000000000000004</v>
      </c>
      <c r="R42" s="199">
        <v>0</v>
      </c>
      <c r="S42" s="198">
        <v>0</v>
      </c>
      <c r="T42" s="199">
        <v>2.96</v>
      </c>
      <c r="U42" s="198">
        <v>368.29</v>
      </c>
      <c r="V42" s="199">
        <v>0.08</v>
      </c>
      <c r="W42" s="198">
        <v>9.98</v>
      </c>
      <c r="X42" s="199">
        <v>84.91</v>
      </c>
      <c r="Y42" s="198">
        <v>10565.97</v>
      </c>
      <c r="Z42" s="200">
        <v>23009.54</v>
      </c>
    </row>
    <row r="43" spans="2:26" ht="28.35" customHeight="1" x14ac:dyDescent="0.2">
      <c r="B43" s="204" t="s">
        <v>251</v>
      </c>
      <c r="C43" s="202" t="s">
        <v>252</v>
      </c>
      <c r="D43" s="203" t="s">
        <v>157</v>
      </c>
      <c r="E43" s="198">
        <v>14925.69</v>
      </c>
      <c r="F43" s="199">
        <v>75.38</v>
      </c>
      <c r="G43" s="198">
        <v>11250.99</v>
      </c>
      <c r="H43" s="199">
        <v>5.2</v>
      </c>
      <c r="I43" s="198">
        <v>776.57</v>
      </c>
      <c r="J43" s="199">
        <v>0.18</v>
      </c>
      <c r="K43" s="198">
        <v>26.77</v>
      </c>
      <c r="L43" s="199">
        <v>0</v>
      </c>
      <c r="M43" s="198">
        <v>0</v>
      </c>
      <c r="N43" s="199">
        <v>0</v>
      </c>
      <c r="O43" s="198">
        <v>0</v>
      </c>
      <c r="P43" s="199">
        <v>0.03</v>
      </c>
      <c r="Q43" s="198">
        <v>4.4000000000000004</v>
      </c>
      <c r="R43" s="199">
        <v>0</v>
      </c>
      <c r="S43" s="198">
        <v>0</v>
      </c>
      <c r="T43" s="199">
        <v>2.4700000000000002</v>
      </c>
      <c r="U43" s="198">
        <v>368.29</v>
      </c>
      <c r="V43" s="199">
        <v>7.0000000000000007E-2</v>
      </c>
      <c r="W43" s="198">
        <v>9.98</v>
      </c>
      <c r="X43" s="199">
        <v>83.33</v>
      </c>
      <c r="Y43" s="198">
        <v>12437</v>
      </c>
      <c r="Z43" s="200">
        <v>27362.69</v>
      </c>
    </row>
    <row r="44" spans="2:26" ht="28.35" customHeight="1" x14ac:dyDescent="0.2">
      <c r="B44" s="204" t="s">
        <v>253</v>
      </c>
      <c r="C44" s="202" t="s">
        <v>254</v>
      </c>
      <c r="D44" s="203" t="s">
        <v>157</v>
      </c>
      <c r="E44" s="198">
        <v>17407.82</v>
      </c>
      <c r="F44" s="199">
        <v>75.38</v>
      </c>
      <c r="G44" s="198">
        <v>13122.01</v>
      </c>
      <c r="H44" s="199">
        <v>4.46</v>
      </c>
      <c r="I44" s="198">
        <v>776.57</v>
      </c>
      <c r="J44" s="199">
        <v>0.15</v>
      </c>
      <c r="K44" s="198">
        <v>26.77</v>
      </c>
      <c r="L44" s="199">
        <v>0</v>
      </c>
      <c r="M44" s="198">
        <v>0</v>
      </c>
      <c r="N44" s="199">
        <v>0</v>
      </c>
      <c r="O44" s="198">
        <v>0</v>
      </c>
      <c r="P44" s="199">
        <v>0.03</v>
      </c>
      <c r="Q44" s="198">
        <v>4.4000000000000004</v>
      </c>
      <c r="R44" s="199">
        <v>0</v>
      </c>
      <c r="S44" s="198">
        <v>0</v>
      </c>
      <c r="T44" s="199">
        <v>2.12</v>
      </c>
      <c r="U44" s="198">
        <v>368.29</v>
      </c>
      <c r="V44" s="199">
        <v>0.06</v>
      </c>
      <c r="W44" s="198">
        <v>9.98</v>
      </c>
      <c r="X44" s="199">
        <v>82.19</v>
      </c>
      <c r="Y44" s="198">
        <v>14308.03</v>
      </c>
      <c r="Z44" s="200">
        <v>31715.84</v>
      </c>
    </row>
    <row r="45" spans="2:26" ht="28.35" customHeight="1" x14ac:dyDescent="0.2">
      <c r="B45" s="204" t="s">
        <v>255</v>
      </c>
      <c r="C45" s="202" t="s">
        <v>256</v>
      </c>
      <c r="D45" s="203" t="s">
        <v>157</v>
      </c>
      <c r="E45" s="198">
        <v>12443.57</v>
      </c>
      <c r="F45" s="199">
        <v>76.099999999999994</v>
      </c>
      <c r="G45" s="198">
        <v>9469.56</v>
      </c>
      <c r="H45" s="199">
        <v>6.24</v>
      </c>
      <c r="I45" s="198">
        <v>776.57</v>
      </c>
      <c r="J45" s="199">
        <v>0.22</v>
      </c>
      <c r="K45" s="198">
        <v>26.77</v>
      </c>
      <c r="L45" s="199">
        <v>0</v>
      </c>
      <c r="M45" s="198">
        <v>0</v>
      </c>
      <c r="N45" s="199">
        <v>0</v>
      </c>
      <c r="O45" s="198">
        <v>0</v>
      </c>
      <c r="P45" s="199">
        <v>0.05</v>
      </c>
      <c r="Q45" s="198">
        <v>5.92</v>
      </c>
      <c r="R45" s="199">
        <v>0</v>
      </c>
      <c r="S45" s="198">
        <v>0</v>
      </c>
      <c r="T45" s="199">
        <v>2.96</v>
      </c>
      <c r="U45" s="198">
        <v>368.29</v>
      </c>
      <c r="V45" s="199">
        <v>0.08</v>
      </c>
      <c r="W45" s="198">
        <v>9.98</v>
      </c>
      <c r="X45" s="199">
        <v>85.64</v>
      </c>
      <c r="Y45" s="198">
        <v>10657.09</v>
      </c>
      <c r="Z45" s="200">
        <v>23100.66</v>
      </c>
    </row>
    <row r="46" spans="2:26" ht="28.35" customHeight="1" x14ac:dyDescent="0.2">
      <c r="B46" s="204" t="s">
        <v>257</v>
      </c>
      <c r="C46" s="202" t="s">
        <v>258</v>
      </c>
      <c r="D46" s="203" t="s">
        <v>157</v>
      </c>
      <c r="E46" s="198">
        <v>14677.54</v>
      </c>
      <c r="F46" s="199">
        <v>76.099999999999994</v>
      </c>
      <c r="G46" s="198">
        <v>11169.61</v>
      </c>
      <c r="H46" s="199">
        <v>5.29</v>
      </c>
      <c r="I46" s="198">
        <v>776.57</v>
      </c>
      <c r="J46" s="199">
        <v>0.18</v>
      </c>
      <c r="K46" s="198">
        <v>26.77</v>
      </c>
      <c r="L46" s="199">
        <v>0</v>
      </c>
      <c r="M46" s="198">
        <v>0</v>
      </c>
      <c r="N46" s="199">
        <v>0</v>
      </c>
      <c r="O46" s="198">
        <v>0</v>
      </c>
      <c r="P46" s="199">
        <v>0.04</v>
      </c>
      <c r="Q46" s="198">
        <v>5.92</v>
      </c>
      <c r="R46" s="199">
        <v>0</v>
      </c>
      <c r="S46" s="198">
        <v>0</v>
      </c>
      <c r="T46" s="199">
        <v>2.5099999999999998</v>
      </c>
      <c r="U46" s="198">
        <v>368.29</v>
      </c>
      <c r="V46" s="199">
        <v>7.0000000000000007E-2</v>
      </c>
      <c r="W46" s="198">
        <v>9.98</v>
      </c>
      <c r="X46" s="199">
        <v>84.19</v>
      </c>
      <c r="Y46" s="198">
        <v>12357.14</v>
      </c>
      <c r="Z46" s="200">
        <v>27034.68</v>
      </c>
    </row>
    <row r="47" spans="2:26" ht="28.35" customHeight="1" x14ac:dyDescent="0.2">
      <c r="B47" s="204" t="s">
        <v>259</v>
      </c>
      <c r="C47" s="202" t="s">
        <v>260</v>
      </c>
      <c r="D47" s="203" t="s">
        <v>157</v>
      </c>
      <c r="E47" s="198">
        <v>16911.509999999998</v>
      </c>
      <c r="F47" s="199">
        <v>76.099999999999994</v>
      </c>
      <c r="G47" s="198">
        <v>12869.66</v>
      </c>
      <c r="H47" s="199">
        <v>4.59</v>
      </c>
      <c r="I47" s="198">
        <v>776.57</v>
      </c>
      <c r="J47" s="199">
        <v>0.16</v>
      </c>
      <c r="K47" s="198">
        <v>26.77</v>
      </c>
      <c r="L47" s="199">
        <v>0</v>
      </c>
      <c r="M47" s="198">
        <v>0</v>
      </c>
      <c r="N47" s="199">
        <v>0</v>
      </c>
      <c r="O47" s="198">
        <v>0</v>
      </c>
      <c r="P47" s="199">
        <v>0.04</v>
      </c>
      <c r="Q47" s="198">
        <v>5.92</v>
      </c>
      <c r="R47" s="199">
        <v>0</v>
      </c>
      <c r="S47" s="198">
        <v>0</v>
      </c>
      <c r="T47" s="199">
        <v>2.1800000000000002</v>
      </c>
      <c r="U47" s="198">
        <v>368.29</v>
      </c>
      <c r="V47" s="199">
        <v>0.06</v>
      </c>
      <c r="W47" s="198">
        <v>9.98</v>
      </c>
      <c r="X47" s="199">
        <v>83.12</v>
      </c>
      <c r="Y47" s="198">
        <v>14057.19</v>
      </c>
      <c r="Z47" s="200">
        <v>30968.71</v>
      </c>
    </row>
    <row r="48" spans="2:26" ht="28.35" customHeight="1" x14ac:dyDescent="0.2">
      <c r="B48" s="204" t="s">
        <v>261</v>
      </c>
      <c r="C48" s="202" t="s">
        <v>262</v>
      </c>
      <c r="D48" s="203" t="s">
        <v>157</v>
      </c>
      <c r="E48" s="198">
        <v>11984.56</v>
      </c>
      <c r="F48" s="199">
        <v>75.849999999999994</v>
      </c>
      <c r="G48" s="198">
        <v>9090.2900000000009</v>
      </c>
      <c r="H48" s="199">
        <v>6.48</v>
      </c>
      <c r="I48" s="198">
        <v>776.57</v>
      </c>
      <c r="J48" s="199">
        <v>0.22</v>
      </c>
      <c r="K48" s="198">
        <v>26.77</v>
      </c>
      <c r="L48" s="199">
        <v>0</v>
      </c>
      <c r="M48" s="198">
        <v>0</v>
      </c>
      <c r="N48" s="199">
        <v>0</v>
      </c>
      <c r="O48" s="198">
        <v>0</v>
      </c>
      <c r="P48" s="199">
        <v>0.05</v>
      </c>
      <c r="Q48" s="198">
        <v>6.24</v>
      </c>
      <c r="R48" s="199">
        <v>0</v>
      </c>
      <c r="S48" s="198">
        <v>0</v>
      </c>
      <c r="T48" s="199">
        <v>3.07</v>
      </c>
      <c r="U48" s="198">
        <v>368.29</v>
      </c>
      <c r="V48" s="199">
        <v>0.08</v>
      </c>
      <c r="W48" s="198">
        <v>9.98</v>
      </c>
      <c r="X48" s="199">
        <v>85.76</v>
      </c>
      <c r="Y48" s="198">
        <v>10278.14</v>
      </c>
      <c r="Z48" s="200">
        <v>22262.7</v>
      </c>
    </row>
    <row r="49" spans="2:26" ht="28.35" customHeight="1" x14ac:dyDescent="0.2">
      <c r="B49" s="204" t="s">
        <v>263</v>
      </c>
      <c r="C49" s="202" t="s">
        <v>264</v>
      </c>
      <c r="D49" s="203" t="s">
        <v>157</v>
      </c>
      <c r="E49" s="198">
        <v>14498.14</v>
      </c>
      <c r="F49" s="199">
        <v>75.849999999999994</v>
      </c>
      <c r="G49" s="198">
        <v>10996.84</v>
      </c>
      <c r="H49" s="199">
        <v>5.36</v>
      </c>
      <c r="I49" s="198">
        <v>776.57</v>
      </c>
      <c r="J49" s="199">
        <v>0.18</v>
      </c>
      <c r="K49" s="198">
        <v>26.77</v>
      </c>
      <c r="L49" s="199">
        <v>0</v>
      </c>
      <c r="M49" s="198">
        <v>0</v>
      </c>
      <c r="N49" s="199">
        <v>0</v>
      </c>
      <c r="O49" s="198">
        <v>0</v>
      </c>
      <c r="P49" s="199">
        <v>0.04</v>
      </c>
      <c r="Q49" s="198">
        <v>6.24</v>
      </c>
      <c r="R49" s="199">
        <v>0</v>
      </c>
      <c r="S49" s="198">
        <v>0</v>
      </c>
      <c r="T49" s="199">
        <v>2.54</v>
      </c>
      <c r="U49" s="198">
        <v>368.29</v>
      </c>
      <c r="V49" s="199">
        <v>7.0000000000000007E-2</v>
      </c>
      <c r="W49" s="198">
        <v>9.98</v>
      </c>
      <c r="X49" s="199">
        <v>84.04</v>
      </c>
      <c r="Y49" s="198">
        <v>12184.69</v>
      </c>
      <c r="Z49" s="200">
        <v>26682.83</v>
      </c>
    </row>
    <row r="50" spans="2:26" ht="28.35" customHeight="1" x14ac:dyDescent="0.2">
      <c r="B50" s="204" t="s">
        <v>265</v>
      </c>
      <c r="C50" s="202" t="s">
        <v>266</v>
      </c>
      <c r="D50" s="203" t="s">
        <v>157</v>
      </c>
      <c r="E50" s="198">
        <v>17011.73</v>
      </c>
      <c r="F50" s="199">
        <v>75.849999999999994</v>
      </c>
      <c r="G50" s="198">
        <v>12903.39</v>
      </c>
      <c r="H50" s="199">
        <v>4.5599999999999996</v>
      </c>
      <c r="I50" s="198">
        <v>776.57</v>
      </c>
      <c r="J50" s="199">
        <v>0.16</v>
      </c>
      <c r="K50" s="198">
        <v>26.77</v>
      </c>
      <c r="L50" s="199">
        <v>0</v>
      </c>
      <c r="M50" s="198">
        <v>0</v>
      </c>
      <c r="N50" s="199">
        <v>0</v>
      </c>
      <c r="O50" s="198">
        <v>0</v>
      </c>
      <c r="P50" s="199">
        <v>0.04</v>
      </c>
      <c r="Q50" s="198">
        <v>6.24</v>
      </c>
      <c r="R50" s="199">
        <v>0</v>
      </c>
      <c r="S50" s="198">
        <v>0</v>
      </c>
      <c r="T50" s="199">
        <v>2.16</v>
      </c>
      <c r="U50" s="198">
        <v>368.29</v>
      </c>
      <c r="V50" s="199">
        <v>0.06</v>
      </c>
      <c r="W50" s="198">
        <v>9.98</v>
      </c>
      <c r="X50" s="199">
        <v>82.83</v>
      </c>
      <c r="Y50" s="198">
        <v>14091.24</v>
      </c>
      <c r="Z50" s="200">
        <v>31102.97</v>
      </c>
    </row>
    <row r="51" spans="2:26" ht="28.35" customHeight="1" x14ac:dyDescent="0.2">
      <c r="B51" s="204" t="s">
        <v>267</v>
      </c>
      <c r="C51" s="202" t="s">
        <v>268</v>
      </c>
      <c r="D51" s="203" t="s">
        <v>157</v>
      </c>
      <c r="E51" s="198">
        <v>1938.59</v>
      </c>
      <c r="F51" s="199">
        <v>75.599999999999994</v>
      </c>
      <c r="G51" s="198">
        <v>1465.58</v>
      </c>
      <c r="H51" s="199">
        <v>40.06</v>
      </c>
      <c r="I51" s="198">
        <v>776.57</v>
      </c>
      <c r="J51" s="199">
        <v>1.38</v>
      </c>
      <c r="K51" s="198">
        <v>26.77</v>
      </c>
      <c r="L51" s="199">
        <v>0</v>
      </c>
      <c r="M51" s="198">
        <v>0</v>
      </c>
      <c r="N51" s="199">
        <v>7.61</v>
      </c>
      <c r="O51" s="198">
        <v>147.52000000000001</v>
      </c>
      <c r="P51" s="199">
        <v>0.22</v>
      </c>
      <c r="Q51" s="198">
        <v>4.2</v>
      </c>
      <c r="R51" s="199">
        <v>0</v>
      </c>
      <c r="S51" s="198">
        <v>0</v>
      </c>
      <c r="T51" s="199">
        <v>19</v>
      </c>
      <c r="U51" s="198">
        <v>368.29</v>
      </c>
      <c r="V51" s="199">
        <v>0.51</v>
      </c>
      <c r="W51" s="198">
        <v>9.98</v>
      </c>
      <c r="X51" s="199">
        <v>144.38</v>
      </c>
      <c r="Y51" s="198">
        <v>2798.91</v>
      </c>
      <c r="Z51" s="200">
        <v>4737.5</v>
      </c>
    </row>
    <row r="52" spans="2:26" ht="28.35" customHeight="1" x14ac:dyDescent="0.2">
      <c r="B52" s="204" t="s">
        <v>269</v>
      </c>
      <c r="C52" s="202" t="s">
        <v>270</v>
      </c>
      <c r="D52" s="203" t="s">
        <v>157</v>
      </c>
      <c r="E52" s="198">
        <v>3415.74</v>
      </c>
      <c r="F52" s="199">
        <v>75.38</v>
      </c>
      <c r="G52" s="198">
        <v>2574.7800000000002</v>
      </c>
      <c r="H52" s="199">
        <v>22.74</v>
      </c>
      <c r="I52" s="198">
        <v>776.57</v>
      </c>
      <c r="J52" s="199">
        <v>0.78</v>
      </c>
      <c r="K52" s="198">
        <v>26.77</v>
      </c>
      <c r="L52" s="199">
        <v>0</v>
      </c>
      <c r="M52" s="198">
        <v>0</v>
      </c>
      <c r="N52" s="199">
        <v>1.72</v>
      </c>
      <c r="O52" s="198">
        <v>58.89</v>
      </c>
      <c r="P52" s="199">
        <v>0.14000000000000001</v>
      </c>
      <c r="Q52" s="198">
        <v>4.71</v>
      </c>
      <c r="R52" s="199">
        <v>0</v>
      </c>
      <c r="S52" s="198">
        <v>0</v>
      </c>
      <c r="T52" s="199">
        <v>10.78</v>
      </c>
      <c r="U52" s="198">
        <v>368.29</v>
      </c>
      <c r="V52" s="199">
        <v>0.28999999999999998</v>
      </c>
      <c r="W52" s="198">
        <v>9.98</v>
      </c>
      <c r="X52" s="199">
        <v>111.84</v>
      </c>
      <c r="Y52" s="198">
        <v>3820</v>
      </c>
      <c r="Z52" s="200">
        <v>7235.73</v>
      </c>
    </row>
    <row r="53" spans="2:26" ht="28.35" customHeight="1" x14ac:dyDescent="0.2">
      <c r="B53" s="204" t="s">
        <v>271</v>
      </c>
      <c r="C53" s="202" t="s">
        <v>272</v>
      </c>
      <c r="D53" s="203" t="s">
        <v>157</v>
      </c>
      <c r="E53" s="198">
        <v>4554.32</v>
      </c>
      <c r="F53" s="199">
        <v>75.38</v>
      </c>
      <c r="G53" s="198">
        <v>3433.04</v>
      </c>
      <c r="H53" s="199">
        <v>17.05</v>
      </c>
      <c r="I53" s="198">
        <v>776.57</v>
      </c>
      <c r="J53" s="199">
        <v>0.59</v>
      </c>
      <c r="K53" s="198">
        <v>26.77</v>
      </c>
      <c r="L53" s="199">
        <v>0</v>
      </c>
      <c r="M53" s="198">
        <v>0</v>
      </c>
      <c r="N53" s="199">
        <v>0</v>
      </c>
      <c r="O53" s="198">
        <v>0</v>
      </c>
      <c r="P53" s="199">
        <v>0.1</v>
      </c>
      <c r="Q53" s="198">
        <v>4.71</v>
      </c>
      <c r="R53" s="199">
        <v>0</v>
      </c>
      <c r="S53" s="198">
        <v>0</v>
      </c>
      <c r="T53" s="199">
        <v>8.09</v>
      </c>
      <c r="U53" s="198">
        <v>368.29</v>
      </c>
      <c r="V53" s="199">
        <v>0.22</v>
      </c>
      <c r="W53" s="198">
        <v>9.98</v>
      </c>
      <c r="X53" s="199">
        <v>101.43</v>
      </c>
      <c r="Y53" s="198">
        <v>4619.37</v>
      </c>
      <c r="Z53" s="200">
        <v>9173.68</v>
      </c>
    </row>
    <row r="54" spans="2:26" ht="28.35" customHeight="1" x14ac:dyDescent="0.2">
      <c r="B54" s="204" t="s">
        <v>273</v>
      </c>
      <c r="C54" s="202" t="s">
        <v>126</v>
      </c>
      <c r="D54" s="203" t="s">
        <v>157</v>
      </c>
      <c r="E54" s="198">
        <v>8539.5</v>
      </c>
      <c r="F54" s="199">
        <v>75.38</v>
      </c>
      <c r="G54" s="198">
        <v>6437.08</v>
      </c>
      <c r="H54" s="199">
        <v>9.09</v>
      </c>
      <c r="I54" s="198">
        <v>776.57</v>
      </c>
      <c r="J54" s="199">
        <v>0.31</v>
      </c>
      <c r="K54" s="198">
        <v>26.77</v>
      </c>
      <c r="L54" s="199">
        <v>0</v>
      </c>
      <c r="M54" s="198">
        <v>0</v>
      </c>
      <c r="N54" s="199">
        <v>0</v>
      </c>
      <c r="O54" s="198">
        <v>0</v>
      </c>
      <c r="P54" s="199">
        <v>0.06</v>
      </c>
      <c r="Q54" s="198">
        <v>4.71</v>
      </c>
      <c r="R54" s="199">
        <v>0</v>
      </c>
      <c r="S54" s="198">
        <v>0</v>
      </c>
      <c r="T54" s="199">
        <v>4.3099999999999996</v>
      </c>
      <c r="U54" s="198">
        <v>368.29</v>
      </c>
      <c r="V54" s="199">
        <v>0.12</v>
      </c>
      <c r="W54" s="198">
        <v>9.98</v>
      </c>
      <c r="X54" s="199">
        <v>89.27</v>
      </c>
      <c r="Y54" s="198">
        <v>7623.4</v>
      </c>
      <c r="Z54" s="200">
        <v>16162.9</v>
      </c>
    </row>
    <row r="55" spans="2:26" ht="28.35" customHeight="1" x14ac:dyDescent="0.2">
      <c r="B55" s="204" t="s">
        <v>274</v>
      </c>
      <c r="C55" s="202" t="s">
        <v>275</v>
      </c>
      <c r="D55" s="203" t="s">
        <v>157</v>
      </c>
      <c r="E55" s="198">
        <v>2644.27</v>
      </c>
      <c r="F55" s="199">
        <v>75.739999999999995</v>
      </c>
      <c r="G55" s="198">
        <v>2002.77</v>
      </c>
      <c r="H55" s="199">
        <v>29.37</v>
      </c>
      <c r="I55" s="198">
        <v>776.57</v>
      </c>
      <c r="J55" s="199">
        <v>1.1399999999999999</v>
      </c>
      <c r="K55" s="198">
        <v>30.02</v>
      </c>
      <c r="L55" s="199">
        <v>0</v>
      </c>
      <c r="M55" s="198">
        <v>0</v>
      </c>
      <c r="N55" s="199">
        <v>3.98</v>
      </c>
      <c r="O55" s="198">
        <v>105.18</v>
      </c>
      <c r="P55" s="199">
        <v>0.21</v>
      </c>
      <c r="Q55" s="198">
        <v>5.63</v>
      </c>
      <c r="R55" s="199">
        <v>0</v>
      </c>
      <c r="S55" s="198">
        <v>0</v>
      </c>
      <c r="T55" s="199">
        <v>13.93</v>
      </c>
      <c r="U55" s="198">
        <v>368.29</v>
      </c>
      <c r="V55" s="199">
        <v>0.38</v>
      </c>
      <c r="W55" s="198">
        <v>9.98</v>
      </c>
      <c r="X55" s="199">
        <v>124.74</v>
      </c>
      <c r="Y55" s="198">
        <v>3298.43</v>
      </c>
      <c r="Z55" s="200">
        <v>5942.7</v>
      </c>
    </row>
    <row r="56" spans="2:26" ht="28.35" customHeight="1" x14ac:dyDescent="0.2">
      <c r="B56" s="204" t="s">
        <v>276</v>
      </c>
      <c r="C56" s="202" t="s">
        <v>277</v>
      </c>
      <c r="D56" s="203" t="s">
        <v>157</v>
      </c>
      <c r="E56" s="198">
        <v>12443.57</v>
      </c>
      <c r="F56" s="199">
        <v>75.03</v>
      </c>
      <c r="G56" s="198">
        <v>9336.41</v>
      </c>
      <c r="H56" s="199">
        <v>6.24</v>
      </c>
      <c r="I56" s="198">
        <v>776.57</v>
      </c>
      <c r="J56" s="199">
        <v>0.22</v>
      </c>
      <c r="K56" s="198">
        <v>26.77</v>
      </c>
      <c r="L56" s="199">
        <v>0</v>
      </c>
      <c r="M56" s="198">
        <v>0</v>
      </c>
      <c r="N56" s="199">
        <v>0</v>
      </c>
      <c r="O56" s="198">
        <v>0</v>
      </c>
      <c r="P56" s="199">
        <v>0.03</v>
      </c>
      <c r="Q56" s="198">
        <v>4.16</v>
      </c>
      <c r="R56" s="199">
        <v>0</v>
      </c>
      <c r="S56" s="198">
        <v>0</v>
      </c>
      <c r="T56" s="199">
        <v>2.96</v>
      </c>
      <c r="U56" s="198">
        <v>368.29</v>
      </c>
      <c r="V56" s="199">
        <v>0.08</v>
      </c>
      <c r="W56" s="198">
        <v>9.98</v>
      </c>
      <c r="X56" s="199">
        <v>84.56</v>
      </c>
      <c r="Y56" s="198">
        <v>10522.18</v>
      </c>
      <c r="Z56" s="200">
        <v>22965.75</v>
      </c>
    </row>
    <row r="57" spans="2:26" ht="28.35" customHeight="1" x14ac:dyDescent="0.2">
      <c r="B57" s="204" t="s">
        <v>278</v>
      </c>
      <c r="C57" s="202" t="s">
        <v>279</v>
      </c>
      <c r="D57" s="203" t="s">
        <v>157</v>
      </c>
      <c r="E57" s="198">
        <v>5637.35</v>
      </c>
      <c r="F57" s="199">
        <v>75.48</v>
      </c>
      <c r="G57" s="198">
        <v>4255.07</v>
      </c>
      <c r="H57" s="199">
        <v>13.78</v>
      </c>
      <c r="I57" s="198">
        <v>776.57</v>
      </c>
      <c r="J57" s="199">
        <v>0.47</v>
      </c>
      <c r="K57" s="198">
        <v>26.77</v>
      </c>
      <c r="L57" s="199">
        <v>0</v>
      </c>
      <c r="M57" s="198">
        <v>0</v>
      </c>
      <c r="N57" s="199">
        <v>0</v>
      </c>
      <c r="O57" s="198">
        <v>0</v>
      </c>
      <c r="P57" s="199">
        <v>0.09</v>
      </c>
      <c r="Q57" s="198">
        <v>4.93</v>
      </c>
      <c r="R57" s="199">
        <v>0</v>
      </c>
      <c r="S57" s="198">
        <v>0</v>
      </c>
      <c r="T57" s="199">
        <v>6.53</v>
      </c>
      <c r="U57" s="198">
        <v>368.29</v>
      </c>
      <c r="V57" s="199">
        <v>0.18</v>
      </c>
      <c r="W57" s="198">
        <v>9.98</v>
      </c>
      <c r="X57" s="199">
        <v>96.53</v>
      </c>
      <c r="Y57" s="198">
        <v>5441.61</v>
      </c>
      <c r="Z57" s="200">
        <v>11078.96</v>
      </c>
    </row>
    <row r="58" spans="2:26" ht="28.35" customHeight="1" x14ac:dyDescent="0.2">
      <c r="B58" s="204" t="s">
        <v>280</v>
      </c>
      <c r="C58" s="202" t="s">
        <v>281</v>
      </c>
      <c r="D58" s="203" t="s">
        <v>157</v>
      </c>
      <c r="E58" s="198">
        <v>7516.46</v>
      </c>
      <c r="F58" s="199">
        <v>75.48</v>
      </c>
      <c r="G58" s="198">
        <v>5673.43</v>
      </c>
      <c r="H58" s="199">
        <v>10.33</v>
      </c>
      <c r="I58" s="198">
        <v>776.57</v>
      </c>
      <c r="J58" s="199">
        <v>0.36</v>
      </c>
      <c r="K58" s="198">
        <v>26.77</v>
      </c>
      <c r="L58" s="199">
        <v>0</v>
      </c>
      <c r="M58" s="198">
        <v>0</v>
      </c>
      <c r="N58" s="199">
        <v>0</v>
      </c>
      <c r="O58" s="198">
        <v>0</v>
      </c>
      <c r="P58" s="199">
        <v>7.0000000000000007E-2</v>
      </c>
      <c r="Q58" s="198">
        <v>4.93</v>
      </c>
      <c r="R58" s="199">
        <v>0</v>
      </c>
      <c r="S58" s="198">
        <v>0</v>
      </c>
      <c r="T58" s="199">
        <v>4.9000000000000004</v>
      </c>
      <c r="U58" s="198">
        <v>368.29</v>
      </c>
      <c r="V58" s="199">
        <v>0.13</v>
      </c>
      <c r="W58" s="198">
        <v>9.98</v>
      </c>
      <c r="X58" s="199">
        <v>91.27</v>
      </c>
      <c r="Y58" s="198">
        <v>6859.96</v>
      </c>
      <c r="Z58" s="200">
        <v>14376.43</v>
      </c>
    </row>
    <row r="59" spans="2:26" ht="28.35" customHeight="1" x14ac:dyDescent="0.2">
      <c r="B59" s="204" t="s">
        <v>282</v>
      </c>
      <c r="C59" s="202" t="s">
        <v>283</v>
      </c>
      <c r="D59" s="203" t="s">
        <v>157</v>
      </c>
      <c r="E59" s="198">
        <v>12176.14</v>
      </c>
      <c r="F59" s="199">
        <v>75.48</v>
      </c>
      <c r="G59" s="198">
        <v>9190.5499999999993</v>
      </c>
      <c r="H59" s="199">
        <v>6.38</v>
      </c>
      <c r="I59" s="198">
        <v>776.57</v>
      </c>
      <c r="J59" s="199">
        <v>0.22</v>
      </c>
      <c r="K59" s="198">
        <v>26.77</v>
      </c>
      <c r="L59" s="199">
        <v>0</v>
      </c>
      <c r="M59" s="198">
        <v>0</v>
      </c>
      <c r="N59" s="199">
        <v>0</v>
      </c>
      <c r="O59" s="198">
        <v>0</v>
      </c>
      <c r="P59" s="199">
        <v>0.04</v>
      </c>
      <c r="Q59" s="198">
        <v>4.93</v>
      </c>
      <c r="R59" s="199">
        <v>0</v>
      </c>
      <c r="S59" s="198">
        <v>0</v>
      </c>
      <c r="T59" s="199">
        <v>3.02</v>
      </c>
      <c r="U59" s="198">
        <v>368.29</v>
      </c>
      <c r="V59" s="199">
        <v>0.08</v>
      </c>
      <c r="W59" s="198">
        <v>9.98</v>
      </c>
      <c r="X59" s="199">
        <v>85.22</v>
      </c>
      <c r="Y59" s="198">
        <v>10377.09</v>
      </c>
      <c r="Z59" s="200">
        <v>22553.23</v>
      </c>
    </row>
    <row r="60" spans="2:26" ht="28.35" customHeight="1" x14ac:dyDescent="0.2">
      <c r="B60" s="204" t="s">
        <v>16</v>
      </c>
      <c r="C60" s="202" t="s">
        <v>98</v>
      </c>
      <c r="D60" s="203" t="s">
        <v>157</v>
      </c>
      <c r="E60" s="198">
        <v>2674.02</v>
      </c>
      <c r="F60" s="199">
        <v>75.8</v>
      </c>
      <c r="G60" s="198">
        <v>2026.91</v>
      </c>
      <c r="H60" s="199">
        <v>29.04</v>
      </c>
      <c r="I60" s="198">
        <v>776.57</v>
      </c>
      <c r="J60" s="199">
        <v>1.22</v>
      </c>
      <c r="K60" s="198">
        <v>32.6</v>
      </c>
      <c r="L60" s="199">
        <v>0</v>
      </c>
      <c r="M60" s="198">
        <v>0</v>
      </c>
      <c r="N60" s="199">
        <v>3.87</v>
      </c>
      <c r="O60" s="198">
        <v>103.39</v>
      </c>
      <c r="P60" s="199">
        <v>0.23</v>
      </c>
      <c r="Q60" s="198">
        <v>6.26</v>
      </c>
      <c r="R60" s="199">
        <v>0</v>
      </c>
      <c r="S60" s="198">
        <v>0</v>
      </c>
      <c r="T60" s="199">
        <v>13.77</v>
      </c>
      <c r="U60" s="198">
        <v>368.29</v>
      </c>
      <c r="V60" s="199">
        <v>0.37</v>
      </c>
      <c r="W60" s="198">
        <v>9.98</v>
      </c>
      <c r="X60" s="199">
        <v>124.31</v>
      </c>
      <c r="Y60" s="198">
        <v>3324</v>
      </c>
      <c r="Z60" s="200">
        <v>5998.01</v>
      </c>
    </row>
    <row r="61" spans="2:26" ht="28.35" customHeight="1" x14ac:dyDescent="0.2">
      <c r="B61" s="204" t="s">
        <v>284</v>
      </c>
      <c r="C61" s="202" t="s">
        <v>285</v>
      </c>
      <c r="D61" s="203" t="s">
        <v>157</v>
      </c>
      <c r="E61" s="198">
        <v>2312.65</v>
      </c>
      <c r="F61" s="199">
        <v>75.430000000000007</v>
      </c>
      <c r="G61" s="198">
        <v>1744.43</v>
      </c>
      <c r="H61" s="199">
        <v>33.58</v>
      </c>
      <c r="I61" s="198">
        <v>776.57</v>
      </c>
      <c r="J61" s="199">
        <v>1.41</v>
      </c>
      <c r="K61" s="198">
        <v>32.6</v>
      </c>
      <c r="L61" s="199">
        <v>0</v>
      </c>
      <c r="M61" s="198">
        <v>0</v>
      </c>
      <c r="N61" s="199">
        <v>5.41</v>
      </c>
      <c r="O61" s="198">
        <v>125.07</v>
      </c>
      <c r="P61" s="199">
        <v>0.2</v>
      </c>
      <c r="Q61" s="198">
        <v>4.6100000000000003</v>
      </c>
      <c r="R61" s="199">
        <v>0</v>
      </c>
      <c r="S61" s="198">
        <v>0</v>
      </c>
      <c r="T61" s="199">
        <v>15.93</v>
      </c>
      <c r="U61" s="198">
        <v>368.29</v>
      </c>
      <c r="V61" s="199">
        <v>0.43</v>
      </c>
      <c r="W61" s="198">
        <v>9.98</v>
      </c>
      <c r="X61" s="199">
        <v>132.38</v>
      </c>
      <c r="Y61" s="198">
        <v>3061.55</v>
      </c>
      <c r="Z61" s="200">
        <v>5374.21</v>
      </c>
    </row>
    <row r="62" spans="2:26" ht="28.35" customHeight="1" x14ac:dyDescent="0.2">
      <c r="B62" s="204" t="s">
        <v>286</v>
      </c>
      <c r="C62" s="202" t="s">
        <v>287</v>
      </c>
      <c r="D62" s="203" t="s">
        <v>157</v>
      </c>
      <c r="E62" s="198">
        <v>4946.5600000000004</v>
      </c>
      <c r="F62" s="199">
        <v>76.040000000000006</v>
      </c>
      <c r="G62" s="198">
        <v>3761.36</v>
      </c>
      <c r="H62" s="199">
        <v>15.7</v>
      </c>
      <c r="I62" s="198">
        <v>776.57</v>
      </c>
      <c r="J62" s="199">
        <v>0.54</v>
      </c>
      <c r="K62" s="198">
        <v>26.77</v>
      </c>
      <c r="L62" s="199">
        <v>0</v>
      </c>
      <c r="M62" s="198">
        <v>0</v>
      </c>
      <c r="N62" s="199">
        <v>0</v>
      </c>
      <c r="O62" s="198">
        <v>0</v>
      </c>
      <c r="P62" s="199">
        <v>0.14000000000000001</v>
      </c>
      <c r="Q62" s="198">
        <v>7.15</v>
      </c>
      <c r="R62" s="199">
        <v>0</v>
      </c>
      <c r="S62" s="198">
        <v>0</v>
      </c>
      <c r="T62" s="199">
        <v>7.45</v>
      </c>
      <c r="U62" s="198">
        <v>368.29</v>
      </c>
      <c r="V62" s="199">
        <v>0.2</v>
      </c>
      <c r="W62" s="198">
        <v>9.98</v>
      </c>
      <c r="X62" s="199">
        <v>100.07</v>
      </c>
      <c r="Y62" s="198">
        <v>4950.13</v>
      </c>
      <c r="Z62" s="200">
        <v>9896.68</v>
      </c>
    </row>
    <row r="63" spans="2:26" ht="28.35" customHeight="1" x14ac:dyDescent="0.2">
      <c r="B63" s="204" t="s">
        <v>288</v>
      </c>
      <c r="C63" s="202" t="s">
        <v>289</v>
      </c>
      <c r="D63" s="203" t="s">
        <v>157</v>
      </c>
      <c r="E63" s="198">
        <v>6595.41</v>
      </c>
      <c r="F63" s="199">
        <v>76.040000000000006</v>
      </c>
      <c r="G63" s="198">
        <v>5015.1499999999996</v>
      </c>
      <c r="H63" s="199">
        <v>11.77</v>
      </c>
      <c r="I63" s="198">
        <v>776.57</v>
      </c>
      <c r="J63" s="199">
        <v>0.41</v>
      </c>
      <c r="K63" s="198">
        <v>26.77</v>
      </c>
      <c r="L63" s="199">
        <v>0</v>
      </c>
      <c r="M63" s="198">
        <v>0</v>
      </c>
      <c r="N63" s="199">
        <v>0</v>
      </c>
      <c r="O63" s="198">
        <v>0</v>
      </c>
      <c r="P63" s="199">
        <v>0.11</v>
      </c>
      <c r="Q63" s="198">
        <v>7.15</v>
      </c>
      <c r="R63" s="199">
        <v>0</v>
      </c>
      <c r="S63" s="198">
        <v>0</v>
      </c>
      <c r="T63" s="199">
        <v>5.58</v>
      </c>
      <c r="U63" s="198">
        <v>368.29</v>
      </c>
      <c r="V63" s="199">
        <v>0.15</v>
      </c>
      <c r="W63" s="198">
        <v>9.98</v>
      </c>
      <c r="X63" s="199">
        <v>94.06</v>
      </c>
      <c r="Y63" s="198">
        <v>6203.91</v>
      </c>
      <c r="Z63" s="200">
        <v>12799.32</v>
      </c>
    </row>
    <row r="64" spans="2:26" ht="28.35" customHeight="1" x14ac:dyDescent="0.2">
      <c r="B64" s="204" t="s">
        <v>290</v>
      </c>
      <c r="C64" s="202" t="s">
        <v>291</v>
      </c>
      <c r="D64" s="203" t="s">
        <v>157</v>
      </c>
      <c r="E64" s="198">
        <v>12511.63</v>
      </c>
      <c r="F64" s="199">
        <v>76.040000000000006</v>
      </c>
      <c r="G64" s="198">
        <v>9513.84</v>
      </c>
      <c r="H64" s="199">
        <v>6.21</v>
      </c>
      <c r="I64" s="198">
        <v>776.57</v>
      </c>
      <c r="J64" s="199">
        <v>0.21</v>
      </c>
      <c r="K64" s="198">
        <v>26.77</v>
      </c>
      <c r="L64" s="199">
        <v>0</v>
      </c>
      <c r="M64" s="198">
        <v>0</v>
      </c>
      <c r="N64" s="199">
        <v>0</v>
      </c>
      <c r="O64" s="198">
        <v>0</v>
      </c>
      <c r="P64" s="199">
        <v>0.06</v>
      </c>
      <c r="Q64" s="198">
        <v>7.15</v>
      </c>
      <c r="R64" s="199">
        <v>0</v>
      </c>
      <c r="S64" s="198">
        <v>0</v>
      </c>
      <c r="T64" s="199">
        <v>2.94</v>
      </c>
      <c r="U64" s="198">
        <v>368.29</v>
      </c>
      <c r="V64" s="199">
        <v>0.08</v>
      </c>
      <c r="W64" s="198">
        <v>9.98</v>
      </c>
      <c r="X64" s="199">
        <v>85.54</v>
      </c>
      <c r="Y64" s="198">
        <v>10702.61</v>
      </c>
      <c r="Z64" s="200">
        <v>23214.240000000002</v>
      </c>
    </row>
    <row r="65" spans="2:26" ht="28.35" customHeight="1" x14ac:dyDescent="0.2">
      <c r="B65" s="204" t="s">
        <v>292</v>
      </c>
      <c r="C65" s="202" t="s">
        <v>293</v>
      </c>
      <c r="D65" s="203" t="s">
        <v>157</v>
      </c>
      <c r="E65" s="198">
        <v>2374.04</v>
      </c>
      <c r="F65" s="199">
        <v>76.03</v>
      </c>
      <c r="G65" s="198">
        <v>1804.98</v>
      </c>
      <c r="H65" s="199">
        <v>32.71</v>
      </c>
      <c r="I65" s="198">
        <v>776.57</v>
      </c>
      <c r="J65" s="199">
        <v>1.1299999999999999</v>
      </c>
      <c r="K65" s="198">
        <v>26.77</v>
      </c>
      <c r="L65" s="199">
        <v>0</v>
      </c>
      <c r="M65" s="198">
        <v>0</v>
      </c>
      <c r="N65" s="199">
        <v>5.1100000000000003</v>
      </c>
      <c r="O65" s="198">
        <v>121.39</v>
      </c>
      <c r="P65" s="199">
        <v>0.27</v>
      </c>
      <c r="Q65" s="198">
        <v>6.3</v>
      </c>
      <c r="R65" s="199">
        <v>0</v>
      </c>
      <c r="S65" s="198">
        <v>0</v>
      </c>
      <c r="T65" s="199">
        <v>15.51</v>
      </c>
      <c r="U65" s="198">
        <v>368.29</v>
      </c>
      <c r="V65" s="199">
        <v>0.42</v>
      </c>
      <c r="W65" s="198">
        <v>9.98</v>
      </c>
      <c r="X65" s="199">
        <v>131.18</v>
      </c>
      <c r="Y65" s="198">
        <v>3114.29</v>
      </c>
      <c r="Z65" s="200">
        <v>5488.33</v>
      </c>
    </row>
    <row r="66" spans="2:26" ht="28.35" customHeight="1" x14ac:dyDescent="0.2">
      <c r="B66" s="204" t="s">
        <v>294</v>
      </c>
      <c r="C66" s="202" t="s">
        <v>295</v>
      </c>
      <c r="D66" s="203" t="s">
        <v>157</v>
      </c>
      <c r="E66" s="198">
        <v>3165.39</v>
      </c>
      <c r="F66" s="199">
        <v>76.03</v>
      </c>
      <c r="G66" s="198">
        <v>2406.64</v>
      </c>
      <c r="H66" s="199">
        <v>24.53</v>
      </c>
      <c r="I66" s="198">
        <v>776.57</v>
      </c>
      <c r="J66" s="199">
        <v>0.85</v>
      </c>
      <c r="K66" s="198">
        <v>26.77</v>
      </c>
      <c r="L66" s="199">
        <v>0</v>
      </c>
      <c r="M66" s="198">
        <v>0</v>
      </c>
      <c r="N66" s="199">
        <v>2.33</v>
      </c>
      <c r="O66" s="198">
        <v>73.91</v>
      </c>
      <c r="P66" s="199">
        <v>0.2</v>
      </c>
      <c r="Q66" s="198">
        <v>6.3</v>
      </c>
      <c r="R66" s="199">
        <v>0</v>
      </c>
      <c r="S66" s="198">
        <v>0</v>
      </c>
      <c r="T66" s="199">
        <v>11.63</v>
      </c>
      <c r="U66" s="198">
        <v>368.29</v>
      </c>
      <c r="V66" s="199">
        <v>0.32</v>
      </c>
      <c r="W66" s="198">
        <v>9.98</v>
      </c>
      <c r="X66" s="199">
        <v>115.89</v>
      </c>
      <c r="Y66" s="198">
        <v>3668.47</v>
      </c>
      <c r="Z66" s="200">
        <v>6833.86</v>
      </c>
    </row>
    <row r="67" spans="2:26" ht="28.35" customHeight="1" x14ac:dyDescent="0.2">
      <c r="B67" s="204" t="s">
        <v>296</v>
      </c>
      <c r="C67" s="202" t="s">
        <v>297</v>
      </c>
      <c r="D67" s="203" t="s">
        <v>157</v>
      </c>
      <c r="E67" s="198">
        <v>4103.05</v>
      </c>
      <c r="F67" s="199">
        <v>76.03</v>
      </c>
      <c r="G67" s="198">
        <v>3119.55</v>
      </c>
      <c r="H67" s="199">
        <v>18.93</v>
      </c>
      <c r="I67" s="198">
        <v>776.57</v>
      </c>
      <c r="J67" s="199">
        <v>0.65</v>
      </c>
      <c r="K67" s="198">
        <v>26.77</v>
      </c>
      <c r="L67" s="199">
        <v>0</v>
      </c>
      <c r="M67" s="198">
        <v>0</v>
      </c>
      <c r="N67" s="199">
        <v>0.43</v>
      </c>
      <c r="O67" s="198">
        <v>17.649999999999999</v>
      </c>
      <c r="P67" s="199">
        <v>0.15</v>
      </c>
      <c r="Q67" s="198">
        <v>6.3</v>
      </c>
      <c r="R67" s="199">
        <v>0</v>
      </c>
      <c r="S67" s="198">
        <v>0</v>
      </c>
      <c r="T67" s="199">
        <v>8.98</v>
      </c>
      <c r="U67" s="198">
        <v>368.29</v>
      </c>
      <c r="V67" s="199">
        <v>0.24</v>
      </c>
      <c r="W67" s="198">
        <v>9.98</v>
      </c>
      <c r="X67" s="199">
        <v>105.41</v>
      </c>
      <c r="Y67" s="198">
        <v>4325.12</v>
      </c>
      <c r="Z67" s="200">
        <v>8428.17</v>
      </c>
    </row>
    <row r="68" spans="2:26" ht="28.35" customHeight="1" x14ac:dyDescent="0.2">
      <c r="B68" s="204" t="s">
        <v>298</v>
      </c>
      <c r="C68" s="202" t="s">
        <v>299</v>
      </c>
      <c r="D68" s="203" t="s">
        <v>157</v>
      </c>
      <c r="E68" s="198">
        <v>3095.21</v>
      </c>
      <c r="F68" s="199">
        <v>76.03</v>
      </c>
      <c r="G68" s="198">
        <v>2353.29</v>
      </c>
      <c r="H68" s="199">
        <v>25.09</v>
      </c>
      <c r="I68" s="198">
        <v>776.57</v>
      </c>
      <c r="J68" s="199">
        <v>0</v>
      </c>
      <c r="K68" s="198">
        <v>0</v>
      </c>
      <c r="L68" s="199">
        <v>0</v>
      </c>
      <c r="M68" s="198">
        <v>0</v>
      </c>
      <c r="N68" s="199">
        <v>2.52</v>
      </c>
      <c r="O68" s="198">
        <v>78.12</v>
      </c>
      <c r="P68" s="199">
        <v>0.22</v>
      </c>
      <c r="Q68" s="198">
        <v>6.86</v>
      </c>
      <c r="R68" s="199">
        <v>0</v>
      </c>
      <c r="S68" s="198">
        <v>0</v>
      </c>
      <c r="T68" s="199">
        <v>11.9</v>
      </c>
      <c r="U68" s="198">
        <v>368.29</v>
      </c>
      <c r="V68" s="199">
        <v>0.32</v>
      </c>
      <c r="W68" s="198">
        <v>9.98</v>
      </c>
      <c r="X68" s="199">
        <v>116.09</v>
      </c>
      <c r="Y68" s="198">
        <v>3593.11</v>
      </c>
      <c r="Z68" s="200">
        <v>6688.32</v>
      </c>
    </row>
    <row r="69" spans="2:26" ht="28.35" customHeight="1" x14ac:dyDescent="0.2">
      <c r="B69" s="204" t="s">
        <v>14</v>
      </c>
      <c r="C69" s="202" t="s">
        <v>15</v>
      </c>
      <c r="D69" s="203" t="s">
        <v>157</v>
      </c>
      <c r="E69" s="198">
        <v>2352.85</v>
      </c>
      <c r="F69" s="199">
        <v>75.510000000000005</v>
      </c>
      <c r="G69" s="198">
        <v>1776.63</v>
      </c>
      <c r="H69" s="199">
        <v>33.01</v>
      </c>
      <c r="I69" s="198">
        <v>776.57</v>
      </c>
      <c r="J69" s="199">
        <v>1.28</v>
      </c>
      <c r="K69" s="198">
        <v>30.02</v>
      </c>
      <c r="L69" s="199">
        <v>0</v>
      </c>
      <c r="M69" s="198">
        <v>0</v>
      </c>
      <c r="N69" s="199">
        <v>5.21</v>
      </c>
      <c r="O69" s="198">
        <v>122.66</v>
      </c>
      <c r="P69" s="199">
        <v>0.24</v>
      </c>
      <c r="Q69" s="198">
        <v>5.71</v>
      </c>
      <c r="R69" s="199">
        <v>0</v>
      </c>
      <c r="S69" s="198">
        <v>0</v>
      </c>
      <c r="T69" s="199">
        <v>15.65</v>
      </c>
      <c r="U69" s="198">
        <v>368.29</v>
      </c>
      <c r="V69" s="199">
        <v>0.42</v>
      </c>
      <c r="W69" s="198">
        <v>9.98</v>
      </c>
      <c r="X69" s="199">
        <v>131.32</v>
      </c>
      <c r="Y69" s="198">
        <v>3089.86</v>
      </c>
      <c r="Z69" s="200">
        <v>5442.71</v>
      </c>
    </row>
    <row r="70" spans="2:26" ht="28.35" customHeight="1" x14ac:dyDescent="0.2">
      <c r="B70" s="204" t="s">
        <v>300</v>
      </c>
      <c r="C70" s="202" t="s">
        <v>301</v>
      </c>
      <c r="D70" s="203" t="s">
        <v>157</v>
      </c>
      <c r="E70" s="198">
        <v>3166.98</v>
      </c>
      <c r="F70" s="199">
        <v>76.02</v>
      </c>
      <c r="G70" s="198">
        <v>2407.54</v>
      </c>
      <c r="H70" s="199">
        <v>24.52</v>
      </c>
      <c r="I70" s="198">
        <v>776.57</v>
      </c>
      <c r="J70" s="199">
        <v>0.95</v>
      </c>
      <c r="K70" s="198">
        <v>30.02</v>
      </c>
      <c r="L70" s="199">
        <v>0</v>
      </c>
      <c r="M70" s="198">
        <v>0</v>
      </c>
      <c r="N70" s="199">
        <v>2.33</v>
      </c>
      <c r="O70" s="198">
        <v>73.819999999999993</v>
      </c>
      <c r="P70" s="199">
        <v>0.18</v>
      </c>
      <c r="Q70" s="198">
        <v>5.69</v>
      </c>
      <c r="R70" s="199">
        <v>0</v>
      </c>
      <c r="S70" s="198">
        <v>0</v>
      </c>
      <c r="T70" s="199">
        <v>11.63</v>
      </c>
      <c r="U70" s="198">
        <v>368.29</v>
      </c>
      <c r="V70" s="199">
        <v>0.32</v>
      </c>
      <c r="W70" s="198">
        <v>9.98</v>
      </c>
      <c r="X70" s="199">
        <v>115.94</v>
      </c>
      <c r="Y70" s="198">
        <v>3671.9</v>
      </c>
      <c r="Z70" s="200">
        <v>6838.88</v>
      </c>
    </row>
    <row r="71" spans="2:26" ht="28.35" customHeight="1" x14ac:dyDescent="0.2">
      <c r="B71" s="204" t="s">
        <v>302</v>
      </c>
      <c r="C71" s="202" t="s">
        <v>303</v>
      </c>
      <c r="D71" s="203" t="s">
        <v>157</v>
      </c>
      <c r="E71" s="198">
        <v>3435.51</v>
      </c>
      <c r="F71" s="199">
        <v>76.02</v>
      </c>
      <c r="G71" s="198">
        <v>2611.67</v>
      </c>
      <c r="H71" s="199">
        <v>22.6</v>
      </c>
      <c r="I71" s="198">
        <v>776.57</v>
      </c>
      <c r="J71" s="199">
        <v>0.87</v>
      </c>
      <c r="K71" s="198">
        <v>30.02</v>
      </c>
      <c r="L71" s="199">
        <v>0</v>
      </c>
      <c r="M71" s="198">
        <v>0</v>
      </c>
      <c r="N71" s="199">
        <v>1.68</v>
      </c>
      <c r="O71" s="198">
        <v>57.7</v>
      </c>
      <c r="P71" s="199">
        <v>0.2</v>
      </c>
      <c r="Q71" s="198">
        <v>6.89</v>
      </c>
      <c r="R71" s="199">
        <v>0</v>
      </c>
      <c r="S71" s="198">
        <v>0</v>
      </c>
      <c r="T71" s="199">
        <v>10.72</v>
      </c>
      <c r="U71" s="198">
        <v>368.29</v>
      </c>
      <c r="V71" s="199">
        <v>0.28999999999999998</v>
      </c>
      <c r="W71" s="198">
        <v>9.98</v>
      </c>
      <c r="X71" s="199">
        <v>112.39</v>
      </c>
      <c r="Y71" s="198">
        <v>3861.13</v>
      </c>
      <c r="Z71" s="200">
        <v>7296.64</v>
      </c>
    </row>
    <row r="72" spans="2:26" ht="28.35" customHeight="1" x14ac:dyDescent="0.2">
      <c r="B72" s="204" t="s">
        <v>304</v>
      </c>
      <c r="C72" s="202" t="s">
        <v>305</v>
      </c>
      <c r="D72" s="203" t="s">
        <v>157</v>
      </c>
      <c r="E72" s="198">
        <v>4601.83</v>
      </c>
      <c r="F72" s="199">
        <v>76.17</v>
      </c>
      <c r="G72" s="198">
        <v>3505.21</v>
      </c>
      <c r="H72" s="199">
        <v>16.88</v>
      </c>
      <c r="I72" s="198">
        <v>776.57</v>
      </c>
      <c r="J72" s="199">
        <v>0.65</v>
      </c>
      <c r="K72" s="198">
        <v>30.02</v>
      </c>
      <c r="L72" s="199">
        <v>0</v>
      </c>
      <c r="M72" s="198">
        <v>0</v>
      </c>
      <c r="N72" s="199">
        <v>0</v>
      </c>
      <c r="O72" s="198">
        <v>0</v>
      </c>
      <c r="P72" s="199">
        <v>0.15</v>
      </c>
      <c r="Q72" s="198">
        <v>7.01</v>
      </c>
      <c r="R72" s="199">
        <v>0</v>
      </c>
      <c r="S72" s="198">
        <v>0</v>
      </c>
      <c r="T72" s="199">
        <v>8</v>
      </c>
      <c r="U72" s="198">
        <v>368.29</v>
      </c>
      <c r="V72" s="199">
        <v>0.22</v>
      </c>
      <c r="W72" s="198">
        <v>9.98</v>
      </c>
      <c r="X72" s="199">
        <v>102.07</v>
      </c>
      <c r="Y72" s="198">
        <v>4697.08</v>
      </c>
      <c r="Z72" s="200">
        <v>9298.91</v>
      </c>
    </row>
    <row r="73" spans="2:26" ht="28.35" customHeight="1" x14ac:dyDescent="0.2">
      <c r="B73" s="204" t="s">
        <v>306</v>
      </c>
      <c r="C73" s="202" t="s">
        <v>307</v>
      </c>
      <c r="D73" s="203" t="s">
        <v>157</v>
      </c>
      <c r="E73" s="198">
        <v>3075.29</v>
      </c>
      <c r="F73" s="199">
        <v>75.37</v>
      </c>
      <c r="G73" s="198">
        <v>2317.84</v>
      </c>
      <c r="H73" s="199">
        <v>25.25</v>
      </c>
      <c r="I73" s="198">
        <v>776.57</v>
      </c>
      <c r="J73" s="199">
        <v>0.98</v>
      </c>
      <c r="K73" s="198">
        <v>30.02</v>
      </c>
      <c r="L73" s="199">
        <v>0</v>
      </c>
      <c r="M73" s="198">
        <v>0</v>
      </c>
      <c r="N73" s="199">
        <v>2.58</v>
      </c>
      <c r="O73" s="198">
        <v>79.319999999999993</v>
      </c>
      <c r="P73" s="199">
        <v>0.15</v>
      </c>
      <c r="Q73" s="198">
        <v>4.47</v>
      </c>
      <c r="R73" s="199">
        <v>0</v>
      </c>
      <c r="S73" s="198">
        <v>0</v>
      </c>
      <c r="T73" s="199">
        <v>11.98</v>
      </c>
      <c r="U73" s="198">
        <v>368.29</v>
      </c>
      <c r="V73" s="199">
        <v>0.32</v>
      </c>
      <c r="W73" s="198">
        <v>9.98</v>
      </c>
      <c r="X73" s="199">
        <v>116.62</v>
      </c>
      <c r="Y73" s="198">
        <v>3586.48</v>
      </c>
      <c r="Z73" s="200">
        <v>6661.77</v>
      </c>
    </row>
    <row r="74" spans="2:26" ht="28.35" customHeight="1" x14ac:dyDescent="0.2">
      <c r="B74" s="204" t="s">
        <v>308</v>
      </c>
      <c r="C74" s="202" t="s">
        <v>309</v>
      </c>
      <c r="D74" s="203" t="s">
        <v>157</v>
      </c>
      <c r="E74" s="198">
        <v>2733.1</v>
      </c>
      <c r="F74" s="199">
        <v>75.8</v>
      </c>
      <c r="G74" s="198">
        <v>2071.69</v>
      </c>
      <c r="H74" s="199">
        <v>28.41</v>
      </c>
      <c r="I74" s="198">
        <v>776.57</v>
      </c>
      <c r="J74" s="199">
        <v>1.1000000000000001</v>
      </c>
      <c r="K74" s="198">
        <v>30.02</v>
      </c>
      <c r="L74" s="199">
        <v>0</v>
      </c>
      <c r="M74" s="198">
        <v>0</v>
      </c>
      <c r="N74" s="199">
        <v>3.65</v>
      </c>
      <c r="O74" s="198">
        <v>99.85</v>
      </c>
      <c r="P74" s="199">
        <v>0.23</v>
      </c>
      <c r="Q74" s="198">
        <v>6.18</v>
      </c>
      <c r="R74" s="199">
        <v>0</v>
      </c>
      <c r="S74" s="198">
        <v>0</v>
      </c>
      <c r="T74" s="199">
        <v>13.48</v>
      </c>
      <c r="U74" s="198">
        <v>368.29</v>
      </c>
      <c r="V74" s="199">
        <v>0.37</v>
      </c>
      <c r="W74" s="198">
        <v>9.98</v>
      </c>
      <c r="X74" s="199">
        <v>123.03</v>
      </c>
      <c r="Y74" s="198">
        <v>3362.58</v>
      </c>
      <c r="Z74" s="200">
        <v>6095.68</v>
      </c>
    </row>
    <row r="75" spans="2:26" ht="28.35" customHeight="1" x14ac:dyDescent="0.2">
      <c r="B75" s="204" t="s">
        <v>310</v>
      </c>
      <c r="C75" s="202" t="s">
        <v>311</v>
      </c>
      <c r="D75" s="203" t="s">
        <v>157</v>
      </c>
      <c r="E75" s="198">
        <v>2897.16</v>
      </c>
      <c r="F75" s="199">
        <v>76.03</v>
      </c>
      <c r="G75" s="198">
        <v>2202.71</v>
      </c>
      <c r="H75" s="199">
        <v>26.8</v>
      </c>
      <c r="I75" s="198">
        <v>776.57</v>
      </c>
      <c r="J75" s="199">
        <v>0</v>
      </c>
      <c r="K75" s="198">
        <v>0</v>
      </c>
      <c r="L75" s="199">
        <v>0</v>
      </c>
      <c r="M75" s="198">
        <v>0</v>
      </c>
      <c r="N75" s="199">
        <v>3.11</v>
      </c>
      <c r="O75" s="198">
        <v>90</v>
      </c>
      <c r="P75" s="199">
        <v>0.22</v>
      </c>
      <c r="Q75" s="198">
        <v>6.39</v>
      </c>
      <c r="R75" s="199">
        <v>0</v>
      </c>
      <c r="S75" s="198">
        <v>0</v>
      </c>
      <c r="T75" s="199">
        <v>12.71</v>
      </c>
      <c r="U75" s="198">
        <v>368.29</v>
      </c>
      <c r="V75" s="199">
        <v>0.34</v>
      </c>
      <c r="W75" s="198">
        <v>9.98</v>
      </c>
      <c r="X75" s="199">
        <v>119.22</v>
      </c>
      <c r="Y75" s="198">
        <v>3453.94</v>
      </c>
      <c r="Z75" s="200">
        <v>6351.1</v>
      </c>
    </row>
    <row r="76" spans="2:26" ht="28.35" customHeight="1" x14ac:dyDescent="0.2">
      <c r="B76" s="204" t="s">
        <v>312</v>
      </c>
      <c r="C76" s="202" t="s">
        <v>313</v>
      </c>
      <c r="D76" s="203" t="s">
        <v>157</v>
      </c>
      <c r="E76" s="198">
        <v>3862.88</v>
      </c>
      <c r="F76" s="199">
        <v>76.03</v>
      </c>
      <c r="G76" s="198">
        <v>2936.95</v>
      </c>
      <c r="H76" s="199">
        <v>20.100000000000001</v>
      </c>
      <c r="I76" s="198">
        <v>776.57</v>
      </c>
      <c r="J76" s="199">
        <v>0</v>
      </c>
      <c r="K76" s="198">
        <v>0</v>
      </c>
      <c r="L76" s="199">
        <v>0</v>
      </c>
      <c r="M76" s="198">
        <v>0</v>
      </c>
      <c r="N76" s="199">
        <v>0.83</v>
      </c>
      <c r="O76" s="198">
        <v>32.06</v>
      </c>
      <c r="P76" s="199">
        <v>0.17</v>
      </c>
      <c r="Q76" s="198">
        <v>6.39</v>
      </c>
      <c r="R76" s="199">
        <v>0</v>
      </c>
      <c r="S76" s="198">
        <v>0</v>
      </c>
      <c r="T76" s="199">
        <v>9.5299999999999994</v>
      </c>
      <c r="U76" s="198">
        <v>368.29</v>
      </c>
      <c r="V76" s="199">
        <v>0.26</v>
      </c>
      <c r="W76" s="198">
        <v>9.98</v>
      </c>
      <c r="X76" s="199">
        <v>106.92</v>
      </c>
      <c r="Y76" s="198">
        <v>4130.2299999999996</v>
      </c>
      <c r="Z76" s="200">
        <v>7993.11</v>
      </c>
    </row>
    <row r="77" spans="2:26" ht="28.35" customHeight="1" x14ac:dyDescent="0.2">
      <c r="B77" s="204" t="s">
        <v>314</v>
      </c>
      <c r="C77" s="202" t="s">
        <v>315</v>
      </c>
      <c r="D77" s="203" t="s">
        <v>157</v>
      </c>
      <c r="E77" s="198">
        <v>6211.44</v>
      </c>
      <c r="F77" s="199">
        <v>76.03</v>
      </c>
      <c r="G77" s="198">
        <v>4722.55</v>
      </c>
      <c r="H77" s="199">
        <v>12.5</v>
      </c>
      <c r="I77" s="198">
        <v>776.57</v>
      </c>
      <c r="J77" s="199">
        <v>0</v>
      </c>
      <c r="K77" s="198">
        <v>0</v>
      </c>
      <c r="L77" s="199">
        <v>0</v>
      </c>
      <c r="M77" s="198">
        <v>0</v>
      </c>
      <c r="N77" s="199">
        <v>0</v>
      </c>
      <c r="O77" s="198">
        <v>0</v>
      </c>
      <c r="P77" s="199">
        <v>0.1</v>
      </c>
      <c r="Q77" s="198">
        <v>6.39</v>
      </c>
      <c r="R77" s="199">
        <v>0</v>
      </c>
      <c r="S77" s="198">
        <v>0</v>
      </c>
      <c r="T77" s="199">
        <v>5.93</v>
      </c>
      <c r="U77" s="198">
        <v>368.29</v>
      </c>
      <c r="V77" s="199">
        <v>0.16</v>
      </c>
      <c r="W77" s="198">
        <v>9.98</v>
      </c>
      <c r="X77" s="199">
        <v>94.72</v>
      </c>
      <c r="Y77" s="198">
        <v>5883.78</v>
      </c>
      <c r="Z77" s="200">
        <v>12095.21</v>
      </c>
    </row>
    <row r="78" spans="2:26" ht="28.35" customHeight="1" x14ac:dyDescent="0.2">
      <c r="B78" s="204" t="s">
        <v>316</v>
      </c>
      <c r="C78" s="202" t="s">
        <v>317</v>
      </c>
      <c r="D78" s="203" t="s">
        <v>157</v>
      </c>
      <c r="E78" s="198">
        <v>3748.45</v>
      </c>
      <c r="F78" s="199">
        <v>75.510000000000005</v>
      </c>
      <c r="G78" s="198">
        <v>2830.46</v>
      </c>
      <c r="H78" s="199">
        <v>20.72</v>
      </c>
      <c r="I78" s="198">
        <v>776.57</v>
      </c>
      <c r="J78" s="199">
        <v>0</v>
      </c>
      <c r="K78" s="198">
        <v>0</v>
      </c>
      <c r="L78" s="199">
        <v>0</v>
      </c>
      <c r="M78" s="198">
        <v>0</v>
      </c>
      <c r="N78" s="199">
        <v>1.04</v>
      </c>
      <c r="O78" s="198">
        <v>38.93</v>
      </c>
      <c r="P78" s="199">
        <v>0.12</v>
      </c>
      <c r="Q78" s="198">
        <v>4.38</v>
      </c>
      <c r="R78" s="199">
        <v>0</v>
      </c>
      <c r="S78" s="198">
        <v>0</v>
      </c>
      <c r="T78" s="199">
        <v>9.83</v>
      </c>
      <c r="U78" s="198">
        <v>368.29</v>
      </c>
      <c r="V78" s="199">
        <v>0.27</v>
      </c>
      <c r="W78" s="198">
        <v>9.98</v>
      </c>
      <c r="X78" s="199">
        <v>107.47</v>
      </c>
      <c r="Y78" s="198">
        <v>4028.6</v>
      </c>
      <c r="Z78" s="200">
        <v>7777.05</v>
      </c>
    </row>
    <row r="79" spans="2:26" ht="28.35" customHeight="1" x14ac:dyDescent="0.2">
      <c r="B79" s="204" t="s">
        <v>318</v>
      </c>
      <c r="C79" s="202" t="s">
        <v>319</v>
      </c>
      <c r="D79" s="203" t="s">
        <v>157</v>
      </c>
      <c r="E79" s="198">
        <v>4997.9399999999996</v>
      </c>
      <c r="F79" s="199">
        <v>75.510000000000005</v>
      </c>
      <c r="G79" s="198">
        <v>3773.94</v>
      </c>
      <c r="H79" s="199">
        <v>15.54</v>
      </c>
      <c r="I79" s="198">
        <v>776.57</v>
      </c>
      <c r="J79" s="199">
        <v>0</v>
      </c>
      <c r="K79" s="198">
        <v>0</v>
      </c>
      <c r="L79" s="199">
        <v>0</v>
      </c>
      <c r="M79" s="198">
        <v>0</v>
      </c>
      <c r="N79" s="199">
        <v>0</v>
      </c>
      <c r="O79" s="198">
        <v>0</v>
      </c>
      <c r="P79" s="199">
        <v>0.09</v>
      </c>
      <c r="Q79" s="198">
        <v>4.38</v>
      </c>
      <c r="R79" s="199">
        <v>0</v>
      </c>
      <c r="S79" s="198">
        <v>0</v>
      </c>
      <c r="T79" s="199">
        <v>7.37</v>
      </c>
      <c r="U79" s="198">
        <v>368.29</v>
      </c>
      <c r="V79" s="199">
        <v>0.2</v>
      </c>
      <c r="W79" s="198">
        <v>9.98</v>
      </c>
      <c r="X79" s="199">
        <v>98.7</v>
      </c>
      <c r="Y79" s="198">
        <v>4933.16</v>
      </c>
      <c r="Z79" s="200">
        <v>9931.09</v>
      </c>
    </row>
    <row r="80" spans="2:26" ht="28.35" customHeight="1" x14ac:dyDescent="0.2">
      <c r="B80" s="204" t="s">
        <v>320</v>
      </c>
      <c r="C80" s="202" t="s">
        <v>321</v>
      </c>
      <c r="D80" s="203" t="s">
        <v>157</v>
      </c>
      <c r="E80" s="198">
        <v>9000.3799999999992</v>
      </c>
      <c r="F80" s="199">
        <v>75.510000000000005</v>
      </c>
      <c r="G80" s="198">
        <v>6796.18</v>
      </c>
      <c r="H80" s="199">
        <v>8.6300000000000008</v>
      </c>
      <c r="I80" s="198">
        <v>776.57</v>
      </c>
      <c r="J80" s="199">
        <v>0</v>
      </c>
      <c r="K80" s="198">
        <v>0</v>
      </c>
      <c r="L80" s="199">
        <v>0</v>
      </c>
      <c r="M80" s="198">
        <v>0</v>
      </c>
      <c r="N80" s="199">
        <v>0</v>
      </c>
      <c r="O80" s="198">
        <v>0</v>
      </c>
      <c r="P80" s="199">
        <v>0.05</v>
      </c>
      <c r="Q80" s="198">
        <v>4.38</v>
      </c>
      <c r="R80" s="199">
        <v>0</v>
      </c>
      <c r="S80" s="198">
        <v>0</v>
      </c>
      <c r="T80" s="199">
        <v>4.09</v>
      </c>
      <c r="U80" s="198">
        <v>368.29</v>
      </c>
      <c r="V80" s="199">
        <v>0.11</v>
      </c>
      <c r="W80" s="198">
        <v>9.98</v>
      </c>
      <c r="X80" s="199">
        <v>88.39</v>
      </c>
      <c r="Y80" s="198">
        <v>7955.4</v>
      </c>
      <c r="Z80" s="200">
        <v>16955.78</v>
      </c>
    </row>
    <row r="81" spans="2:26" ht="28.35" customHeight="1" x14ac:dyDescent="0.2">
      <c r="B81" s="204" t="s">
        <v>322</v>
      </c>
      <c r="C81" s="202" t="s">
        <v>323</v>
      </c>
      <c r="D81" s="203" t="s">
        <v>157</v>
      </c>
      <c r="E81" s="198">
        <v>3148.89</v>
      </c>
      <c r="F81" s="199">
        <v>75.52</v>
      </c>
      <c r="G81" s="198">
        <v>2378.04</v>
      </c>
      <c r="H81" s="199">
        <v>24.66</v>
      </c>
      <c r="I81" s="198">
        <v>776.57</v>
      </c>
      <c r="J81" s="199">
        <v>0</v>
      </c>
      <c r="K81" s="198">
        <v>0</v>
      </c>
      <c r="L81" s="199">
        <v>0</v>
      </c>
      <c r="M81" s="198">
        <v>0</v>
      </c>
      <c r="N81" s="199">
        <v>2.38</v>
      </c>
      <c r="O81" s="198">
        <v>74.900000000000006</v>
      </c>
      <c r="P81" s="199">
        <v>0.14000000000000001</v>
      </c>
      <c r="Q81" s="198">
        <v>4.47</v>
      </c>
      <c r="R81" s="199">
        <v>0</v>
      </c>
      <c r="S81" s="198">
        <v>0</v>
      </c>
      <c r="T81" s="199">
        <v>11.7</v>
      </c>
      <c r="U81" s="198">
        <v>368.29</v>
      </c>
      <c r="V81" s="199">
        <v>0.32</v>
      </c>
      <c r="W81" s="198">
        <v>9.98</v>
      </c>
      <c r="X81" s="199">
        <v>114.72</v>
      </c>
      <c r="Y81" s="198">
        <v>3612.25</v>
      </c>
      <c r="Z81" s="200">
        <v>6761.14</v>
      </c>
    </row>
    <row r="82" spans="2:26" ht="28.35" customHeight="1" x14ac:dyDescent="0.2">
      <c r="B82" s="204" t="s">
        <v>324</v>
      </c>
      <c r="C82" s="202" t="s">
        <v>325</v>
      </c>
      <c r="D82" s="203" t="s">
        <v>157</v>
      </c>
      <c r="E82" s="198">
        <v>12443.57</v>
      </c>
      <c r="F82" s="199">
        <v>75.150000000000006</v>
      </c>
      <c r="G82" s="198">
        <v>9351.34</v>
      </c>
      <c r="H82" s="199">
        <v>6.24</v>
      </c>
      <c r="I82" s="198">
        <v>776.57</v>
      </c>
      <c r="J82" s="199">
        <v>0.22</v>
      </c>
      <c r="K82" s="198">
        <v>26.77</v>
      </c>
      <c r="L82" s="199">
        <v>0</v>
      </c>
      <c r="M82" s="198">
        <v>0</v>
      </c>
      <c r="N82" s="199">
        <v>0</v>
      </c>
      <c r="O82" s="198">
        <v>0</v>
      </c>
      <c r="P82" s="199">
        <v>0.04</v>
      </c>
      <c r="Q82" s="198">
        <v>4.5</v>
      </c>
      <c r="R82" s="199">
        <v>0</v>
      </c>
      <c r="S82" s="198">
        <v>0</v>
      </c>
      <c r="T82" s="199">
        <v>2.96</v>
      </c>
      <c r="U82" s="198">
        <v>368.29</v>
      </c>
      <c r="V82" s="199">
        <v>0.08</v>
      </c>
      <c r="W82" s="198">
        <v>9.98</v>
      </c>
      <c r="X82" s="199">
        <v>84.68</v>
      </c>
      <c r="Y82" s="198">
        <v>10537.45</v>
      </c>
      <c r="Z82" s="200">
        <v>22981.02</v>
      </c>
    </row>
    <row r="83" spans="2:26" ht="28.35" customHeight="1" x14ac:dyDescent="0.2">
      <c r="B83" s="204" t="s">
        <v>326</v>
      </c>
      <c r="C83" s="202" t="s">
        <v>327</v>
      </c>
      <c r="D83" s="203" t="s">
        <v>157</v>
      </c>
      <c r="E83" s="198">
        <v>14879.13</v>
      </c>
      <c r="F83" s="199">
        <v>75.150000000000006</v>
      </c>
      <c r="G83" s="198">
        <v>11181.66</v>
      </c>
      <c r="H83" s="199">
        <v>5.22</v>
      </c>
      <c r="I83" s="198">
        <v>776.57</v>
      </c>
      <c r="J83" s="199">
        <v>0.18</v>
      </c>
      <c r="K83" s="198">
        <v>26.77</v>
      </c>
      <c r="L83" s="199">
        <v>0</v>
      </c>
      <c r="M83" s="198">
        <v>0</v>
      </c>
      <c r="N83" s="199">
        <v>0</v>
      </c>
      <c r="O83" s="198">
        <v>0</v>
      </c>
      <c r="P83" s="199">
        <v>0.03</v>
      </c>
      <c r="Q83" s="198">
        <v>4.5</v>
      </c>
      <c r="R83" s="199">
        <v>0</v>
      </c>
      <c r="S83" s="198">
        <v>0</v>
      </c>
      <c r="T83" s="199">
        <v>2.48</v>
      </c>
      <c r="U83" s="198">
        <v>368.29</v>
      </c>
      <c r="V83" s="199">
        <v>7.0000000000000007E-2</v>
      </c>
      <c r="W83" s="198">
        <v>9.98</v>
      </c>
      <c r="X83" s="199">
        <v>83.12</v>
      </c>
      <c r="Y83" s="198">
        <v>12367.78</v>
      </c>
      <c r="Z83" s="200">
        <v>27246.9</v>
      </c>
    </row>
    <row r="84" spans="2:26" ht="28.35" customHeight="1" x14ac:dyDescent="0.2">
      <c r="B84" s="204" t="s">
        <v>328</v>
      </c>
      <c r="C84" s="202" t="s">
        <v>329</v>
      </c>
      <c r="D84" s="203" t="s">
        <v>157</v>
      </c>
      <c r="E84" s="198">
        <v>17314.689999999999</v>
      </c>
      <c r="F84" s="199">
        <v>75.150000000000006</v>
      </c>
      <c r="G84" s="198">
        <v>13011.99</v>
      </c>
      <c r="H84" s="199">
        <v>4.49</v>
      </c>
      <c r="I84" s="198">
        <v>776.57</v>
      </c>
      <c r="J84" s="199">
        <v>0.15</v>
      </c>
      <c r="K84" s="198">
        <v>26.77</v>
      </c>
      <c r="L84" s="199">
        <v>0</v>
      </c>
      <c r="M84" s="198">
        <v>0</v>
      </c>
      <c r="N84" s="199">
        <v>0</v>
      </c>
      <c r="O84" s="198">
        <v>0</v>
      </c>
      <c r="P84" s="199">
        <v>0.03</v>
      </c>
      <c r="Q84" s="198">
        <v>4.5</v>
      </c>
      <c r="R84" s="199">
        <v>0</v>
      </c>
      <c r="S84" s="198">
        <v>0</v>
      </c>
      <c r="T84" s="199">
        <v>2.13</v>
      </c>
      <c r="U84" s="198">
        <v>368.29</v>
      </c>
      <c r="V84" s="199">
        <v>0.06</v>
      </c>
      <c r="W84" s="198">
        <v>9.98</v>
      </c>
      <c r="X84" s="199">
        <v>82</v>
      </c>
      <c r="Y84" s="198">
        <v>14198.1</v>
      </c>
      <c r="Z84" s="200">
        <v>31512.79</v>
      </c>
    </row>
    <row r="85" spans="2:26" ht="28.35" customHeight="1" x14ac:dyDescent="0.2">
      <c r="B85" s="204" t="s">
        <v>330</v>
      </c>
      <c r="C85" s="202" t="s">
        <v>331</v>
      </c>
      <c r="D85" s="203" t="s">
        <v>157</v>
      </c>
      <c r="E85" s="198">
        <v>4231.6099999999997</v>
      </c>
      <c r="F85" s="199">
        <v>75.42</v>
      </c>
      <c r="G85" s="198">
        <v>3191.48</v>
      </c>
      <c r="H85" s="199">
        <v>18.350000000000001</v>
      </c>
      <c r="I85" s="198">
        <v>776.57</v>
      </c>
      <c r="J85" s="199">
        <v>0.63</v>
      </c>
      <c r="K85" s="198">
        <v>26.77</v>
      </c>
      <c r="L85" s="199">
        <v>0</v>
      </c>
      <c r="M85" s="198">
        <v>0</v>
      </c>
      <c r="N85" s="199">
        <v>0.23</v>
      </c>
      <c r="O85" s="198">
        <v>9.94</v>
      </c>
      <c r="P85" s="199">
        <v>0.12</v>
      </c>
      <c r="Q85" s="198">
        <v>5.09</v>
      </c>
      <c r="R85" s="199">
        <v>0</v>
      </c>
      <c r="S85" s="198">
        <v>0</v>
      </c>
      <c r="T85" s="199">
        <v>8.6999999999999993</v>
      </c>
      <c r="U85" s="198">
        <v>368.29</v>
      </c>
      <c r="V85" s="199">
        <v>0.24</v>
      </c>
      <c r="W85" s="198">
        <v>9.98</v>
      </c>
      <c r="X85" s="199">
        <v>103.7</v>
      </c>
      <c r="Y85" s="198">
        <v>4388.12</v>
      </c>
      <c r="Z85" s="200">
        <v>8619.73</v>
      </c>
    </row>
    <row r="86" spans="2:26" ht="28.35" customHeight="1" x14ac:dyDescent="0.2">
      <c r="B86" s="204" t="s">
        <v>332</v>
      </c>
      <c r="C86" s="202" t="s">
        <v>333</v>
      </c>
      <c r="D86" s="203" t="s">
        <v>157</v>
      </c>
      <c r="E86" s="198">
        <v>5642.15</v>
      </c>
      <c r="F86" s="199">
        <v>75.42</v>
      </c>
      <c r="G86" s="198">
        <v>4255.3100000000004</v>
      </c>
      <c r="H86" s="199">
        <v>13.76</v>
      </c>
      <c r="I86" s="198">
        <v>776.57</v>
      </c>
      <c r="J86" s="199">
        <v>0.47</v>
      </c>
      <c r="K86" s="198">
        <v>26.77</v>
      </c>
      <c r="L86" s="199">
        <v>0</v>
      </c>
      <c r="M86" s="198">
        <v>0</v>
      </c>
      <c r="N86" s="199">
        <v>0</v>
      </c>
      <c r="O86" s="198">
        <v>0</v>
      </c>
      <c r="P86" s="199">
        <v>0.09</v>
      </c>
      <c r="Q86" s="198">
        <v>5.09</v>
      </c>
      <c r="R86" s="199">
        <v>0</v>
      </c>
      <c r="S86" s="198">
        <v>0</v>
      </c>
      <c r="T86" s="199">
        <v>6.53</v>
      </c>
      <c r="U86" s="198">
        <v>368.29</v>
      </c>
      <c r="V86" s="199">
        <v>0.18</v>
      </c>
      <c r="W86" s="198">
        <v>9.98</v>
      </c>
      <c r="X86" s="199">
        <v>96.45</v>
      </c>
      <c r="Y86" s="198">
        <v>5442.01</v>
      </c>
      <c r="Z86" s="200">
        <v>11084.16</v>
      </c>
    </row>
    <row r="87" spans="2:26" ht="28.35" customHeight="1" x14ac:dyDescent="0.2">
      <c r="B87" s="204" t="s">
        <v>334</v>
      </c>
      <c r="C87" s="202" t="s">
        <v>335</v>
      </c>
      <c r="D87" s="203" t="s">
        <v>157</v>
      </c>
      <c r="E87" s="198">
        <v>11036.33</v>
      </c>
      <c r="F87" s="199">
        <v>75.42</v>
      </c>
      <c r="G87" s="198">
        <v>8323.6</v>
      </c>
      <c r="H87" s="199">
        <v>7.04</v>
      </c>
      <c r="I87" s="198">
        <v>776.57</v>
      </c>
      <c r="J87" s="199">
        <v>0.24</v>
      </c>
      <c r="K87" s="198">
        <v>26.77</v>
      </c>
      <c r="L87" s="199">
        <v>0</v>
      </c>
      <c r="M87" s="198">
        <v>0</v>
      </c>
      <c r="N87" s="199">
        <v>0</v>
      </c>
      <c r="O87" s="198">
        <v>0</v>
      </c>
      <c r="P87" s="199">
        <v>0.05</v>
      </c>
      <c r="Q87" s="198">
        <v>5.09</v>
      </c>
      <c r="R87" s="199">
        <v>0</v>
      </c>
      <c r="S87" s="198">
        <v>0</v>
      </c>
      <c r="T87" s="199">
        <v>3.34</v>
      </c>
      <c r="U87" s="198">
        <v>368.29</v>
      </c>
      <c r="V87" s="199">
        <v>0.09</v>
      </c>
      <c r="W87" s="198">
        <v>9.98</v>
      </c>
      <c r="X87" s="199">
        <v>86.17</v>
      </c>
      <c r="Y87" s="198">
        <v>9510.2999999999993</v>
      </c>
      <c r="Z87" s="200">
        <v>20546.63</v>
      </c>
    </row>
    <row r="88" spans="2:26" ht="28.35" customHeight="1" x14ac:dyDescent="0.2">
      <c r="B88" s="204" t="s">
        <v>336</v>
      </c>
      <c r="C88" s="202" t="s">
        <v>337</v>
      </c>
      <c r="D88" s="203" t="s">
        <v>157</v>
      </c>
      <c r="E88" s="198">
        <v>3668.08</v>
      </c>
      <c r="F88" s="199">
        <v>76.09</v>
      </c>
      <c r="G88" s="198">
        <v>2791.04</v>
      </c>
      <c r="H88" s="199">
        <v>21.17</v>
      </c>
      <c r="I88" s="198">
        <v>776.57</v>
      </c>
      <c r="J88" s="199">
        <v>0.73</v>
      </c>
      <c r="K88" s="198">
        <v>26.77</v>
      </c>
      <c r="L88" s="199">
        <v>0</v>
      </c>
      <c r="M88" s="198">
        <v>0</v>
      </c>
      <c r="N88" s="199">
        <v>1.19</v>
      </c>
      <c r="O88" s="198">
        <v>43.75</v>
      </c>
      <c r="P88" s="199">
        <v>0.18</v>
      </c>
      <c r="Q88" s="198">
        <v>6.59</v>
      </c>
      <c r="R88" s="199">
        <v>0</v>
      </c>
      <c r="S88" s="198">
        <v>0</v>
      </c>
      <c r="T88" s="199">
        <v>10.039999999999999</v>
      </c>
      <c r="U88" s="198">
        <v>368.29</v>
      </c>
      <c r="V88" s="199">
        <v>0.27</v>
      </c>
      <c r="W88" s="198">
        <v>9.98</v>
      </c>
      <c r="X88" s="199">
        <v>109.68</v>
      </c>
      <c r="Y88" s="198">
        <v>4023</v>
      </c>
      <c r="Z88" s="200">
        <v>7691.08</v>
      </c>
    </row>
    <row r="89" spans="2:26" ht="28.35" customHeight="1" x14ac:dyDescent="0.2">
      <c r="B89" s="204" t="s">
        <v>338</v>
      </c>
      <c r="C89" s="202" t="s">
        <v>339</v>
      </c>
      <c r="D89" s="203" t="s">
        <v>157</v>
      </c>
      <c r="E89" s="198">
        <v>4890.7700000000004</v>
      </c>
      <c r="F89" s="199">
        <v>76.09</v>
      </c>
      <c r="G89" s="198">
        <v>3721.39</v>
      </c>
      <c r="H89" s="199">
        <v>15.88</v>
      </c>
      <c r="I89" s="198">
        <v>776.57</v>
      </c>
      <c r="J89" s="199">
        <v>0.55000000000000004</v>
      </c>
      <c r="K89" s="198">
        <v>26.77</v>
      </c>
      <c r="L89" s="199">
        <v>0</v>
      </c>
      <c r="M89" s="198">
        <v>0</v>
      </c>
      <c r="N89" s="199">
        <v>0</v>
      </c>
      <c r="O89" s="198">
        <v>0</v>
      </c>
      <c r="P89" s="199">
        <v>0.13</v>
      </c>
      <c r="Q89" s="198">
        <v>6.59</v>
      </c>
      <c r="R89" s="199">
        <v>0</v>
      </c>
      <c r="S89" s="198">
        <v>0</v>
      </c>
      <c r="T89" s="199">
        <v>7.53</v>
      </c>
      <c r="U89" s="198">
        <v>368.29</v>
      </c>
      <c r="V89" s="199">
        <v>0.2</v>
      </c>
      <c r="W89" s="198">
        <v>9.98</v>
      </c>
      <c r="X89" s="199">
        <v>100.38</v>
      </c>
      <c r="Y89" s="198">
        <v>4909.6000000000004</v>
      </c>
      <c r="Z89" s="200">
        <v>9800.3700000000008</v>
      </c>
    </row>
    <row r="90" spans="2:26" ht="28.35" customHeight="1" x14ac:dyDescent="0.2">
      <c r="B90" s="204" t="s">
        <v>340</v>
      </c>
      <c r="C90" s="202" t="s">
        <v>341</v>
      </c>
      <c r="D90" s="203" t="s">
        <v>157</v>
      </c>
      <c r="E90" s="198">
        <v>8135.18</v>
      </c>
      <c r="F90" s="199">
        <v>76.09</v>
      </c>
      <c r="G90" s="198">
        <v>6190.06</v>
      </c>
      <c r="H90" s="199">
        <v>9.5500000000000007</v>
      </c>
      <c r="I90" s="198">
        <v>776.57</v>
      </c>
      <c r="J90" s="199">
        <v>0.33</v>
      </c>
      <c r="K90" s="198">
        <v>26.77</v>
      </c>
      <c r="L90" s="199">
        <v>0</v>
      </c>
      <c r="M90" s="198">
        <v>0</v>
      </c>
      <c r="N90" s="199">
        <v>0</v>
      </c>
      <c r="O90" s="198">
        <v>0</v>
      </c>
      <c r="P90" s="199">
        <v>0.08</v>
      </c>
      <c r="Q90" s="198">
        <v>6.59</v>
      </c>
      <c r="R90" s="199">
        <v>0</v>
      </c>
      <c r="S90" s="198">
        <v>0</v>
      </c>
      <c r="T90" s="199">
        <v>4.53</v>
      </c>
      <c r="U90" s="198">
        <v>368.29</v>
      </c>
      <c r="V90" s="199">
        <v>0.12</v>
      </c>
      <c r="W90" s="198">
        <v>9.98</v>
      </c>
      <c r="X90" s="199">
        <v>90.7</v>
      </c>
      <c r="Y90" s="198">
        <v>7378.26</v>
      </c>
      <c r="Z90" s="200">
        <v>15513.44</v>
      </c>
    </row>
    <row r="91" spans="2:26" ht="28.35" customHeight="1" x14ac:dyDescent="0.2">
      <c r="B91" s="204" t="s">
        <v>342</v>
      </c>
      <c r="C91" s="202" t="s">
        <v>343</v>
      </c>
      <c r="D91" s="203" t="s">
        <v>157</v>
      </c>
      <c r="E91" s="198">
        <v>3174.03</v>
      </c>
      <c r="F91" s="199">
        <v>75.77</v>
      </c>
      <c r="G91" s="198">
        <v>2404.96</v>
      </c>
      <c r="H91" s="199">
        <v>24.47</v>
      </c>
      <c r="I91" s="198">
        <v>776.57</v>
      </c>
      <c r="J91" s="199">
        <v>0.84</v>
      </c>
      <c r="K91" s="198">
        <v>26.77</v>
      </c>
      <c r="L91" s="199">
        <v>0</v>
      </c>
      <c r="M91" s="198">
        <v>0</v>
      </c>
      <c r="N91" s="199">
        <v>2.31</v>
      </c>
      <c r="O91" s="198">
        <v>73.39</v>
      </c>
      <c r="P91" s="199">
        <v>0.18</v>
      </c>
      <c r="Q91" s="198">
        <v>5.85</v>
      </c>
      <c r="R91" s="199">
        <v>0</v>
      </c>
      <c r="S91" s="198">
        <v>0</v>
      </c>
      <c r="T91" s="199">
        <v>11.6</v>
      </c>
      <c r="U91" s="198">
        <v>368.29</v>
      </c>
      <c r="V91" s="199">
        <v>0.31</v>
      </c>
      <c r="W91" s="198">
        <v>9.98</v>
      </c>
      <c r="X91" s="199">
        <v>115.49</v>
      </c>
      <c r="Y91" s="198">
        <v>3665.81</v>
      </c>
      <c r="Z91" s="200">
        <v>6839.83</v>
      </c>
    </row>
    <row r="92" spans="2:26" ht="28.35" customHeight="1" x14ac:dyDescent="0.2">
      <c r="B92" s="204" t="s">
        <v>344</v>
      </c>
      <c r="C92" s="202" t="s">
        <v>345</v>
      </c>
      <c r="D92" s="203" t="s">
        <v>157</v>
      </c>
      <c r="E92" s="198">
        <v>4232.03</v>
      </c>
      <c r="F92" s="199">
        <v>75.77</v>
      </c>
      <c r="G92" s="198">
        <v>3206.61</v>
      </c>
      <c r="H92" s="199">
        <v>18.350000000000001</v>
      </c>
      <c r="I92" s="198">
        <v>776.57</v>
      </c>
      <c r="J92" s="199">
        <v>0.63</v>
      </c>
      <c r="K92" s="198">
        <v>26.77</v>
      </c>
      <c r="L92" s="199">
        <v>0</v>
      </c>
      <c r="M92" s="198">
        <v>0</v>
      </c>
      <c r="N92" s="199">
        <v>0.23</v>
      </c>
      <c r="O92" s="198">
        <v>9.91</v>
      </c>
      <c r="P92" s="199">
        <v>0.14000000000000001</v>
      </c>
      <c r="Q92" s="198">
        <v>5.85</v>
      </c>
      <c r="R92" s="199">
        <v>0</v>
      </c>
      <c r="S92" s="198">
        <v>0</v>
      </c>
      <c r="T92" s="199">
        <v>8.6999999999999993</v>
      </c>
      <c r="U92" s="198">
        <v>368.29</v>
      </c>
      <c r="V92" s="199">
        <v>0.24</v>
      </c>
      <c r="W92" s="198">
        <v>9.98</v>
      </c>
      <c r="X92" s="199">
        <v>104.06</v>
      </c>
      <c r="Y92" s="198">
        <v>4403.9799999999996</v>
      </c>
      <c r="Z92" s="200">
        <v>8636.02</v>
      </c>
    </row>
    <row r="93" spans="2:26" ht="28.35" customHeight="1" x14ac:dyDescent="0.2">
      <c r="B93" s="204" t="s">
        <v>346</v>
      </c>
      <c r="C93" s="202" t="s">
        <v>347</v>
      </c>
      <c r="D93" s="203" t="s">
        <v>157</v>
      </c>
      <c r="E93" s="198">
        <v>6543.04</v>
      </c>
      <c r="F93" s="199">
        <v>75.77</v>
      </c>
      <c r="G93" s="198">
        <v>4957.66</v>
      </c>
      <c r="H93" s="199">
        <v>11.87</v>
      </c>
      <c r="I93" s="198">
        <v>776.57</v>
      </c>
      <c r="J93" s="199">
        <v>0.41</v>
      </c>
      <c r="K93" s="198">
        <v>26.77</v>
      </c>
      <c r="L93" s="199">
        <v>0</v>
      </c>
      <c r="M93" s="198">
        <v>0</v>
      </c>
      <c r="N93" s="199">
        <v>0</v>
      </c>
      <c r="O93" s="198">
        <v>0</v>
      </c>
      <c r="P93" s="199">
        <v>0.09</v>
      </c>
      <c r="Q93" s="198">
        <v>5.85</v>
      </c>
      <c r="R93" s="199">
        <v>0</v>
      </c>
      <c r="S93" s="198">
        <v>0</v>
      </c>
      <c r="T93" s="199">
        <v>5.63</v>
      </c>
      <c r="U93" s="198">
        <v>368.29</v>
      </c>
      <c r="V93" s="199">
        <v>0.15</v>
      </c>
      <c r="W93" s="198">
        <v>9.98</v>
      </c>
      <c r="X93" s="199">
        <v>93.92</v>
      </c>
      <c r="Y93" s="198">
        <v>6145.12</v>
      </c>
      <c r="Z93" s="200">
        <v>12688.16</v>
      </c>
    </row>
    <row r="94" spans="2:26" ht="28.35" customHeight="1" x14ac:dyDescent="0.2">
      <c r="B94" s="204" t="s">
        <v>348</v>
      </c>
      <c r="C94" s="202" t="s">
        <v>349</v>
      </c>
      <c r="D94" s="203" t="s">
        <v>157</v>
      </c>
      <c r="E94" s="198">
        <v>4666.95</v>
      </c>
      <c r="F94" s="199">
        <v>80.81</v>
      </c>
      <c r="G94" s="198">
        <v>3771.36</v>
      </c>
      <c r="H94" s="199">
        <v>16.64</v>
      </c>
      <c r="I94" s="198">
        <v>776.57</v>
      </c>
      <c r="J94" s="199">
        <v>0.56999999999999995</v>
      </c>
      <c r="K94" s="198">
        <v>26.77</v>
      </c>
      <c r="L94" s="199">
        <v>0</v>
      </c>
      <c r="M94" s="198">
        <v>0</v>
      </c>
      <c r="N94" s="199">
        <v>0</v>
      </c>
      <c r="O94" s="198">
        <v>0</v>
      </c>
      <c r="P94" s="199">
        <v>0.27</v>
      </c>
      <c r="Q94" s="198">
        <v>12.7</v>
      </c>
      <c r="R94" s="199">
        <v>0</v>
      </c>
      <c r="S94" s="198">
        <v>0</v>
      </c>
      <c r="T94" s="199">
        <v>7.89</v>
      </c>
      <c r="U94" s="198">
        <v>368.29</v>
      </c>
      <c r="V94" s="199">
        <v>0.21</v>
      </c>
      <c r="W94" s="198">
        <v>9.98</v>
      </c>
      <c r="X94" s="199">
        <v>106.4</v>
      </c>
      <c r="Y94" s="198">
        <v>4965.68</v>
      </c>
      <c r="Z94" s="200">
        <v>9632.6299999999992</v>
      </c>
    </row>
    <row r="95" spans="2:26" ht="27.75" customHeight="1" x14ac:dyDescent="0.2">
      <c r="B95" s="204" t="s">
        <v>350</v>
      </c>
      <c r="C95" s="202" t="s">
        <v>351</v>
      </c>
      <c r="D95" s="203" t="s">
        <v>157</v>
      </c>
      <c r="E95" s="198">
        <v>6222.6</v>
      </c>
      <c r="F95" s="199">
        <v>80.81</v>
      </c>
      <c r="G95" s="198">
        <v>5028.49</v>
      </c>
      <c r="H95" s="199">
        <v>12.48</v>
      </c>
      <c r="I95" s="198">
        <v>776.57</v>
      </c>
      <c r="J95" s="199">
        <v>0.43</v>
      </c>
      <c r="K95" s="198">
        <v>26.77</v>
      </c>
      <c r="L95" s="199">
        <v>0</v>
      </c>
      <c r="M95" s="198">
        <v>0</v>
      </c>
      <c r="N95" s="199">
        <v>0</v>
      </c>
      <c r="O95" s="198">
        <v>0</v>
      </c>
      <c r="P95" s="199">
        <v>0.2</v>
      </c>
      <c r="Q95" s="198">
        <v>12.7</v>
      </c>
      <c r="R95" s="199">
        <v>0</v>
      </c>
      <c r="S95" s="198">
        <v>0</v>
      </c>
      <c r="T95" s="199">
        <v>5.92</v>
      </c>
      <c r="U95" s="198">
        <v>368.29</v>
      </c>
      <c r="V95" s="199">
        <v>0.16</v>
      </c>
      <c r="W95" s="198">
        <v>9.98</v>
      </c>
      <c r="X95" s="199">
        <v>100</v>
      </c>
      <c r="Y95" s="198">
        <v>6222.8</v>
      </c>
      <c r="Z95" s="200">
        <v>12445.4</v>
      </c>
    </row>
    <row r="96" spans="2:26" ht="27.75" customHeight="1" x14ac:dyDescent="0.2">
      <c r="B96" s="204" t="s">
        <v>352</v>
      </c>
      <c r="C96" s="202" t="s">
        <v>353</v>
      </c>
      <c r="D96" s="203" t="s">
        <v>157</v>
      </c>
      <c r="E96" s="198">
        <v>10549.66</v>
      </c>
      <c r="F96" s="199">
        <v>80.81</v>
      </c>
      <c r="G96" s="198">
        <v>8525.18</v>
      </c>
      <c r="H96" s="199">
        <v>7.36</v>
      </c>
      <c r="I96" s="198">
        <v>776.57</v>
      </c>
      <c r="J96" s="199">
        <v>0.25</v>
      </c>
      <c r="K96" s="198">
        <v>26.77</v>
      </c>
      <c r="L96" s="199">
        <v>0</v>
      </c>
      <c r="M96" s="198">
        <v>0</v>
      </c>
      <c r="N96" s="199">
        <v>0</v>
      </c>
      <c r="O96" s="198">
        <v>0</v>
      </c>
      <c r="P96" s="199">
        <v>0.12</v>
      </c>
      <c r="Q96" s="198">
        <v>12.7</v>
      </c>
      <c r="R96" s="199">
        <v>0</v>
      </c>
      <c r="S96" s="198">
        <v>0</v>
      </c>
      <c r="T96" s="199">
        <v>3.49</v>
      </c>
      <c r="U96" s="198">
        <v>368.29</v>
      </c>
      <c r="V96" s="199">
        <v>0.09</v>
      </c>
      <c r="W96" s="198">
        <v>9.98</v>
      </c>
      <c r="X96" s="199">
        <v>92.13</v>
      </c>
      <c r="Y96" s="198">
        <v>9719.49</v>
      </c>
      <c r="Z96" s="200">
        <v>20269.150000000001</v>
      </c>
    </row>
    <row r="97" spans="2:27" ht="27.75" customHeight="1" x14ac:dyDescent="0.2">
      <c r="B97" s="204" t="s">
        <v>354</v>
      </c>
      <c r="C97" s="202" t="s">
        <v>355</v>
      </c>
      <c r="D97" s="203" t="s">
        <v>157</v>
      </c>
      <c r="E97" s="198">
        <v>3668.08</v>
      </c>
      <c r="F97" s="199">
        <v>76.09</v>
      </c>
      <c r="G97" s="198">
        <v>2791.04</v>
      </c>
      <c r="H97" s="199">
        <v>21.17</v>
      </c>
      <c r="I97" s="198">
        <v>776.57</v>
      </c>
      <c r="J97" s="199">
        <v>0.73</v>
      </c>
      <c r="K97" s="198">
        <v>26.77</v>
      </c>
      <c r="L97" s="199">
        <v>0</v>
      </c>
      <c r="M97" s="198">
        <v>0</v>
      </c>
      <c r="N97" s="199">
        <v>1.19</v>
      </c>
      <c r="O97" s="198">
        <v>43.75</v>
      </c>
      <c r="P97" s="199">
        <v>0.18</v>
      </c>
      <c r="Q97" s="198">
        <v>6.59</v>
      </c>
      <c r="R97" s="199">
        <v>0</v>
      </c>
      <c r="S97" s="198">
        <v>0</v>
      </c>
      <c r="T97" s="199">
        <v>10.039999999999999</v>
      </c>
      <c r="U97" s="198">
        <v>368.29</v>
      </c>
      <c r="V97" s="199">
        <v>0.27</v>
      </c>
      <c r="W97" s="198">
        <v>9.98</v>
      </c>
      <c r="X97" s="199">
        <v>109.68</v>
      </c>
      <c r="Y97" s="198">
        <v>4023</v>
      </c>
      <c r="Z97" s="200">
        <v>7691.08</v>
      </c>
    </row>
    <row r="98" spans="2:27" ht="27.75" customHeight="1" x14ac:dyDescent="0.2">
      <c r="B98" s="204" t="s">
        <v>356</v>
      </c>
      <c r="C98" s="202" t="s">
        <v>357</v>
      </c>
      <c r="D98" s="203" t="s">
        <v>157</v>
      </c>
      <c r="E98" s="198">
        <v>4890.7700000000004</v>
      </c>
      <c r="F98" s="199">
        <v>76.09</v>
      </c>
      <c r="G98" s="198">
        <v>3721.39</v>
      </c>
      <c r="H98" s="199">
        <v>15.88</v>
      </c>
      <c r="I98" s="198">
        <v>776.57</v>
      </c>
      <c r="J98" s="199">
        <v>0.55000000000000004</v>
      </c>
      <c r="K98" s="198">
        <v>26.77</v>
      </c>
      <c r="L98" s="199">
        <v>0</v>
      </c>
      <c r="M98" s="198">
        <v>0</v>
      </c>
      <c r="N98" s="199">
        <v>0</v>
      </c>
      <c r="O98" s="198">
        <v>0</v>
      </c>
      <c r="P98" s="199">
        <v>0.13</v>
      </c>
      <c r="Q98" s="198">
        <v>6.59</v>
      </c>
      <c r="R98" s="199">
        <v>0</v>
      </c>
      <c r="S98" s="198">
        <v>0</v>
      </c>
      <c r="T98" s="199">
        <v>7.53</v>
      </c>
      <c r="U98" s="198">
        <v>368.29</v>
      </c>
      <c r="V98" s="199">
        <v>0.2</v>
      </c>
      <c r="W98" s="198">
        <v>9.98</v>
      </c>
      <c r="X98" s="199">
        <v>100.38</v>
      </c>
      <c r="Y98" s="198">
        <v>4909.6000000000004</v>
      </c>
      <c r="Z98" s="200">
        <v>9800.3700000000008</v>
      </c>
    </row>
    <row r="99" spans="2:27" ht="27.75" customHeight="1" x14ac:dyDescent="0.2">
      <c r="B99" s="204" t="s">
        <v>358</v>
      </c>
      <c r="C99" s="202" t="s">
        <v>359</v>
      </c>
      <c r="D99" s="203" t="s">
        <v>157</v>
      </c>
      <c r="E99" s="198">
        <v>8135.18</v>
      </c>
      <c r="F99" s="199">
        <v>76.09</v>
      </c>
      <c r="G99" s="198">
        <v>6190.06</v>
      </c>
      <c r="H99" s="199">
        <v>9.5500000000000007</v>
      </c>
      <c r="I99" s="198">
        <v>776.57</v>
      </c>
      <c r="J99" s="199">
        <v>0.33</v>
      </c>
      <c r="K99" s="198">
        <v>26.77</v>
      </c>
      <c r="L99" s="199">
        <v>0</v>
      </c>
      <c r="M99" s="198">
        <v>0</v>
      </c>
      <c r="N99" s="199">
        <v>0</v>
      </c>
      <c r="O99" s="198">
        <v>0</v>
      </c>
      <c r="P99" s="199">
        <v>0.08</v>
      </c>
      <c r="Q99" s="198">
        <v>6.59</v>
      </c>
      <c r="R99" s="199">
        <v>0</v>
      </c>
      <c r="S99" s="198">
        <v>0</v>
      </c>
      <c r="T99" s="199">
        <v>4.53</v>
      </c>
      <c r="U99" s="198">
        <v>368.29</v>
      </c>
      <c r="V99" s="199">
        <v>0.12</v>
      </c>
      <c r="W99" s="198">
        <v>9.98</v>
      </c>
      <c r="X99" s="199">
        <v>90.7</v>
      </c>
      <c r="Y99" s="198">
        <v>7378.26</v>
      </c>
      <c r="Z99" s="200">
        <v>15513.44</v>
      </c>
    </row>
    <row r="100" spans="2:27" ht="27.75" customHeight="1" x14ac:dyDescent="0.2">
      <c r="B100" s="204" t="s">
        <v>360</v>
      </c>
      <c r="C100" s="202" t="s">
        <v>361</v>
      </c>
      <c r="D100" s="203" t="s">
        <v>157</v>
      </c>
      <c r="E100" s="198">
        <v>4718.21</v>
      </c>
      <c r="F100" s="199">
        <v>81.13</v>
      </c>
      <c r="G100" s="198">
        <v>3827.89</v>
      </c>
      <c r="H100" s="199">
        <v>16.46</v>
      </c>
      <c r="I100" s="198">
        <v>776.57</v>
      </c>
      <c r="J100" s="199">
        <v>0.56999999999999995</v>
      </c>
      <c r="K100" s="198">
        <v>26.77</v>
      </c>
      <c r="L100" s="199">
        <v>0</v>
      </c>
      <c r="M100" s="198">
        <v>0</v>
      </c>
      <c r="N100" s="199">
        <v>0</v>
      </c>
      <c r="O100" s="198">
        <v>0</v>
      </c>
      <c r="P100" s="199">
        <v>0.28000000000000003</v>
      </c>
      <c r="Q100" s="198">
        <v>13.14</v>
      </c>
      <c r="R100" s="199">
        <v>0</v>
      </c>
      <c r="S100" s="198">
        <v>0</v>
      </c>
      <c r="T100" s="199">
        <v>7.81</v>
      </c>
      <c r="U100" s="198">
        <v>368.29</v>
      </c>
      <c r="V100" s="199">
        <v>0.21</v>
      </c>
      <c r="W100" s="198">
        <v>9.98</v>
      </c>
      <c r="X100" s="199">
        <v>106.45</v>
      </c>
      <c r="Y100" s="198">
        <v>5022.6400000000003</v>
      </c>
      <c r="Z100" s="200">
        <v>9740.85</v>
      </c>
    </row>
    <row r="101" spans="2:27" ht="27.75" customHeight="1" x14ac:dyDescent="0.2">
      <c r="B101" s="218" t="s">
        <v>362</v>
      </c>
      <c r="C101" s="219" t="s">
        <v>363</v>
      </c>
      <c r="D101" s="220" t="s">
        <v>364</v>
      </c>
      <c r="E101" s="198">
        <v>6290.95</v>
      </c>
      <c r="F101" s="199">
        <v>81.13</v>
      </c>
      <c r="G101" s="198">
        <v>5103.8500000000004</v>
      </c>
      <c r="H101" s="199">
        <v>12.34</v>
      </c>
      <c r="I101" s="198">
        <v>776.57</v>
      </c>
      <c r="J101" s="199">
        <v>0.43</v>
      </c>
      <c r="K101" s="198">
        <v>26.77</v>
      </c>
      <c r="L101" s="199">
        <v>0</v>
      </c>
      <c r="M101" s="198">
        <v>0</v>
      </c>
      <c r="N101" s="199">
        <v>0</v>
      </c>
      <c r="O101" s="198">
        <v>0</v>
      </c>
      <c r="P101" s="199">
        <v>0.21</v>
      </c>
      <c r="Q101" s="198">
        <v>13.14</v>
      </c>
      <c r="R101" s="199">
        <v>0</v>
      </c>
      <c r="S101" s="198">
        <v>0</v>
      </c>
      <c r="T101" s="199">
        <v>5.85</v>
      </c>
      <c r="U101" s="198">
        <v>368.29</v>
      </c>
      <c r="V101" s="199">
        <v>0.16</v>
      </c>
      <c r="W101" s="198">
        <v>9.98</v>
      </c>
      <c r="X101" s="199">
        <v>100.12</v>
      </c>
      <c r="Y101" s="198">
        <v>6298.6</v>
      </c>
      <c r="Z101" s="200">
        <v>12589.55</v>
      </c>
    </row>
    <row r="102" spans="2:27" ht="28.35" customHeight="1" x14ac:dyDescent="0.2">
      <c r="B102" s="205"/>
      <c r="C102" s="206"/>
      <c r="D102" s="206"/>
      <c r="E102" s="198">
        <v>10455.99</v>
      </c>
      <c r="F102" s="199">
        <v>81.13</v>
      </c>
      <c r="G102" s="198">
        <v>8482.94</v>
      </c>
      <c r="H102" s="199">
        <v>7.43</v>
      </c>
      <c r="I102" s="198">
        <v>776.57</v>
      </c>
      <c r="J102" s="199">
        <v>0.26</v>
      </c>
      <c r="K102" s="198">
        <v>26.77</v>
      </c>
      <c r="L102" s="199">
        <v>0</v>
      </c>
      <c r="M102" s="198">
        <v>0</v>
      </c>
      <c r="N102" s="199">
        <v>0</v>
      </c>
      <c r="O102" s="198">
        <v>0</v>
      </c>
      <c r="P102" s="199">
        <v>0.13</v>
      </c>
      <c r="Q102" s="198">
        <v>13.14</v>
      </c>
      <c r="R102" s="199">
        <v>0</v>
      </c>
      <c r="S102" s="198">
        <v>0</v>
      </c>
      <c r="T102" s="199">
        <v>3.52</v>
      </c>
      <c r="U102" s="198">
        <v>368.29</v>
      </c>
      <c r="V102" s="199">
        <v>0.1</v>
      </c>
      <c r="W102" s="198">
        <v>9.98</v>
      </c>
      <c r="X102" s="199">
        <v>92.56</v>
      </c>
      <c r="Y102" s="198">
        <v>9677.7000000000007</v>
      </c>
      <c r="Z102" s="200">
        <v>20133.68</v>
      </c>
      <c r="AA102" s="207"/>
    </row>
    <row r="103" spans="2:27" ht="28.35" customHeight="1" x14ac:dyDescent="0.2">
      <c r="B103" s="208"/>
      <c r="C103" s="209"/>
      <c r="D103" s="208"/>
      <c r="E103" s="198">
        <v>10.51</v>
      </c>
      <c r="F103" s="199">
        <v>109.23</v>
      </c>
      <c r="G103" s="198">
        <v>11.48</v>
      </c>
      <c r="H103" s="199">
        <v>40.479999999999997</v>
      </c>
      <c r="I103" s="198">
        <v>4.26</v>
      </c>
      <c r="J103" s="199">
        <v>1.7</v>
      </c>
      <c r="K103" s="198">
        <v>0.18</v>
      </c>
      <c r="L103" s="199">
        <v>0</v>
      </c>
      <c r="M103" s="198">
        <v>0</v>
      </c>
      <c r="N103" s="199">
        <v>6.52</v>
      </c>
      <c r="O103" s="198">
        <v>0.69</v>
      </c>
      <c r="P103" s="199">
        <v>0.24</v>
      </c>
      <c r="Q103" s="198">
        <v>0.03</v>
      </c>
      <c r="R103" s="199">
        <v>0</v>
      </c>
      <c r="S103" s="198">
        <v>0</v>
      </c>
      <c r="T103" s="199">
        <v>19.2</v>
      </c>
      <c r="U103" s="198">
        <v>2.02</v>
      </c>
      <c r="V103" s="199">
        <v>0.52</v>
      </c>
      <c r="W103" s="198">
        <v>0.05</v>
      </c>
      <c r="X103" s="199">
        <v>177.89</v>
      </c>
      <c r="Y103" s="198">
        <v>18.7</v>
      </c>
      <c r="Z103" s="200">
        <v>29.21</v>
      </c>
      <c r="AA103" s="207"/>
    </row>
    <row r="104" spans="2:27" ht="28.35" customHeight="1" x14ac:dyDescent="0.2">
      <c r="B104" s="210"/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Y104" s="211"/>
      <c r="Z104" s="211"/>
      <c r="AA104" s="207"/>
    </row>
    <row r="105" spans="2:27" ht="28.35" customHeight="1" x14ac:dyDescent="0.2">
      <c r="B105" s="212"/>
      <c r="C105" s="213"/>
      <c r="D105" s="213"/>
      <c r="E105" s="213"/>
      <c r="F105" s="213"/>
      <c r="G105" s="213"/>
      <c r="H105" s="213"/>
      <c r="I105" s="213"/>
      <c r="J105" s="213"/>
      <c r="K105" s="213"/>
      <c r="L105" s="213"/>
      <c r="M105" s="213"/>
      <c r="N105" s="213"/>
      <c r="O105" s="213"/>
      <c r="P105" s="213"/>
      <c r="Q105" s="213"/>
      <c r="R105" s="213"/>
      <c r="S105" s="213"/>
      <c r="T105" s="213"/>
      <c r="U105" s="213"/>
      <c r="V105" s="213"/>
      <c r="W105" s="213"/>
      <c r="X105" s="213"/>
      <c r="Y105" s="213"/>
      <c r="Z105" s="213"/>
      <c r="AA105" s="213"/>
    </row>
    <row r="106" spans="2:27" x14ac:dyDescent="0.2">
      <c r="B106" s="214"/>
      <c r="C106" s="215"/>
      <c r="D106" s="214"/>
      <c r="E106" s="216"/>
      <c r="F106" s="217"/>
      <c r="G106" s="216"/>
      <c r="H106" s="217"/>
      <c r="I106" s="216"/>
      <c r="J106" s="217"/>
      <c r="K106" s="216"/>
      <c r="L106" s="217"/>
      <c r="M106" s="216"/>
      <c r="N106" s="217"/>
      <c r="O106" s="216"/>
      <c r="P106" s="217"/>
      <c r="Q106" s="216"/>
      <c r="R106" s="217"/>
      <c r="S106" s="216"/>
      <c r="T106" s="217"/>
      <c r="U106" s="216"/>
      <c r="V106" s="217"/>
      <c r="W106" s="216"/>
      <c r="X106" s="217"/>
      <c r="Y106" s="216"/>
      <c r="Z106" s="216"/>
      <c r="AA106" s="213"/>
    </row>
    <row r="107" spans="2:27" x14ac:dyDescent="0.2">
      <c r="B107" s="214"/>
      <c r="C107" s="215"/>
      <c r="D107" s="214"/>
      <c r="E107" s="216"/>
      <c r="F107" s="217"/>
      <c r="G107" s="216"/>
      <c r="H107" s="217"/>
      <c r="I107" s="216"/>
      <c r="J107" s="217"/>
      <c r="K107" s="216"/>
      <c r="L107" s="217"/>
      <c r="M107" s="216"/>
      <c r="N107" s="217"/>
      <c r="O107" s="216"/>
      <c r="P107" s="217"/>
      <c r="Q107" s="216"/>
      <c r="R107" s="217"/>
      <c r="S107" s="216"/>
      <c r="T107" s="217"/>
      <c r="U107" s="216"/>
      <c r="V107" s="217"/>
      <c r="W107" s="216"/>
      <c r="X107" s="217"/>
      <c r="Y107" s="216"/>
      <c r="Z107" s="216"/>
      <c r="AA107" s="213"/>
    </row>
    <row r="108" spans="2:27" x14ac:dyDescent="0.2">
      <c r="B108" s="213"/>
      <c r="C108" s="213"/>
      <c r="D108" s="213"/>
      <c r="E108" s="213"/>
      <c r="F108" s="213"/>
      <c r="G108" s="213"/>
      <c r="H108" s="213"/>
      <c r="I108" s="213"/>
      <c r="J108" s="213"/>
      <c r="K108" s="213"/>
      <c r="L108" s="213"/>
      <c r="M108" s="213"/>
      <c r="N108" s="213"/>
      <c r="O108" s="213"/>
      <c r="P108" s="213"/>
      <c r="Q108" s="213"/>
      <c r="R108" s="213"/>
      <c r="S108" s="213"/>
      <c r="T108" s="213"/>
      <c r="U108" s="213"/>
      <c r="V108" s="213"/>
      <c r="W108" s="213"/>
      <c r="X108" s="213"/>
      <c r="Y108" s="213"/>
      <c r="Z108" s="213"/>
      <c r="AA108" s="213"/>
    </row>
  </sheetData>
  <mergeCells count="17">
    <mergeCell ref="V2:W2"/>
    <mergeCell ref="R1:W1"/>
    <mergeCell ref="X1:Y2"/>
    <mergeCell ref="Z1:Z2"/>
    <mergeCell ref="H2:I2"/>
    <mergeCell ref="J2:K2"/>
    <mergeCell ref="L2:M2"/>
    <mergeCell ref="N2:O2"/>
    <mergeCell ref="P2:Q2"/>
    <mergeCell ref="R2:S2"/>
    <mergeCell ref="T2:U2"/>
    <mergeCell ref="H1:Q1"/>
    <mergeCell ref="B1:B3"/>
    <mergeCell ref="C1:C3"/>
    <mergeCell ref="D1:D3"/>
    <mergeCell ref="E1:E2"/>
    <mergeCell ref="F1:G2"/>
  </mergeCells>
  <printOptions horizontalCentered="1"/>
  <pageMargins left="0.19685039370078741" right="0.19685039370078741" top="1.32" bottom="0.70866141732283472" header="0.19685039370078741" footer="0.19685039370078741"/>
  <pageSetup paperSize="9" scale="48" fitToWidth="0" fitToHeight="0" orientation="landscape" r:id="rId1"/>
  <headerFooter differentFirst="1">
    <oddHeader>&amp;C&amp;"Arial,Negrito"&amp;12&amp;G
&amp;22RELATÓRIO DE CONSOLIDAÇÃO DOS CUSTOS DE MÃO DE OBRA 
&amp;20Tabela 1 - Consolidação dos custos de mão de obra - Tabela de Preços de Consultoria - mês de referência: outubro de 2023 (&amp;P/&amp;N)</oddHeader>
    <oddFooter>&amp;C&amp;"Arial,Negrito"&amp;14
&amp;P&amp;11
&amp;G</oddFooter>
    <firstHeader>&amp;C&amp;"Arial,Negrito"&amp;G
&amp;22RELATÓRIO DE CONSOLIDAÇÃO DOS CUSTOS DE MÃO DE OBRA 
&amp;20Tabela 1 - Consolidação dos custos de mão de obra - Tabela de Preços de Consultoria - mês de referência: outubro de 2023</firstHeader>
    <firstFooter>&amp;C
&amp;14
&amp;"Arial,Negrito"&amp;P&amp;"Arial,Normal"&amp;11
&amp;G</firstFooter>
  </headerFooter>
  <rowBreaks count="3" manualBreakCount="3">
    <brk id="30" max="25" man="1"/>
    <brk id="58" max="25" man="1"/>
    <brk id="86" max="25" man="1"/>
  </rowBreaks>
  <colBreaks count="1" manualBreakCount="1">
    <brk id="26" max="102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10</vt:i4>
      </vt:variant>
    </vt:vector>
  </HeadingPairs>
  <TitlesOfParts>
    <vt:vector size="19" baseType="lpstr">
      <vt:lpstr>1 Quadro Resumo</vt:lpstr>
      <vt:lpstr>2 Cronograma</vt:lpstr>
      <vt:lpstr>3 Resumo do Orçamento</vt:lpstr>
      <vt:lpstr>4 Equipe Técnica</vt:lpstr>
      <vt:lpstr>5 Veículos</vt:lpstr>
      <vt:lpstr>6 Equipamentos</vt:lpstr>
      <vt:lpstr>7 Instalações</vt:lpstr>
      <vt:lpstr>DNIT_EQUIP</vt:lpstr>
      <vt:lpstr>DNIT_MDO</vt:lpstr>
      <vt:lpstr>'1 Quadro Resumo'!Area_de_impressao</vt:lpstr>
      <vt:lpstr>'2 Cronograma'!Area_de_impressao</vt:lpstr>
      <vt:lpstr>'3 Resumo do Orçamento'!Area_de_impressao</vt:lpstr>
      <vt:lpstr>'4 Equipe Técnica'!Area_de_impressao</vt:lpstr>
      <vt:lpstr>'5 Veículos'!Area_de_impressao</vt:lpstr>
      <vt:lpstr>'6 Equipamentos'!Area_de_impressao</vt:lpstr>
      <vt:lpstr>'7 Instalações'!Area_de_impressao</vt:lpstr>
      <vt:lpstr>DNIT_EQUIP!Area_de_impressao</vt:lpstr>
      <vt:lpstr>DNIT_MDO!Area_de_impressao</vt:lpstr>
      <vt:lpstr>DNIT_MDO!Titulos_de_impressao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Dourado de Assis</dc:creator>
  <cp:lastModifiedBy>Alenilson Ricartes de Oliveira</cp:lastModifiedBy>
  <cp:lastPrinted>2026-08-12T14:05:48Z</cp:lastPrinted>
  <dcterms:created xsi:type="dcterms:W3CDTF">2023-07-16T22:24:11Z</dcterms:created>
  <dcterms:modified xsi:type="dcterms:W3CDTF">2026-08-12T14:08:18Z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2023-07-16T22:29:07Z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5b3ac4c9-77a8-431b-a42b-411858876eca</vt:lpwstr>
  </property>
  <property fmtid="{D5CDD505-2E9C-101B-9397-08002B2CF9AE}" pid="7" name="MSIP_Label_defa4170-0d19-0005-0004-bc88714345d2_ActionId">
    <vt:lpwstr>78c0497f-a479-4556-ac75-c68bc9caa16c</vt:lpwstr>
  </property>
  <property fmtid="{D5CDD505-2E9C-101B-9397-08002B2CF9AE}" pid="8" name="MSIP_Label_defa4170-0d19-0005-0004-bc88714345d2_ContentBits">
    <vt:lpwstr>0</vt:lpwstr>
  </property>
</Properties>
</file>