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chartsheets/sheet1.xml" ContentType="application/vnd.openxmlformats-officedocument.spreadsheetml.chart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drawings/drawing19.xml" ContentType="application/vnd.openxmlformats-officedocument.drawing+xml"/>
  <Override PartName="/xl/drawings/drawing20.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EstaPasta_de_trabalho" defaultThemeVersion="164011"/>
  <mc:AlternateContent xmlns:mc="http://schemas.openxmlformats.org/markup-compatibility/2006">
    <mc:Choice Requires="x15">
      <x15ac:absPath xmlns:x15ac="http://schemas.microsoft.com/office/spreadsheetml/2010/11/ac" url="\\s1210.ms\SETORES\CTA\1. NOVO\2.PROCESSOS\PROCESSOS 2025\79.009.850-2025 - Contratação de projeto executivo de engenharia para implantação do Aeródromo de Ribas do Rio Pardo\Orçamento\"/>
    </mc:Choice>
  </mc:AlternateContent>
  <bookViews>
    <workbookView xWindow="0" yWindow="0" windowWidth="14760" windowHeight="9015" tabRatio="947" firstSheet="13" activeTab="27"/>
  </bookViews>
  <sheets>
    <sheet name="Sumario" sheetId="2" r:id="rId1"/>
    <sheet name="Qd abrang" sheetId="1" r:id="rId2"/>
    <sheet name="Orcamento" sheetId="24" r:id="rId3"/>
    <sheet name="Graf crono fisico" sheetId="27" r:id="rId4"/>
    <sheet name="Crono medicoes" sheetId="38" r:id="rId5"/>
    <sheet name="Custos proj" sheetId="15" r:id="rId6"/>
    <sheet name="MO" sheetId="11" r:id="rId7"/>
    <sheet name="Veículos" sheetId="13" r:id="rId8"/>
    <sheet name="Equip + materiais" sheetId="17" r:id="rId9"/>
    <sheet name="Diárias + passagens" sheetId="16" r:id="rId10"/>
    <sheet name="Mob desmob MO" sheetId="18" r:id="rId11"/>
    <sheet name="Mob desmob equip rod" sheetId="14" r:id="rId12"/>
    <sheet name="Inst + diversos" sheetId="22" r:id="rId13"/>
    <sheet name="BDI OK" sheetId="35" r:id="rId14"/>
    <sheet name="Serv graf" sheetId="23" r:id="rId15"/>
    <sheet name="Produtividade" sheetId="6" r:id="rId16"/>
    <sheet name="Carac trecho" sheetId="29" r:id="rId17"/>
    <sheet name="Memo calc" sheetId="10" r:id="rId18"/>
    <sheet name="Crono fisico" sheetId="20" r:id="rId19"/>
    <sheet name="Histo esc" sheetId="19" r:id="rId20"/>
    <sheet name="Histo resid" sheetId="21" r:id="rId21"/>
    <sheet name="Listas" sheetId="7" r:id="rId22"/>
    <sheet name="Lista MO" sheetId="3" r:id="rId23"/>
    <sheet name="Lista veiculo+equip+mat" sheetId="4" r:id="rId24"/>
    <sheet name="Imóveis-Mobiliários-Cestas-Dive" sheetId="30" r:id="rId25"/>
    <sheet name="BDI" sheetId="31" r:id="rId26"/>
    <sheet name="Sudecap" sheetId="32" r:id="rId27"/>
    <sheet name="Curva ABC Insumos" sheetId="36" r:id="rId28"/>
    <sheet name="Curva ABC MO" sheetId="37" r:id="rId29"/>
  </sheets>
  <definedNames>
    <definedName name="_xlnm.Print_Area" localSheetId="13">'BDI OK'!$A$1:$G$29</definedName>
    <definedName name="_xlnm.Print_Area" localSheetId="16">'Carac trecho'!$A$1:$L$93</definedName>
    <definedName name="_xlnm.Print_Area" localSheetId="4">'Crono medicoes'!$A$1:$R$27</definedName>
    <definedName name="_xlnm.Print_Area" localSheetId="27">'Curva ABC Insumos'!$A$1:$H$52</definedName>
    <definedName name="_xlnm.Print_Area" localSheetId="28">'Curva ABC MO'!$A$1:$N$37</definedName>
    <definedName name="_xlnm.Print_Area" localSheetId="5">'Custos proj'!$A$1:$V$42</definedName>
    <definedName name="_xlnm.Print_Area" localSheetId="9">'Diárias + passagens'!$A$1:$M$73</definedName>
    <definedName name="_xlnm.Print_Area" localSheetId="8">'Equip + materiais'!$A$1:$L$25</definedName>
    <definedName name="_xlnm.Print_Area" localSheetId="12">'Inst + diversos'!$A$1:$N$44</definedName>
    <definedName name="_xlnm.Print_Area" localSheetId="22">'Lista MO'!$A$1:$E$104</definedName>
    <definedName name="_xlnm.Print_Area" localSheetId="6">MO!$A$1:$N$108</definedName>
    <definedName name="_xlnm.Print_Area" localSheetId="11">'Mob desmob equip rod'!$A$1:$R$59</definedName>
    <definedName name="_xlnm.Print_Area" localSheetId="10">'Mob desmob MO'!$A$1:$P$70</definedName>
    <definedName name="_xlnm.Print_Area" localSheetId="2">Orcamento!$A$1:$H$62</definedName>
    <definedName name="_xlnm.Print_Area" localSheetId="15">Produtividade!$A$1:$H$32</definedName>
    <definedName name="_xlnm.Print_Area" localSheetId="1">'Qd abrang'!$A$1:$AC$22</definedName>
    <definedName name="_xlnm.Print_Area" localSheetId="14">'Serv graf'!$A$1:$J$26</definedName>
    <definedName name="_xlnm.Print_Area" localSheetId="0">Sumario!$A$1:$J$36</definedName>
    <definedName name="_xlnm.Print_Area" localSheetId="7">Veículos!$A$1:$J$24</definedName>
    <definedName name="MO_Matriz">OFFSET('Lista MO'!$A$2,0,0,COUNTA('Lista MO'!$A:$A)-1,5)</definedName>
    <definedName name="_xlnm.Print_Titles" localSheetId="28">'Curva ABC MO'!$1:$13</definedName>
    <definedName name="_xlnm.Print_Titles" localSheetId="17">'Memo calc'!$1:$16</definedName>
    <definedName name="_xlnm.Print_Titles" localSheetId="6">MO!$1:$13</definedName>
    <definedName name="Veiculo_Equip_Matriz">OFFSET('Lista veiculo+equip+mat'!$B$2,0,0,COUNTA('Lista veiculo+equip+mat'!$B:$B)-1,10)</definedName>
  </definedNames>
  <calcPr calcId="162913"/>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H18" i="37" l="1"/>
  <c r="H17" i="37"/>
  <c r="H15" i="37"/>
  <c r="H14" i="37"/>
  <c r="C8" i="24" l="1"/>
  <c r="B1229" i="10" l="1"/>
  <c r="B713" i="10"/>
  <c r="B687" i="10"/>
  <c r="B493" i="10"/>
  <c r="B358" i="10"/>
  <c r="B104" i="10"/>
  <c r="B34" i="16"/>
  <c r="B29" i="18"/>
  <c r="B32" i="16"/>
  <c r="S15" i="38" l="1"/>
  <c r="S17" i="38"/>
  <c r="S19" i="38"/>
  <c r="S21" i="38"/>
  <c r="S23" i="38"/>
  <c r="C10" i="24"/>
  <c r="H23" i="37" l="1"/>
  <c r="E44" i="19"/>
  <c r="N25" i="38"/>
  <c r="O25" i="38"/>
  <c r="P25" i="38"/>
  <c r="Q25" i="38"/>
  <c r="H18" i="17"/>
  <c r="I18" i="17" s="1"/>
  <c r="H19" i="17"/>
  <c r="I19" i="17" s="1"/>
  <c r="G19" i="17"/>
  <c r="C19" i="17"/>
  <c r="D19" i="17" s="1"/>
  <c r="B18" i="17"/>
  <c r="B19" i="17"/>
  <c r="G91" i="11"/>
  <c r="G90" i="11"/>
  <c r="F91" i="11"/>
  <c r="F90" i="11"/>
  <c r="B91" i="11"/>
  <c r="C91" i="11" s="1"/>
  <c r="D91" i="11" s="1"/>
  <c r="B90" i="11"/>
  <c r="L90" i="11" s="1"/>
  <c r="M1414" i="10"/>
  <c r="M1415" i="10" s="1"/>
  <c r="C487" i="10"/>
  <c r="H39" i="29"/>
  <c r="I37" i="29"/>
  <c r="I36" i="29"/>
  <c r="C486" i="10"/>
  <c r="J1426" i="10"/>
  <c r="B1425" i="10"/>
  <c r="C1425" i="10" s="1"/>
  <c r="B1424" i="10"/>
  <c r="C1424" i="10" s="1"/>
  <c r="S1415" i="10"/>
  <c r="F1415" i="10"/>
  <c r="C1415" i="10"/>
  <c r="S1414" i="10"/>
  <c r="F1414" i="10"/>
  <c r="C1414" i="10"/>
  <c r="M1409" i="10"/>
  <c r="M1408" i="10"/>
  <c r="K1407" i="10"/>
  <c r="J1407" i="10"/>
  <c r="C10" i="36"/>
  <c r="M1461" i="10"/>
  <c r="I94" i="11" s="1"/>
  <c r="GU49" i="19"/>
  <c r="GV49" i="19"/>
  <c r="GW49" i="19"/>
  <c r="GX49" i="19"/>
  <c r="GY49" i="19"/>
  <c r="GZ49" i="19"/>
  <c r="FC12" i="19"/>
  <c r="FD12" i="19" s="1"/>
  <c r="FE12" i="19" s="1"/>
  <c r="FF12" i="19" s="1"/>
  <c r="FG12" i="19" s="1"/>
  <c r="FH12" i="19" s="1"/>
  <c r="FI12" i="19" s="1"/>
  <c r="FJ12" i="19" s="1"/>
  <c r="FK12" i="19" s="1"/>
  <c r="FL12" i="19" s="1"/>
  <c r="FM12" i="19" s="1"/>
  <c r="FN12" i="19" s="1"/>
  <c r="FO12" i="19" s="1"/>
  <c r="FP12" i="19" s="1"/>
  <c r="FQ12" i="19" s="1"/>
  <c r="FR12" i="19" s="1"/>
  <c r="FS12" i="19" s="1"/>
  <c r="FT12" i="19" s="1"/>
  <c r="FU12" i="19" s="1"/>
  <c r="FV12" i="19" s="1"/>
  <c r="FW12" i="19" s="1"/>
  <c r="FX12" i="19" s="1"/>
  <c r="FY12" i="19" s="1"/>
  <c r="FZ12" i="19" s="1"/>
  <c r="GA12" i="19" s="1"/>
  <c r="GB12" i="19" s="1"/>
  <c r="GC12" i="19" s="1"/>
  <c r="GD12" i="19" s="1"/>
  <c r="GE12" i="19" s="1"/>
  <c r="GF12" i="19" s="1"/>
  <c r="GG12" i="19" s="1"/>
  <c r="GH12" i="19" s="1"/>
  <c r="GI12" i="19" s="1"/>
  <c r="GJ12" i="19" s="1"/>
  <c r="GK12" i="19" s="1"/>
  <c r="GL12" i="19" s="1"/>
  <c r="GM12" i="19" s="1"/>
  <c r="GN12" i="19" s="1"/>
  <c r="GO12" i="19" s="1"/>
  <c r="GP12" i="19" s="1"/>
  <c r="GQ12" i="19" s="1"/>
  <c r="GR12" i="19" s="1"/>
  <c r="GS12" i="19" s="1"/>
  <c r="GT12" i="19" s="1"/>
  <c r="GU12" i="19" s="1"/>
  <c r="GV12" i="19" s="1"/>
  <c r="GW12" i="19" s="1"/>
  <c r="GX12" i="19" s="1"/>
  <c r="GY12" i="19" s="1"/>
  <c r="GZ12" i="19" s="1"/>
  <c r="HA12" i="19" s="1"/>
  <c r="HB12" i="19" s="1"/>
  <c r="HC12" i="19" s="1"/>
  <c r="HD12" i="19" s="1"/>
  <c r="HE12" i="19" s="1"/>
  <c r="HF12" i="19" s="1"/>
  <c r="HG12" i="19" s="1"/>
  <c r="HH12" i="19" s="1"/>
  <c r="HI12" i="19" s="1"/>
  <c r="HJ12" i="19" s="1"/>
  <c r="M1367" i="10"/>
  <c r="I88" i="11" s="1"/>
  <c r="M1366" i="10"/>
  <c r="I87" i="11" s="1"/>
  <c r="M1365" i="10"/>
  <c r="I86" i="11" s="1"/>
  <c r="M1462" i="10"/>
  <c r="I95" i="11" s="1"/>
  <c r="M1463" i="10"/>
  <c r="I96" i="11" s="1"/>
  <c r="G98" i="11"/>
  <c r="F98" i="11"/>
  <c r="B98" i="11"/>
  <c r="L98" i="11" s="1"/>
  <c r="F94" i="11"/>
  <c r="G94" i="11"/>
  <c r="F95" i="11"/>
  <c r="G95" i="11"/>
  <c r="F96" i="11"/>
  <c r="G96" i="11"/>
  <c r="G93" i="11"/>
  <c r="F93" i="11"/>
  <c r="B94" i="11"/>
  <c r="L94" i="11" s="1"/>
  <c r="B95" i="11"/>
  <c r="C95" i="11" s="1"/>
  <c r="D95" i="11" s="1"/>
  <c r="B96" i="11"/>
  <c r="E96" i="11" s="1"/>
  <c r="B93" i="11"/>
  <c r="L93" i="11" s="1"/>
  <c r="F86" i="11"/>
  <c r="G86" i="11"/>
  <c r="F87" i="11"/>
  <c r="G87" i="11"/>
  <c r="F88" i="11"/>
  <c r="G88" i="11"/>
  <c r="G85" i="11"/>
  <c r="F85" i="11"/>
  <c r="B86" i="11"/>
  <c r="E86" i="11" s="1"/>
  <c r="B87" i="11"/>
  <c r="L87" i="11" s="1"/>
  <c r="B88" i="11"/>
  <c r="C88" i="11" s="1"/>
  <c r="D88" i="11" s="1"/>
  <c r="B85" i="11"/>
  <c r="E85" i="11" s="1"/>
  <c r="J1520" i="10"/>
  <c r="GZ46" i="19" s="1"/>
  <c r="B1519" i="10"/>
  <c r="C1519" i="10" s="1"/>
  <c r="S1510" i="10"/>
  <c r="F1510" i="10"/>
  <c r="C1510" i="10"/>
  <c r="M1505" i="10"/>
  <c r="M1504" i="10"/>
  <c r="K1503" i="10"/>
  <c r="J1503" i="10"/>
  <c r="M1364" i="10"/>
  <c r="I85" i="11" s="1"/>
  <c r="M1460" i="10"/>
  <c r="I93" i="11" s="1"/>
  <c r="M1455" i="10"/>
  <c r="M1454" i="10"/>
  <c r="I90" i="11" l="1"/>
  <c r="I91" i="11"/>
  <c r="B23" i="37"/>
  <c r="C23" i="37" s="1"/>
  <c r="K23" i="37"/>
  <c r="D23" i="37"/>
  <c r="C18" i="17"/>
  <c r="D18" i="17" s="1"/>
  <c r="E90" i="11"/>
  <c r="C90" i="11"/>
  <c r="D90" i="11" s="1"/>
  <c r="L91" i="11"/>
  <c r="E91" i="11"/>
  <c r="F1425" i="10"/>
  <c r="GY46" i="19"/>
  <c r="M1456" i="10"/>
  <c r="G68" i="20" s="1"/>
  <c r="M1410" i="10"/>
  <c r="G67" i="20" s="1"/>
  <c r="F67" i="20" s="1"/>
  <c r="F44" i="19" s="1"/>
  <c r="G44" i="19" s="1"/>
  <c r="I38" i="29"/>
  <c r="I39" i="29" s="1"/>
  <c r="E453" i="10" s="1"/>
  <c r="F1424" i="10"/>
  <c r="E95" i="11"/>
  <c r="E94" i="11"/>
  <c r="L85" i="11"/>
  <c r="E93" i="11"/>
  <c r="L88" i="11"/>
  <c r="E88" i="11"/>
  <c r="E87" i="11"/>
  <c r="L86" i="11"/>
  <c r="C87" i="11"/>
  <c r="D87" i="11" s="1"/>
  <c r="C98" i="11"/>
  <c r="D98" i="11" s="1"/>
  <c r="E98" i="11"/>
  <c r="C93" i="11"/>
  <c r="D93" i="11" s="1"/>
  <c r="C96" i="11"/>
  <c r="D96" i="11" s="1"/>
  <c r="C94" i="11"/>
  <c r="D94" i="11" s="1"/>
  <c r="L96" i="11"/>
  <c r="L95" i="11"/>
  <c r="C85" i="11"/>
  <c r="D85" i="11" s="1"/>
  <c r="C86" i="11"/>
  <c r="D86" i="11" s="1"/>
  <c r="M1506" i="10"/>
  <c r="M1510" i="10" s="1"/>
  <c r="F1519" i="10"/>
  <c r="M1359" i="10"/>
  <c r="M1358" i="10"/>
  <c r="J1476" i="10"/>
  <c r="B1475" i="10"/>
  <c r="F1475" i="10" s="1"/>
  <c r="B1474" i="10"/>
  <c r="F1474" i="10" s="1"/>
  <c r="J1380" i="10"/>
  <c r="B1379" i="10"/>
  <c r="C1379" i="10" s="1"/>
  <c r="B1378" i="10"/>
  <c r="C1378" i="10" s="1"/>
  <c r="B1473" i="10"/>
  <c r="F1473" i="10" s="1"/>
  <c r="B1472" i="10"/>
  <c r="F1472" i="10" s="1"/>
  <c r="S1463" i="10"/>
  <c r="F1463" i="10"/>
  <c r="C1463" i="10"/>
  <c r="S1462" i="10"/>
  <c r="F1462" i="10"/>
  <c r="C1462" i="10"/>
  <c r="S1461" i="10"/>
  <c r="F1461" i="10"/>
  <c r="C1461" i="10"/>
  <c r="S1460" i="10"/>
  <c r="F1460" i="10"/>
  <c r="C1460" i="10"/>
  <c r="K1453" i="10"/>
  <c r="J1453" i="10"/>
  <c r="J1547" i="10"/>
  <c r="C1554" i="10"/>
  <c r="F1554" i="10"/>
  <c r="S1554" i="10"/>
  <c r="C1555" i="10"/>
  <c r="F1555" i="10"/>
  <c r="S1555" i="10"/>
  <c r="S1367" i="10"/>
  <c r="F1367" i="10"/>
  <c r="C1367" i="10"/>
  <c r="S1366" i="10"/>
  <c r="F1366" i="10"/>
  <c r="C1366" i="10"/>
  <c r="J1357" i="10"/>
  <c r="B1377" i="10"/>
  <c r="F1377" i="10" s="1"/>
  <c r="B1376" i="10"/>
  <c r="F1376" i="10" s="1"/>
  <c r="S1365" i="10"/>
  <c r="F1365" i="10"/>
  <c r="C1365" i="10"/>
  <c r="S1364" i="10"/>
  <c r="F1364" i="10"/>
  <c r="C1364" i="10"/>
  <c r="K1357" i="10"/>
  <c r="GU43" i="19" l="1"/>
  <c r="GV43" i="19"/>
  <c r="GW43" i="19"/>
  <c r="GX45" i="19"/>
  <c r="GV45" i="19"/>
  <c r="GW45" i="19"/>
  <c r="GY45" i="19"/>
  <c r="GU45" i="19"/>
  <c r="I98" i="11"/>
  <c r="M1360" i="10"/>
  <c r="G66" i="20" s="1"/>
  <c r="C1475" i="10"/>
  <c r="C1474" i="10"/>
  <c r="F1379" i="10"/>
  <c r="F1378" i="10"/>
  <c r="C1472" i="10"/>
  <c r="C1473" i="10"/>
  <c r="C1377" i="10"/>
  <c r="C1376" i="10"/>
  <c r="I21" i="32"/>
  <c r="H21" i="32"/>
  <c r="I20" i="32"/>
  <c r="J20" i="32" s="1"/>
  <c r="K20" i="32" s="1"/>
  <c r="H20" i="32"/>
  <c r="I19" i="32"/>
  <c r="H19" i="32"/>
  <c r="H25" i="32"/>
  <c r="I25" i="32"/>
  <c r="H26" i="32"/>
  <c r="I26" i="32"/>
  <c r="H27" i="32"/>
  <c r="I27" i="32"/>
  <c r="H28" i="32"/>
  <c r="I28" i="32"/>
  <c r="H29" i="32"/>
  <c r="I29" i="32"/>
  <c r="H30" i="32"/>
  <c r="I30" i="32"/>
  <c r="H31" i="32"/>
  <c r="I31" i="32"/>
  <c r="H32" i="32"/>
  <c r="I32" i="32"/>
  <c r="H33" i="32"/>
  <c r="I33" i="32"/>
  <c r="H34" i="32"/>
  <c r="I34" i="32"/>
  <c r="H35" i="32"/>
  <c r="I35" i="32"/>
  <c r="H36" i="32"/>
  <c r="I36" i="32"/>
  <c r="H37" i="32"/>
  <c r="I37" i="32"/>
  <c r="H38" i="32"/>
  <c r="I38" i="32"/>
  <c r="H39" i="32"/>
  <c r="I39" i="32"/>
  <c r="H40" i="32"/>
  <c r="I40" i="32"/>
  <c r="H41" i="32"/>
  <c r="I41" i="32"/>
  <c r="H42" i="32"/>
  <c r="I42" i="32"/>
  <c r="H43" i="32"/>
  <c r="I43" i="32"/>
  <c r="H44" i="32"/>
  <c r="I44" i="32"/>
  <c r="H45" i="32"/>
  <c r="I45" i="32"/>
  <c r="H46" i="32"/>
  <c r="I46" i="32"/>
  <c r="H47" i="32"/>
  <c r="I47" i="32"/>
  <c r="H48" i="32"/>
  <c r="I48" i="32"/>
  <c r="H49" i="32"/>
  <c r="I49" i="32"/>
  <c r="H50" i="32"/>
  <c r="I50" i="32"/>
  <c r="H51" i="32"/>
  <c r="I51" i="32"/>
  <c r="H52" i="32"/>
  <c r="I52" i="32"/>
  <c r="H53" i="32"/>
  <c r="I53" i="32"/>
  <c r="H54" i="32"/>
  <c r="I54" i="32"/>
  <c r="H55" i="32"/>
  <c r="I55" i="32"/>
  <c r="I24" i="32"/>
  <c r="H24" i="32"/>
  <c r="I16" i="32"/>
  <c r="H16" i="32"/>
  <c r="I15" i="32"/>
  <c r="H15" i="32"/>
  <c r="I14" i="32"/>
  <c r="H14" i="32"/>
  <c r="I13" i="32"/>
  <c r="H13" i="32"/>
  <c r="I11" i="32"/>
  <c r="H11" i="32"/>
  <c r="I9" i="32"/>
  <c r="H9" i="32"/>
  <c r="I8" i="32"/>
  <c r="H8" i="32"/>
  <c r="I6" i="32"/>
  <c r="H6" i="32"/>
  <c r="J6" i="32" s="1"/>
  <c r="I5" i="32"/>
  <c r="H5" i="32"/>
  <c r="I4" i="32"/>
  <c r="H4" i="32"/>
  <c r="O712" i="10"/>
  <c r="O517" i="10"/>
  <c r="O382" i="10"/>
  <c r="N455" i="10"/>
  <c r="J19" i="32" l="1"/>
  <c r="K19" i="32" s="1"/>
  <c r="J5" i="32"/>
  <c r="J21" i="32"/>
  <c r="K21" i="32" s="1"/>
  <c r="H31" i="29"/>
  <c r="F27" i="35"/>
  <c r="E24" i="35"/>
  <c r="E25" i="35"/>
  <c r="E23" i="35"/>
  <c r="F20" i="35"/>
  <c r="F14" i="35"/>
  <c r="E16" i="35"/>
  <c r="E17" i="35"/>
  <c r="D23" i="7"/>
  <c r="D22" i="7"/>
  <c r="D13" i="31"/>
  <c r="F23" i="35" s="1"/>
  <c r="C16" i="31"/>
  <c r="E26" i="35" s="1"/>
  <c r="D11" i="31"/>
  <c r="F21" i="35" s="1"/>
  <c r="C4" i="31" l="1"/>
  <c r="E14" i="35" s="1"/>
  <c r="C10" i="31"/>
  <c r="D6" i="31"/>
  <c r="F16" i="35" s="1"/>
  <c r="D7" i="31"/>
  <c r="F17" i="35" s="1"/>
  <c r="D14" i="31"/>
  <c r="F24" i="35" s="1"/>
  <c r="D15" i="31"/>
  <c r="K970" i="10"/>
  <c r="J924" i="10"/>
  <c r="J878" i="10"/>
  <c r="J832" i="10"/>
  <c r="J786" i="10"/>
  <c r="J740" i="10"/>
  <c r="F15" i="35" l="1"/>
  <c r="D8" i="31"/>
  <c r="F18" i="35" s="1"/>
  <c r="E15" i="35"/>
  <c r="F26" i="35"/>
  <c r="F25" i="35"/>
  <c r="C11" i="31"/>
  <c r="E21" i="35" s="1"/>
  <c r="E20" i="35"/>
  <c r="C8" i="31"/>
  <c r="C17" i="31" l="1"/>
  <c r="E27" i="35" s="1"/>
  <c r="E18" i="35"/>
  <c r="F16" i="37"/>
  <c r="E16" i="37"/>
  <c r="B16" i="37"/>
  <c r="K16" i="37" s="1"/>
  <c r="F26" i="37"/>
  <c r="E26" i="37"/>
  <c r="B26" i="37"/>
  <c r="K26" i="37" s="1"/>
  <c r="F24" i="37"/>
  <c r="B24" i="37"/>
  <c r="D24" i="37" s="1"/>
  <c r="F22" i="37"/>
  <c r="B22" i="37"/>
  <c r="C22" i="37" s="1"/>
  <c r="F28" i="37"/>
  <c r="B28" i="37"/>
  <c r="K28" i="37" s="1"/>
  <c r="F27" i="37"/>
  <c r="B27" i="37"/>
  <c r="C27" i="37" s="1"/>
  <c r="F25" i="37"/>
  <c r="B25" i="37"/>
  <c r="K25" i="37" s="1"/>
  <c r="F18" i="37"/>
  <c r="E18" i="37"/>
  <c r="B18" i="37"/>
  <c r="K18" i="37" s="1"/>
  <c r="F30" i="37"/>
  <c r="E30" i="37"/>
  <c r="B30" i="37"/>
  <c r="D30" i="37" s="1"/>
  <c r="F29" i="37"/>
  <c r="E29" i="37"/>
  <c r="B29" i="37"/>
  <c r="C29" i="37" s="1"/>
  <c r="F20" i="37"/>
  <c r="E20" i="37"/>
  <c r="B20" i="37"/>
  <c r="C20" i="37" s="1"/>
  <c r="H21" i="37"/>
  <c r="F21" i="37"/>
  <c r="E21" i="37"/>
  <c r="B21" i="37"/>
  <c r="K21" i="37" s="1"/>
  <c r="F17" i="37"/>
  <c r="E17" i="37"/>
  <c r="B17" i="37"/>
  <c r="K17" i="37" s="1"/>
  <c r="F15" i="37"/>
  <c r="E15" i="37"/>
  <c r="B15" i="37"/>
  <c r="D15" i="37" s="1"/>
  <c r="F19" i="37"/>
  <c r="E19" i="37"/>
  <c r="B19" i="37"/>
  <c r="K19" i="37" s="1"/>
  <c r="F14" i="37"/>
  <c r="E14" i="37"/>
  <c r="B14" i="37"/>
  <c r="D14" i="37" s="1"/>
  <c r="K15" i="37" l="1"/>
  <c r="C17" i="37"/>
  <c r="D17" i="37"/>
  <c r="K24" i="37"/>
  <c r="K29" i="37"/>
  <c r="D28" i="37"/>
  <c r="D26" i="37"/>
  <c r="C26" i="37"/>
  <c r="D22" i="37"/>
  <c r="D29" i="37"/>
  <c r="C28" i="37"/>
  <c r="K22" i="37"/>
  <c r="C15" i="37"/>
  <c r="D20" i="37"/>
  <c r="D27" i="37"/>
  <c r="C14" i="37"/>
  <c r="C25" i="37"/>
  <c r="C19" i="37"/>
  <c r="D19" i="37"/>
  <c r="C21" i="37"/>
  <c r="K30" i="37"/>
  <c r="C18" i="37"/>
  <c r="D25" i="37"/>
  <c r="C24" i="37"/>
  <c r="C16" i="37"/>
  <c r="D16" i="37"/>
  <c r="D21" i="37"/>
  <c r="K20" i="37"/>
  <c r="D18" i="37"/>
  <c r="K27" i="37"/>
  <c r="K14" i="37"/>
  <c r="C30" i="37"/>
  <c r="G9" i="36"/>
  <c r="C9" i="36"/>
  <c r="G8" i="36"/>
  <c r="C8" i="36"/>
  <c r="C7" i="36"/>
  <c r="C6" i="36"/>
  <c r="C5" i="36"/>
  <c r="J1016" i="10" l="1"/>
  <c r="L16" i="18" l="1"/>
  <c r="B1218" i="10" l="1"/>
  <c r="F107" i="10"/>
  <c r="O709" i="10"/>
  <c r="N709" i="10"/>
  <c r="O708" i="10"/>
  <c r="N708" i="10"/>
  <c r="O514" i="10"/>
  <c r="N514" i="10"/>
  <c r="O513" i="10"/>
  <c r="N513" i="10"/>
  <c r="O379" i="10"/>
  <c r="N379" i="10"/>
  <c r="O378" i="10"/>
  <c r="N378" i="10"/>
  <c r="O124" i="10"/>
  <c r="N124" i="10"/>
  <c r="B27" i="14"/>
  <c r="B31" i="18"/>
  <c r="D19" i="7"/>
  <c r="O380" i="10" l="1"/>
  <c r="O710" i="10"/>
  <c r="O515" i="10"/>
  <c r="Q721" i="10"/>
  <c r="B721" i="10"/>
  <c r="Q524" i="10"/>
  <c r="B524" i="10"/>
  <c r="Q389" i="10"/>
  <c r="B389" i="10"/>
  <c r="O519" i="10" l="1"/>
  <c r="O518" i="10"/>
  <c r="AB524" i="10" s="1"/>
  <c r="O713" i="10"/>
  <c r="AB721" i="10" s="1"/>
  <c r="O714" i="10"/>
  <c r="O383" i="10"/>
  <c r="AB389" i="10" s="1"/>
  <c r="O384" i="10"/>
  <c r="P135" i="10"/>
  <c r="H124" i="10"/>
  <c r="F135" i="10"/>
  <c r="B135" i="10"/>
  <c r="L3" i="7"/>
  <c r="E17" i="17" l="1"/>
  <c r="G47" i="11"/>
  <c r="G40" i="11"/>
  <c r="L25" i="18" l="1"/>
  <c r="F16" i="18"/>
  <c r="M16" i="18"/>
  <c r="B15" i="18"/>
  <c r="F19" i="18"/>
  <c r="F18" i="18"/>
  <c r="K19" i="16"/>
  <c r="G101" i="11"/>
  <c r="G100" i="11"/>
  <c r="F101" i="11"/>
  <c r="F100" i="11"/>
  <c r="B101" i="11"/>
  <c r="E101" i="11" s="1"/>
  <c r="B100" i="11"/>
  <c r="L100" i="11" s="1"/>
  <c r="L18" i="18" l="1"/>
  <c r="L19" i="18" s="1"/>
  <c r="M19" i="18" s="1"/>
  <c r="L21" i="18"/>
  <c r="L23" i="18"/>
  <c r="C100" i="11"/>
  <c r="D100" i="11" s="1"/>
  <c r="E100" i="11"/>
  <c r="L101" i="11"/>
  <c r="C101" i="11"/>
  <c r="D101" i="11" s="1"/>
  <c r="B17" i="18"/>
  <c r="D7" i="1" l="1"/>
  <c r="J1566" i="10" l="1"/>
  <c r="B1565" i="10"/>
  <c r="F1565" i="10" s="1"/>
  <c r="B1564" i="10"/>
  <c r="F1564" i="10" s="1"/>
  <c r="EF47" i="19" l="1"/>
  <c r="EF49" i="19" s="1"/>
  <c r="EV47" i="19"/>
  <c r="EV49" i="19" s="1"/>
  <c r="FL47" i="19"/>
  <c r="FL49" i="19" s="1"/>
  <c r="EI48" i="19"/>
  <c r="EY48" i="19"/>
  <c r="DU48" i="19"/>
  <c r="EG47" i="19"/>
  <c r="EG49" i="19" s="1"/>
  <c r="EW47" i="19"/>
  <c r="EW49" i="19" s="1"/>
  <c r="FM47" i="19"/>
  <c r="FM49" i="19" s="1"/>
  <c r="EJ48" i="19"/>
  <c r="EZ48" i="19"/>
  <c r="EH47" i="19"/>
  <c r="EH49" i="19" s="1"/>
  <c r="EX47" i="19"/>
  <c r="EX49" i="19" s="1"/>
  <c r="FN47" i="19"/>
  <c r="FN49" i="19" s="1"/>
  <c r="EK48" i="19"/>
  <c r="FA48" i="19"/>
  <c r="EI47" i="19"/>
  <c r="EI49" i="19" s="1"/>
  <c r="EY47" i="19"/>
  <c r="EY49" i="19" s="1"/>
  <c r="DV48" i="19"/>
  <c r="EL48" i="19"/>
  <c r="FB48" i="19"/>
  <c r="DU47" i="19"/>
  <c r="DU49" i="19" s="1"/>
  <c r="EK47" i="19"/>
  <c r="EK49" i="19" s="1"/>
  <c r="FA47" i="19"/>
  <c r="FA49" i="19" s="1"/>
  <c r="DX48" i="19"/>
  <c r="EN48" i="19"/>
  <c r="FD48" i="19"/>
  <c r="ER47" i="19"/>
  <c r="ER49" i="19" s="1"/>
  <c r="FK48" i="19"/>
  <c r="ET47" i="19"/>
  <c r="ET49" i="19" s="1"/>
  <c r="EG48" i="19"/>
  <c r="FC48" i="19"/>
  <c r="DV47" i="19"/>
  <c r="DV49" i="19" s="1"/>
  <c r="EL47" i="19"/>
  <c r="EL49" i="19" s="1"/>
  <c r="FB47" i="19"/>
  <c r="FB49" i="19" s="1"/>
  <c r="DY48" i="19"/>
  <c r="EO48" i="19"/>
  <c r="FE48" i="19"/>
  <c r="DW47" i="19"/>
  <c r="DW49" i="19" s="1"/>
  <c r="EM47" i="19"/>
  <c r="EM49" i="19" s="1"/>
  <c r="FC47" i="19"/>
  <c r="FC49" i="19" s="1"/>
  <c r="DZ48" i="19"/>
  <c r="EP48" i="19"/>
  <c r="FF48" i="19"/>
  <c r="DX47" i="19"/>
  <c r="DX49" i="19" s="1"/>
  <c r="EN47" i="19"/>
  <c r="EN49" i="19" s="1"/>
  <c r="FD47" i="19"/>
  <c r="FD49" i="19" s="1"/>
  <c r="EA48" i="19"/>
  <c r="EQ48" i="19"/>
  <c r="FG48" i="19"/>
  <c r="DY47" i="19"/>
  <c r="DY49" i="19" s="1"/>
  <c r="EO47" i="19"/>
  <c r="EO49" i="19" s="1"/>
  <c r="FE47" i="19"/>
  <c r="FE49" i="19" s="1"/>
  <c r="EB48" i="19"/>
  <c r="ER48" i="19"/>
  <c r="FH48" i="19"/>
  <c r="EW48" i="19"/>
  <c r="DZ47" i="19"/>
  <c r="DZ49" i="19" s="1"/>
  <c r="EP47" i="19"/>
  <c r="EP49" i="19" s="1"/>
  <c r="FF47" i="19"/>
  <c r="FF49" i="19" s="1"/>
  <c r="EC48" i="19"/>
  <c r="ES48" i="19"/>
  <c r="FI48" i="19"/>
  <c r="EA47" i="19"/>
  <c r="EA49" i="19" s="1"/>
  <c r="EQ47" i="19"/>
  <c r="EQ49" i="19" s="1"/>
  <c r="ED48" i="19"/>
  <c r="ET48" i="19"/>
  <c r="FJ48" i="19"/>
  <c r="EB47" i="19"/>
  <c r="EB49" i="19" s="1"/>
  <c r="FH47" i="19"/>
  <c r="FH49" i="19" s="1"/>
  <c r="EE48" i="19"/>
  <c r="EU48" i="19"/>
  <c r="ED47" i="19"/>
  <c r="ED49" i="19" s="1"/>
  <c r="FJ47" i="19"/>
  <c r="FJ49" i="19" s="1"/>
  <c r="FM48" i="19"/>
  <c r="FG47" i="19"/>
  <c r="FG49" i="19" s="1"/>
  <c r="EZ47" i="19"/>
  <c r="EZ49" i="19" s="1"/>
  <c r="DW48" i="19"/>
  <c r="EC47" i="19"/>
  <c r="EC49" i="19" s="1"/>
  <c r="ES47" i="19"/>
  <c r="ES49" i="19" s="1"/>
  <c r="FI47" i="19"/>
  <c r="FI49" i="19" s="1"/>
  <c r="EF48" i="19"/>
  <c r="EV48" i="19"/>
  <c r="FL48" i="19"/>
  <c r="EJ47" i="19"/>
  <c r="EJ49" i="19" s="1"/>
  <c r="EM48" i="19"/>
  <c r="EE47" i="19"/>
  <c r="EE49" i="19" s="1"/>
  <c r="EU47" i="19"/>
  <c r="EU49" i="19" s="1"/>
  <c r="FK47" i="19"/>
  <c r="FK49" i="19" s="1"/>
  <c r="EH48" i="19"/>
  <c r="EX48" i="19"/>
  <c r="FN48" i="19"/>
  <c r="C1565" i="10"/>
  <c r="C1564" i="10"/>
  <c r="G18" i="6" l="1"/>
  <c r="F18" i="6" s="1"/>
  <c r="G1283" i="10" l="1"/>
  <c r="E16" i="21"/>
  <c r="E15" i="21"/>
  <c r="J562" i="10"/>
  <c r="J561" i="10"/>
  <c r="L1273" i="10"/>
  <c r="G1271" i="10"/>
  <c r="J1219" i="10"/>
  <c r="Y41" i="19" s="1"/>
  <c r="Y39" i="19" s="1"/>
  <c r="F1218" i="10"/>
  <c r="J1172" i="10"/>
  <c r="CX40" i="19" s="1"/>
  <c r="B1171" i="10"/>
  <c r="F1171" i="10" s="1"/>
  <c r="B1170" i="10"/>
  <c r="F1170" i="10" s="1"/>
  <c r="J1127" i="10"/>
  <c r="BU38" i="19" s="1"/>
  <c r="BU28" i="19" s="1"/>
  <c r="BU20" i="19" s="1"/>
  <c r="B1126" i="10"/>
  <c r="F1126" i="10" s="1"/>
  <c r="B1125" i="10"/>
  <c r="F1125" i="10" s="1"/>
  <c r="J1081" i="10"/>
  <c r="BT37" i="19" s="1"/>
  <c r="B1080" i="10"/>
  <c r="C1080" i="10" s="1"/>
  <c r="B1079" i="10"/>
  <c r="F1079" i="10" s="1"/>
  <c r="J1035" i="10"/>
  <c r="BT36" i="19" s="1"/>
  <c r="B1034" i="10"/>
  <c r="F1034" i="10" s="1"/>
  <c r="B1033" i="10"/>
  <c r="F1033" i="10" s="1"/>
  <c r="J989" i="10"/>
  <c r="BQ35" i="19" s="1"/>
  <c r="B988" i="10"/>
  <c r="F988" i="10" s="1"/>
  <c r="B987" i="10"/>
  <c r="F987" i="10" s="1"/>
  <c r="J943" i="10"/>
  <c r="BQ34" i="19" s="1"/>
  <c r="B942" i="10"/>
  <c r="C942" i="10" s="1"/>
  <c r="B941" i="10"/>
  <c r="F941" i="10" s="1"/>
  <c r="J897" i="10"/>
  <c r="BP33" i="19" s="1"/>
  <c r="BP28" i="19" s="1"/>
  <c r="BP20" i="19" s="1"/>
  <c r="B896" i="10"/>
  <c r="C896" i="10" s="1"/>
  <c r="B895" i="10"/>
  <c r="F895" i="10" s="1"/>
  <c r="J851" i="10"/>
  <c r="BN32" i="19" s="1"/>
  <c r="BN28" i="19" s="1"/>
  <c r="BN20" i="19" s="1"/>
  <c r="B850" i="10"/>
  <c r="F850" i="10" s="1"/>
  <c r="B849" i="10"/>
  <c r="F849" i="10" s="1"/>
  <c r="J805" i="10"/>
  <c r="BK31" i="19" s="1"/>
  <c r="B804" i="10"/>
  <c r="F804" i="10" s="1"/>
  <c r="B803" i="10"/>
  <c r="C803" i="10" s="1"/>
  <c r="B758" i="10"/>
  <c r="C758" i="10" s="1"/>
  <c r="B757" i="10"/>
  <c r="F757" i="10" s="1"/>
  <c r="J759" i="10"/>
  <c r="BI30" i="19" s="1"/>
  <c r="BI28" i="19" s="1"/>
  <c r="BI20" i="19" s="1"/>
  <c r="BW20" i="19"/>
  <c r="BX20" i="19"/>
  <c r="BY20" i="19"/>
  <c r="BZ20" i="19"/>
  <c r="CA20" i="19"/>
  <c r="CB20" i="19"/>
  <c r="CC20" i="19"/>
  <c r="CD20" i="19"/>
  <c r="CE20" i="19"/>
  <c r="CF20" i="19"/>
  <c r="CG20" i="19"/>
  <c r="CH20" i="19"/>
  <c r="CI20" i="19"/>
  <c r="CJ20" i="19"/>
  <c r="CK20" i="19"/>
  <c r="E22" i="19"/>
  <c r="E31" i="20"/>
  <c r="E17" i="19" s="1"/>
  <c r="E16" i="19"/>
  <c r="E15" i="19"/>
  <c r="F1233" i="10"/>
  <c r="CZ41" i="19" l="1"/>
  <c r="CZ39" i="19" s="1"/>
  <c r="CZ49" i="19" s="1"/>
  <c r="AN41" i="19"/>
  <c r="AN39" i="19" s="1"/>
  <c r="AN49" i="19" s="1"/>
  <c r="CO41" i="19"/>
  <c r="CO39" i="19" s="1"/>
  <c r="CO49" i="19" s="1"/>
  <c r="AC41" i="19"/>
  <c r="AC39" i="19" s="1"/>
  <c r="CN41" i="19"/>
  <c r="CN39" i="19" s="1"/>
  <c r="CN49" i="19" s="1"/>
  <c r="AB41" i="19"/>
  <c r="AB39" i="19" s="1"/>
  <c r="CJ41" i="19"/>
  <c r="CJ39" i="19" s="1"/>
  <c r="CJ49" i="19" s="1"/>
  <c r="X41" i="19"/>
  <c r="X39" i="19" s="1"/>
  <c r="AZ41" i="19"/>
  <c r="AZ39" i="19" s="1"/>
  <c r="AZ49" i="19" s="1"/>
  <c r="CI41" i="19"/>
  <c r="CI39" i="19" s="1"/>
  <c r="CI49" i="19" s="1"/>
  <c r="W41" i="19"/>
  <c r="W39" i="19" s="1"/>
  <c r="CH41" i="19"/>
  <c r="CH39" i="19" s="1"/>
  <c r="CH49" i="19" s="1"/>
  <c r="V41" i="19"/>
  <c r="V39" i="19" s="1"/>
  <c r="CG41" i="19"/>
  <c r="CG39" i="19" s="1"/>
  <c r="CG49" i="19" s="1"/>
  <c r="U41" i="19"/>
  <c r="U39" i="19" s="1"/>
  <c r="CF41" i="19"/>
  <c r="CF39" i="19" s="1"/>
  <c r="CF49" i="19" s="1"/>
  <c r="T41" i="19"/>
  <c r="T39" i="19" s="1"/>
  <c r="BT41" i="19"/>
  <c r="BT39" i="19" s="1"/>
  <c r="BS36" i="19"/>
  <c r="BI41" i="19"/>
  <c r="BI39" i="19" s="1"/>
  <c r="BI49" i="19" s="1"/>
  <c r="BH41" i="19"/>
  <c r="BH39" i="19" s="1"/>
  <c r="BD41" i="19"/>
  <c r="BD39" i="19" s="1"/>
  <c r="BC41" i="19"/>
  <c r="BC39" i="19" s="1"/>
  <c r="BC49" i="19" s="1"/>
  <c r="BB41" i="19"/>
  <c r="BB39" i="19" s="1"/>
  <c r="BB49" i="19" s="1"/>
  <c r="BA41" i="19"/>
  <c r="BA39" i="19" s="1"/>
  <c r="BA49" i="19" s="1"/>
  <c r="BZ41" i="19"/>
  <c r="BZ39" i="19" s="1"/>
  <c r="BZ49" i="19" s="1"/>
  <c r="AT41" i="19"/>
  <c r="AT39" i="19" s="1"/>
  <c r="AT49" i="19" s="1"/>
  <c r="N41" i="19"/>
  <c r="N39" i="19" s="1"/>
  <c r="BY41" i="19"/>
  <c r="BY39" i="19" s="1"/>
  <c r="BY49" i="19" s="1"/>
  <c r="AS41" i="19"/>
  <c r="AS39" i="19" s="1"/>
  <c r="AS49" i="19" s="1"/>
  <c r="M41" i="19"/>
  <c r="M39" i="19" s="1"/>
  <c r="BX41" i="19"/>
  <c r="BX39" i="19" s="1"/>
  <c r="BX49" i="19" s="1"/>
  <c r="AR41" i="19"/>
  <c r="AR39" i="19" s="1"/>
  <c r="AR49" i="19" s="1"/>
  <c r="L41" i="19"/>
  <c r="L39" i="19" s="1"/>
  <c r="CY41" i="19"/>
  <c r="BS41" i="19"/>
  <c r="BS39" i="19" s="1"/>
  <c r="AM41" i="19"/>
  <c r="AM39" i="19" s="1"/>
  <c r="AM49" i="19" s="1"/>
  <c r="CX41" i="19"/>
  <c r="CX39" i="19" s="1"/>
  <c r="CX49" i="19" s="1"/>
  <c r="BR41" i="19"/>
  <c r="BR39" i="19" s="1"/>
  <c r="AL41" i="19"/>
  <c r="AL39" i="19" s="1"/>
  <c r="AL49" i="19" s="1"/>
  <c r="CW41" i="19"/>
  <c r="BQ41" i="19"/>
  <c r="BQ39" i="19" s="1"/>
  <c r="AK41" i="19"/>
  <c r="AK39" i="19" s="1"/>
  <c r="AK49" i="19" s="1"/>
  <c r="CV41" i="19"/>
  <c r="BP41" i="19"/>
  <c r="BP39" i="19" s="1"/>
  <c r="BP49" i="19" s="1"/>
  <c r="AJ41" i="19"/>
  <c r="AJ39" i="19" s="1"/>
  <c r="AJ49" i="19" s="1"/>
  <c r="CP41" i="19"/>
  <c r="CP39" i="19" s="1"/>
  <c r="CP49" i="19" s="1"/>
  <c r="BJ41" i="19"/>
  <c r="BJ39" i="19" s="1"/>
  <c r="AD41" i="19"/>
  <c r="AD39" i="19" s="1"/>
  <c r="E17" i="21"/>
  <c r="CU41" i="19"/>
  <c r="CE41" i="19"/>
  <c r="CE39" i="19" s="1"/>
  <c r="CE49" i="19" s="1"/>
  <c r="BO41" i="19"/>
  <c r="BO39" i="19" s="1"/>
  <c r="AY41" i="19"/>
  <c r="AY39" i="19" s="1"/>
  <c r="AY49" i="19" s="1"/>
  <c r="AI41" i="19"/>
  <c r="AI39" i="19" s="1"/>
  <c r="AI49" i="19" s="1"/>
  <c r="S41" i="19"/>
  <c r="S39" i="19" s="1"/>
  <c r="BS35" i="19"/>
  <c r="CT41" i="19"/>
  <c r="CT39" i="19" s="1"/>
  <c r="CT49" i="19" s="1"/>
  <c r="CD41" i="19"/>
  <c r="CD39" i="19" s="1"/>
  <c r="CD49" i="19" s="1"/>
  <c r="BN41" i="19"/>
  <c r="BN39" i="19" s="1"/>
  <c r="AX41" i="19"/>
  <c r="AX39" i="19" s="1"/>
  <c r="AX49" i="19" s="1"/>
  <c r="AH41" i="19"/>
  <c r="AH39" i="19" s="1"/>
  <c r="R41" i="19"/>
  <c r="R39" i="19" s="1"/>
  <c r="CS41" i="19"/>
  <c r="CS39" i="19" s="1"/>
  <c r="CS49" i="19" s="1"/>
  <c r="CC41" i="19"/>
  <c r="CC39" i="19" s="1"/>
  <c r="CC49" i="19" s="1"/>
  <c r="BM41" i="19"/>
  <c r="BM39" i="19" s="1"/>
  <c r="AW41" i="19"/>
  <c r="AW39" i="19" s="1"/>
  <c r="AW49" i="19" s="1"/>
  <c r="AG41" i="19"/>
  <c r="AG39" i="19" s="1"/>
  <c r="Q41" i="19"/>
  <c r="Q39" i="19" s="1"/>
  <c r="CR41" i="19"/>
  <c r="CR39" i="19" s="1"/>
  <c r="CR49" i="19" s="1"/>
  <c r="CB41" i="19"/>
  <c r="CB39" i="19" s="1"/>
  <c r="CB49" i="19" s="1"/>
  <c r="BL41" i="19"/>
  <c r="BL39" i="19" s="1"/>
  <c r="AV41" i="19"/>
  <c r="AV39" i="19" s="1"/>
  <c r="AV49" i="19" s="1"/>
  <c r="AF41" i="19"/>
  <c r="AF39" i="19" s="1"/>
  <c r="P41" i="19"/>
  <c r="P39" i="19" s="1"/>
  <c r="BN49" i="19"/>
  <c r="CQ41" i="19"/>
  <c r="CQ39" i="19" s="1"/>
  <c r="CQ49" i="19" s="1"/>
  <c r="CA41" i="19"/>
  <c r="CA39" i="19" s="1"/>
  <c r="CA49" i="19" s="1"/>
  <c r="BK41" i="19"/>
  <c r="BK39" i="19" s="1"/>
  <c r="AU41" i="19"/>
  <c r="AU39" i="19" s="1"/>
  <c r="AU49" i="19" s="1"/>
  <c r="AE41" i="19"/>
  <c r="AE39" i="19" s="1"/>
  <c r="O41" i="19"/>
  <c r="O39" i="19" s="1"/>
  <c r="CM41" i="19"/>
  <c r="CM39" i="19" s="1"/>
  <c r="CM49" i="19" s="1"/>
  <c r="BW41" i="19"/>
  <c r="BW39" i="19" s="1"/>
  <c r="BW49" i="19" s="1"/>
  <c r="BG41" i="19"/>
  <c r="BG39" i="19" s="1"/>
  <c r="AQ41" i="19"/>
  <c r="AQ39" i="19" s="1"/>
  <c r="AQ49" i="19" s="1"/>
  <c r="AA41" i="19"/>
  <c r="AA39" i="19" s="1"/>
  <c r="K41" i="19"/>
  <c r="K39" i="19" s="1"/>
  <c r="I41" i="19"/>
  <c r="I39" i="19" s="1"/>
  <c r="CL41" i="19"/>
  <c r="CL39" i="19" s="1"/>
  <c r="CL49" i="19" s="1"/>
  <c r="BV41" i="19"/>
  <c r="BV39" i="19" s="1"/>
  <c r="BF41" i="19"/>
  <c r="BF39" i="19" s="1"/>
  <c r="AP41" i="19"/>
  <c r="AP39" i="19" s="1"/>
  <c r="AP49" i="19" s="1"/>
  <c r="Z41" i="19"/>
  <c r="Z39" i="19" s="1"/>
  <c r="J41" i="19"/>
  <c r="J39" i="19" s="1"/>
  <c r="DA41" i="19"/>
  <c r="DA39" i="19" s="1"/>
  <c r="DA49" i="19" s="1"/>
  <c r="CK41" i="19"/>
  <c r="CK39" i="19" s="1"/>
  <c r="CK49" i="19" s="1"/>
  <c r="BU41" i="19"/>
  <c r="BU39" i="19" s="1"/>
  <c r="BU49" i="19" s="1"/>
  <c r="BE41" i="19"/>
  <c r="BE39" i="19" s="1"/>
  <c r="AO41" i="19"/>
  <c r="AO39" i="19" s="1"/>
  <c r="AO49" i="19" s="1"/>
  <c r="CW40" i="19"/>
  <c r="CV40" i="19"/>
  <c r="BR35" i="19"/>
  <c r="BR28" i="19" s="1"/>
  <c r="BR20" i="19" s="1"/>
  <c r="CU40" i="19"/>
  <c r="CY40" i="19"/>
  <c r="BK30" i="19"/>
  <c r="BK28" i="19" s="1"/>
  <c r="BK20" i="19" s="1"/>
  <c r="BJ30" i="19"/>
  <c r="BJ28" i="19" s="1"/>
  <c r="BJ20" i="19" s="1"/>
  <c r="C1218" i="10"/>
  <c r="BM31" i="19"/>
  <c r="BT38" i="19"/>
  <c r="BT28" i="19" s="1"/>
  <c r="BT20" i="19" s="1"/>
  <c r="BL31" i="19"/>
  <c r="BL28" i="19" s="1"/>
  <c r="BL20" i="19" s="1"/>
  <c r="BV38" i="19"/>
  <c r="BV28" i="19" s="1"/>
  <c r="BV20" i="19" s="1"/>
  <c r="BM32" i="19"/>
  <c r="BO32" i="19"/>
  <c r="C1170" i="10"/>
  <c r="BO33" i="19"/>
  <c r="BQ33" i="19"/>
  <c r="BQ28" i="19" s="1"/>
  <c r="BQ20" i="19" s="1"/>
  <c r="C1171" i="10"/>
  <c r="C1125" i="10"/>
  <c r="C1126" i="10"/>
  <c r="C1079" i="10"/>
  <c r="F1080" i="10"/>
  <c r="C987" i="10"/>
  <c r="C1033" i="10"/>
  <c r="C1034" i="10"/>
  <c r="C988" i="10"/>
  <c r="F942" i="10"/>
  <c r="C941" i="10"/>
  <c r="F896" i="10"/>
  <c r="C895" i="10"/>
  <c r="C850" i="10"/>
  <c r="C849" i="10"/>
  <c r="C804" i="10"/>
  <c r="F803" i="10"/>
  <c r="F758" i="10"/>
  <c r="C757" i="10"/>
  <c r="BT49" i="19" l="1"/>
  <c r="CY39" i="19"/>
  <c r="CY49" i="19" s="1"/>
  <c r="BS28" i="19"/>
  <c r="BS20" i="19" s="1"/>
  <c r="BS49" i="19" s="1"/>
  <c r="CV39" i="19"/>
  <c r="CV49" i="19" s="1"/>
  <c r="BQ49" i="19"/>
  <c r="G1272" i="10" s="1"/>
  <c r="G1276" i="10" s="1"/>
  <c r="CW39" i="19"/>
  <c r="CW49" i="19" s="1"/>
  <c r="BJ49" i="19"/>
  <c r="BR49" i="19"/>
  <c r="BK49" i="19"/>
  <c r="CU39" i="19"/>
  <c r="CU49" i="19" s="1"/>
  <c r="BV49" i="19"/>
  <c r="BL49" i="19"/>
  <c r="BO28" i="19"/>
  <c r="BO20" i="19" s="1"/>
  <c r="BO49" i="19" s="1"/>
  <c r="BM28" i="19"/>
  <c r="BM20" i="19" s="1"/>
  <c r="BM49" i="19" s="1"/>
  <c r="C353" i="10" l="1"/>
  <c r="C485" i="10"/>
  <c r="I353" i="10"/>
  <c r="B696" i="10"/>
  <c r="J678" i="10"/>
  <c r="B678" i="10"/>
  <c r="F678" i="10" s="1"/>
  <c r="S657" i="10"/>
  <c r="F657" i="10"/>
  <c r="C657" i="10"/>
  <c r="B677" i="10"/>
  <c r="B670" i="10"/>
  <c r="B669" i="10"/>
  <c r="B112" i="10"/>
  <c r="B623" i="10"/>
  <c r="F623" i="10" s="1"/>
  <c r="B622" i="10"/>
  <c r="F622" i="10" s="1"/>
  <c r="J624" i="10"/>
  <c r="J563" i="10"/>
  <c r="B562" i="10"/>
  <c r="C562" i="10" s="1"/>
  <c r="B561" i="10"/>
  <c r="F561" i="10" s="1"/>
  <c r="J347" i="10"/>
  <c r="K501" i="10"/>
  <c r="J477" i="10"/>
  <c r="B477" i="10"/>
  <c r="C477" i="10" s="1"/>
  <c r="B347" i="10"/>
  <c r="F347" i="10" s="1"/>
  <c r="J423" i="10"/>
  <c r="B421" i="10"/>
  <c r="C421" i="10" s="1"/>
  <c r="B422" i="10"/>
  <c r="F422" i="10" s="1"/>
  <c r="B420" i="10"/>
  <c r="F420" i="10" s="1"/>
  <c r="L366" i="10"/>
  <c r="F108" i="10"/>
  <c r="J298" i="10"/>
  <c r="B297" i="10"/>
  <c r="F297" i="10" s="1"/>
  <c r="B296" i="10"/>
  <c r="C296" i="10" s="1"/>
  <c r="J256" i="10"/>
  <c r="B255" i="10"/>
  <c r="C255" i="10" s="1"/>
  <c r="B254" i="10"/>
  <c r="F254" i="10" s="1"/>
  <c r="R135" i="10"/>
  <c r="K19" i="14" s="1"/>
  <c r="J96" i="10"/>
  <c r="J214" i="10"/>
  <c r="B212" i="10"/>
  <c r="F212" i="10" s="1"/>
  <c r="B213" i="10"/>
  <c r="F213" i="10" s="1"/>
  <c r="B211" i="10"/>
  <c r="C211" i="10" s="1"/>
  <c r="B40" i="10"/>
  <c r="F40" i="10" s="1"/>
  <c r="B39" i="10"/>
  <c r="F39" i="10" s="1"/>
  <c r="J41" i="10"/>
  <c r="B169" i="10"/>
  <c r="F169" i="10" s="1"/>
  <c r="B168" i="10"/>
  <c r="C168" i="10" s="1"/>
  <c r="J170" i="10"/>
  <c r="F696" i="10" l="1"/>
  <c r="B19" i="16"/>
  <c r="L15" i="21"/>
  <c r="M15" i="21"/>
  <c r="N15" i="21"/>
  <c r="O15" i="21"/>
  <c r="P15" i="21"/>
  <c r="K15" i="21"/>
  <c r="R23" i="19"/>
  <c r="S23" i="19"/>
  <c r="T23" i="19"/>
  <c r="Q23" i="19"/>
  <c r="Q26" i="19"/>
  <c r="R26" i="19"/>
  <c r="P26" i="19"/>
  <c r="P21" i="19" s="1"/>
  <c r="P20" i="19" s="1"/>
  <c r="AC19" i="19"/>
  <c r="AC18" i="19" s="1"/>
  <c r="AC49" i="19" s="1"/>
  <c r="AF19" i="19"/>
  <c r="AF18" i="19" s="1"/>
  <c r="AF49" i="19" s="1"/>
  <c r="AG19" i="19"/>
  <c r="AG18" i="19" s="1"/>
  <c r="AG49" i="19" s="1"/>
  <c r="AB19" i="19"/>
  <c r="AB18" i="19" s="1"/>
  <c r="AB49" i="19" s="1"/>
  <c r="AD19" i="19"/>
  <c r="AD18" i="19" s="1"/>
  <c r="AD49" i="19" s="1"/>
  <c r="AE19" i="19"/>
  <c r="AE18" i="19" s="1"/>
  <c r="AE49" i="19" s="1"/>
  <c r="AH19" i="19"/>
  <c r="AH18" i="19" s="1"/>
  <c r="AH49" i="19" s="1"/>
  <c r="T19" i="19"/>
  <c r="U19" i="19"/>
  <c r="U18" i="19" s="1"/>
  <c r="U49" i="19" s="1"/>
  <c r="X19" i="19"/>
  <c r="X18" i="19" s="1"/>
  <c r="X49" i="19" s="1"/>
  <c r="Y19" i="19"/>
  <c r="Y18" i="19" s="1"/>
  <c r="Y49" i="19" s="1"/>
  <c r="Z19" i="19"/>
  <c r="Z18" i="19" s="1"/>
  <c r="Z49" i="19" s="1"/>
  <c r="AA19" i="19"/>
  <c r="AA18" i="19" s="1"/>
  <c r="AA49" i="19" s="1"/>
  <c r="V19" i="19"/>
  <c r="V18" i="19" s="1"/>
  <c r="V49" i="19" s="1"/>
  <c r="W19" i="19"/>
  <c r="W18" i="19" s="1"/>
  <c r="W49" i="19" s="1"/>
  <c r="J22" i="19"/>
  <c r="J21" i="19" s="1"/>
  <c r="J20" i="19" s="1"/>
  <c r="J49" i="19" s="1"/>
  <c r="I22" i="19"/>
  <c r="I21" i="19" s="1"/>
  <c r="I20" i="19" s="1"/>
  <c r="I49" i="19" s="1"/>
  <c r="BF29" i="19"/>
  <c r="BF28" i="19" s="1"/>
  <c r="BF20" i="19" s="1"/>
  <c r="BF49" i="19" s="1"/>
  <c r="BE29" i="19"/>
  <c r="BE28" i="19" s="1"/>
  <c r="BE20" i="19" s="1"/>
  <c r="BE49" i="19" s="1"/>
  <c r="BG29" i="19"/>
  <c r="BG28" i="19" s="1"/>
  <c r="BG20" i="19" s="1"/>
  <c r="BG49" i="19" s="1"/>
  <c r="BH29" i="19"/>
  <c r="BH28" i="19" s="1"/>
  <c r="BH20" i="19" s="1"/>
  <c r="BH49" i="19" s="1"/>
  <c r="BD29" i="19"/>
  <c r="BD28" i="19" s="1"/>
  <c r="BD20" i="19" s="1"/>
  <c r="BD49" i="19" s="1"/>
  <c r="O25" i="19"/>
  <c r="O21" i="19" s="1"/>
  <c r="O20" i="19" s="1"/>
  <c r="M25" i="19"/>
  <c r="M21" i="19" s="1"/>
  <c r="M20" i="19" s="1"/>
  <c r="N25" i="19"/>
  <c r="N21" i="19" s="1"/>
  <c r="N20" i="19" s="1"/>
  <c r="K24" i="19"/>
  <c r="K21" i="19" s="1"/>
  <c r="K20" i="19" s="1"/>
  <c r="L24" i="19"/>
  <c r="L21" i="19" s="1"/>
  <c r="L20" i="19" s="1"/>
  <c r="Q27" i="19"/>
  <c r="R27" i="19"/>
  <c r="S27" i="19"/>
  <c r="T27" i="19"/>
  <c r="C696" i="10"/>
  <c r="C678" i="10"/>
  <c r="C622" i="10"/>
  <c r="C623" i="10"/>
  <c r="C561" i="10"/>
  <c r="F562" i="10"/>
  <c r="J348" i="10"/>
  <c r="J478" i="10"/>
  <c r="F477" i="10"/>
  <c r="C420" i="10"/>
  <c r="F421" i="10"/>
  <c r="C347" i="10"/>
  <c r="C422" i="10"/>
  <c r="C212" i="10"/>
  <c r="F296" i="10"/>
  <c r="C297" i="10"/>
  <c r="C213" i="10"/>
  <c r="F255" i="10"/>
  <c r="C254" i="10"/>
  <c r="C40" i="10"/>
  <c r="C39" i="10"/>
  <c r="F211" i="10"/>
  <c r="C169" i="10"/>
  <c r="F168" i="10"/>
  <c r="E19" i="16" l="1"/>
  <c r="B19" i="18"/>
  <c r="C19" i="16"/>
  <c r="D19" i="16" s="1"/>
  <c r="R17" i="21"/>
  <c r="S17" i="21"/>
  <c r="K17" i="21"/>
  <c r="L17" i="21"/>
  <c r="M17" i="21"/>
  <c r="N17" i="21"/>
  <c r="O17" i="21"/>
  <c r="P17" i="21"/>
  <c r="Q17" i="21"/>
  <c r="L16" i="21"/>
  <c r="M16" i="21"/>
  <c r="N16" i="21"/>
  <c r="O16" i="21"/>
  <c r="P16" i="21"/>
  <c r="K16" i="21"/>
  <c r="T18" i="19"/>
  <c r="Q21" i="19"/>
  <c r="Q20" i="19" s="1"/>
  <c r="T21" i="19"/>
  <c r="T20" i="19" s="1"/>
  <c r="S21" i="19"/>
  <c r="S20" i="19" s="1"/>
  <c r="R21" i="19"/>
  <c r="R20" i="19" s="1"/>
  <c r="C22" i="24"/>
  <c r="L1016" i="10"/>
  <c r="G18" i="11"/>
  <c r="F18" i="11"/>
  <c r="B18" i="11"/>
  <c r="L18" i="11" s="1"/>
  <c r="B695" i="10"/>
  <c r="E23" i="14"/>
  <c r="I23" i="14"/>
  <c r="J23" i="14"/>
  <c r="J21" i="14"/>
  <c r="I21" i="14"/>
  <c r="E21" i="14"/>
  <c r="I19" i="14"/>
  <c r="J19" i="14"/>
  <c r="F25" i="18"/>
  <c r="F23" i="18"/>
  <c r="B24" i="18"/>
  <c r="B22" i="18"/>
  <c r="F21" i="18"/>
  <c r="B20" i="18"/>
  <c r="B47" i="11"/>
  <c r="B40" i="11"/>
  <c r="B24" i="11"/>
  <c r="B21" i="11"/>
  <c r="B95" i="10"/>
  <c r="F95" i="10" s="1"/>
  <c r="E19" i="18" l="1"/>
  <c r="C19" i="18"/>
  <c r="D19" i="18" s="1"/>
  <c r="T49" i="19"/>
  <c r="C18" i="11"/>
  <c r="D18" i="11" s="1"/>
  <c r="E18" i="11"/>
  <c r="C95" i="10"/>
  <c r="S524" i="10"/>
  <c r="K23" i="14" s="1"/>
  <c r="B21" i="14"/>
  <c r="B19" i="14"/>
  <c r="C19" i="14" s="1"/>
  <c r="D19" i="14" s="1"/>
  <c r="B20" i="13"/>
  <c r="E18" i="13"/>
  <c r="B18" i="13"/>
  <c r="B605" i="10"/>
  <c r="E19" i="14" l="1"/>
  <c r="C524" i="10"/>
  <c r="B23" i="14"/>
  <c r="C135" i="10"/>
  <c r="S389" i="10"/>
  <c r="K21" i="14" s="1"/>
  <c r="C20" i="13"/>
  <c r="D20" i="13" s="1"/>
  <c r="C389" i="10"/>
  <c r="C18" i="13"/>
  <c r="D18" i="13" s="1"/>
  <c r="H515" i="10" l="1"/>
  <c r="F515" i="10"/>
  <c r="H514" i="10"/>
  <c r="F514" i="10"/>
  <c r="H513" i="10"/>
  <c r="F513" i="10"/>
  <c r="K524" i="10" l="1"/>
  <c r="G23" i="14" s="1"/>
  <c r="H516" i="10"/>
  <c r="I515" i="10" s="1"/>
  <c r="I513" i="10" l="1"/>
  <c r="I524" i="10"/>
  <c r="F23" i="14" s="1"/>
  <c r="H23" i="14" s="1"/>
  <c r="I514" i="10"/>
  <c r="C21" i="14"/>
  <c r="D21" i="14" s="1"/>
  <c r="M23" i="14" l="1"/>
  <c r="N23" i="14" s="1"/>
  <c r="L23" i="14"/>
  <c r="Q23" i="14" s="1"/>
  <c r="Q22" i="14" s="1"/>
  <c r="I516" i="10"/>
  <c r="M524" i="10"/>
  <c r="H380" i="10"/>
  <c r="F380" i="10"/>
  <c r="H379" i="10"/>
  <c r="F379" i="10"/>
  <c r="H378" i="10"/>
  <c r="F378" i="10"/>
  <c r="H338" i="10"/>
  <c r="F20" i="13" s="1"/>
  <c r="G20" i="13" s="1"/>
  <c r="N7" i="1"/>
  <c r="R8" i="38" s="1"/>
  <c r="G8" i="24"/>
  <c r="G24" i="11"/>
  <c r="F24" i="11"/>
  <c r="E24" i="11"/>
  <c r="B23" i="11"/>
  <c r="N8" i="1"/>
  <c r="G9" i="24"/>
  <c r="C86" i="10"/>
  <c r="C8" i="1"/>
  <c r="C8" i="37" s="1"/>
  <c r="C7" i="1"/>
  <c r="C6" i="1"/>
  <c r="C7" i="38" s="1"/>
  <c r="C5" i="1"/>
  <c r="C6" i="38" s="1"/>
  <c r="C4" i="1"/>
  <c r="C5" i="38" s="1"/>
  <c r="C7" i="24"/>
  <c r="C6" i="24"/>
  <c r="C5" i="24"/>
  <c r="L8" i="37" l="1"/>
  <c r="R9" i="38"/>
  <c r="C7" i="37"/>
  <c r="C7" i="15"/>
  <c r="C7" i="19"/>
  <c r="C7" i="20"/>
  <c r="C7" i="35"/>
  <c r="C6" i="37"/>
  <c r="C6" i="35"/>
  <c r="C5" i="37"/>
  <c r="F8" i="35"/>
  <c r="L7" i="37"/>
  <c r="C5" i="35"/>
  <c r="C4" i="37"/>
  <c r="F9" i="35"/>
  <c r="C8" i="29"/>
  <c r="K389" i="10"/>
  <c r="G21" i="14" s="1"/>
  <c r="W524" i="10"/>
  <c r="Y524" i="10" s="1"/>
  <c r="U524" i="10"/>
  <c r="AC524" i="10" s="1"/>
  <c r="AC525" i="10" s="1"/>
  <c r="H381" i="10"/>
  <c r="L24" i="11"/>
  <c r="C24" i="11"/>
  <c r="D24" i="11" s="1"/>
  <c r="I379" i="10" l="1"/>
  <c r="I389" i="10"/>
  <c r="F21" i="14" s="1"/>
  <c r="H21" i="14" s="1"/>
  <c r="I378" i="10"/>
  <c r="I380" i="10"/>
  <c r="M21" i="14" l="1"/>
  <c r="N21" i="14" s="1"/>
  <c r="L21" i="14"/>
  <c r="Q21" i="14" s="1"/>
  <c r="Q20" i="14" s="1"/>
  <c r="I381" i="10"/>
  <c r="D24" i="7" l="1"/>
  <c r="K8" i="4" l="1"/>
  <c r="J7" i="4"/>
  <c r="J8" i="4"/>
  <c r="I8" i="4"/>
  <c r="L14" i="1" l="1"/>
  <c r="G14" i="1" l="1"/>
  <c r="B14" i="1"/>
  <c r="F73" i="11" l="1"/>
  <c r="G73" i="11"/>
  <c r="B73" i="11"/>
  <c r="E73" i="11" s="1"/>
  <c r="C1023" i="10"/>
  <c r="F1023" i="10"/>
  <c r="S1023" i="10"/>
  <c r="B70" i="11"/>
  <c r="E70" i="11" s="1"/>
  <c r="F70" i="11"/>
  <c r="G70" i="11"/>
  <c r="C977" i="10"/>
  <c r="F977" i="10"/>
  <c r="S977" i="10"/>
  <c r="F67" i="11"/>
  <c r="G67" i="11"/>
  <c r="B67" i="11"/>
  <c r="C67" i="11" s="1"/>
  <c r="D67" i="11" s="1"/>
  <c r="F931" i="10"/>
  <c r="S931" i="10"/>
  <c r="C931" i="10"/>
  <c r="F64" i="11"/>
  <c r="G64" i="11"/>
  <c r="B64" i="11"/>
  <c r="E64" i="11" s="1"/>
  <c r="B65" i="11"/>
  <c r="F885" i="10"/>
  <c r="S885" i="10"/>
  <c r="C885" i="10"/>
  <c r="F61" i="11"/>
  <c r="G61" i="11"/>
  <c r="B61" i="11"/>
  <c r="E61" i="11" s="1"/>
  <c r="B62" i="11"/>
  <c r="F839" i="10"/>
  <c r="S839" i="10"/>
  <c r="C839" i="10"/>
  <c r="F58" i="11"/>
  <c r="G58" i="11"/>
  <c r="B58" i="11"/>
  <c r="E58" i="11" s="1"/>
  <c r="C793" i="10"/>
  <c r="F793" i="10"/>
  <c r="S793" i="10"/>
  <c r="F55" i="11"/>
  <c r="G55" i="11"/>
  <c r="B55" i="11"/>
  <c r="E55" i="11" s="1"/>
  <c r="C747" i="10"/>
  <c r="F747" i="10"/>
  <c r="S747" i="10"/>
  <c r="F53" i="11"/>
  <c r="G53" i="11"/>
  <c r="B53" i="11"/>
  <c r="L53" i="11" s="1"/>
  <c r="F44" i="11"/>
  <c r="G44" i="11"/>
  <c r="B44" i="11"/>
  <c r="E44" i="11" s="1"/>
  <c r="F37" i="11"/>
  <c r="G37" i="11"/>
  <c r="B37" i="11"/>
  <c r="C37" i="11" s="1"/>
  <c r="D37" i="11" s="1"/>
  <c r="F34" i="11"/>
  <c r="G34" i="11"/>
  <c r="B33" i="11"/>
  <c r="B34" i="11"/>
  <c r="C34" i="11" s="1"/>
  <c r="D34" i="11" s="1"/>
  <c r="F30" i="11"/>
  <c r="G30" i="11"/>
  <c r="F31" i="11"/>
  <c r="G31" i="11"/>
  <c r="G29" i="11"/>
  <c r="F29" i="11"/>
  <c r="B31" i="11"/>
  <c r="E31" i="11" s="1"/>
  <c r="B29" i="11"/>
  <c r="B30" i="11"/>
  <c r="C30" i="11" s="1"/>
  <c r="D30" i="11" s="1"/>
  <c r="F27" i="11"/>
  <c r="G27" i="11"/>
  <c r="B27" i="11"/>
  <c r="E27" i="11" s="1"/>
  <c r="L23" i="11"/>
  <c r="G21" i="11"/>
  <c r="F21" i="11"/>
  <c r="B20" i="11"/>
  <c r="E20" i="11" s="1"/>
  <c r="G23" i="11"/>
  <c r="F23" i="11"/>
  <c r="C81" i="10"/>
  <c r="F81" i="10"/>
  <c r="U81" i="10"/>
  <c r="C30" i="10"/>
  <c r="G30" i="10"/>
  <c r="W30" i="10"/>
  <c r="G20" i="11"/>
  <c r="F20" i="11"/>
  <c r="C70" i="11" l="1"/>
  <c r="D70" i="11" s="1"/>
  <c r="L73" i="11"/>
  <c r="C73" i="11"/>
  <c r="D73" i="11" s="1"/>
  <c r="L70" i="11"/>
  <c r="L67" i="11"/>
  <c r="E67" i="11"/>
  <c r="C64" i="11"/>
  <c r="D64" i="11" s="1"/>
  <c r="L64" i="11"/>
  <c r="C61" i="11"/>
  <c r="D61" i="11" s="1"/>
  <c r="L61" i="11"/>
  <c r="L58" i="11"/>
  <c r="C58" i="11"/>
  <c r="D58" i="11" s="1"/>
  <c r="L55" i="11"/>
  <c r="E53" i="11"/>
  <c r="C53" i="11"/>
  <c r="D53" i="11" s="1"/>
  <c r="C55" i="11"/>
  <c r="D55" i="11" s="1"/>
  <c r="C44" i="11"/>
  <c r="D44" i="11" s="1"/>
  <c r="L44" i="11"/>
  <c r="L34" i="11"/>
  <c r="L37" i="11"/>
  <c r="E37" i="11"/>
  <c r="E34" i="11"/>
  <c r="L31" i="11"/>
  <c r="L30" i="11"/>
  <c r="C31" i="11"/>
  <c r="D31" i="11" s="1"/>
  <c r="E30" i="11"/>
  <c r="C27" i="11"/>
  <c r="D27" i="11" s="1"/>
  <c r="L27" i="11"/>
  <c r="C23" i="11"/>
  <c r="D23" i="11" s="1"/>
  <c r="E23" i="11"/>
  <c r="C20" i="11"/>
  <c r="D20" i="11" s="1"/>
  <c r="L20" i="11"/>
  <c r="H1316" i="10" l="1"/>
  <c r="G1336" i="10" l="1"/>
  <c r="F1336" i="10"/>
  <c r="H1328" i="10"/>
  <c r="H1327" i="10"/>
  <c r="H1326" i="10"/>
  <c r="H1325" i="10"/>
  <c r="C1328" i="10"/>
  <c r="C1327" i="10"/>
  <c r="C1326" i="10"/>
  <c r="C1325" i="10"/>
  <c r="H1317" i="10"/>
  <c r="H1315" i="10"/>
  <c r="H1314" i="10"/>
  <c r="C1317" i="10"/>
  <c r="C1316" i="10"/>
  <c r="C1315" i="10"/>
  <c r="C1314" i="10"/>
  <c r="J1267" i="10"/>
  <c r="D1267" i="10"/>
  <c r="G83" i="11"/>
  <c r="F83" i="11"/>
  <c r="B83" i="11"/>
  <c r="E83" i="11" s="1"/>
  <c r="G82" i="11"/>
  <c r="F82" i="11"/>
  <c r="B82" i="11"/>
  <c r="E82" i="11" s="1"/>
  <c r="S1161" i="10"/>
  <c r="F1161" i="10"/>
  <c r="C1161" i="10"/>
  <c r="S1160" i="10"/>
  <c r="F1160" i="10"/>
  <c r="C1160" i="10"/>
  <c r="J17" i="14"/>
  <c r="I17" i="14"/>
  <c r="G721" i="10"/>
  <c r="E17" i="14" s="1"/>
  <c r="S721" i="10"/>
  <c r="K17" i="14" s="1"/>
  <c r="E715" i="10"/>
  <c r="E716" i="10" s="1"/>
  <c r="H710" i="10"/>
  <c r="F710" i="10"/>
  <c r="H709" i="10"/>
  <c r="F709" i="10"/>
  <c r="F708" i="10"/>
  <c r="L82" i="11" l="1"/>
  <c r="L83" i="11"/>
  <c r="C83" i="11"/>
  <c r="D83" i="11" s="1"/>
  <c r="C82" i="11"/>
  <c r="D82" i="11" s="1"/>
  <c r="B17" i="14"/>
  <c r="C17" i="14" s="1"/>
  <c r="D17" i="14" s="1"/>
  <c r="C721" i="10"/>
  <c r="E717" i="10"/>
  <c r="AA721" i="10" s="1"/>
  <c r="O17" i="14" s="1"/>
  <c r="I571" i="10"/>
  <c r="C571" i="10"/>
  <c r="P17" i="14" l="1"/>
  <c r="C23" i="14"/>
  <c r="D23" i="14" s="1"/>
  <c r="G36" i="11" l="1"/>
  <c r="F36" i="11"/>
  <c r="B36" i="11"/>
  <c r="V288" i="10"/>
  <c r="V287" i="10"/>
  <c r="F288" i="10"/>
  <c r="F287" i="10"/>
  <c r="C288" i="10"/>
  <c r="C287" i="10"/>
  <c r="P287" i="10" l="1"/>
  <c r="P288" i="10"/>
  <c r="I37" i="11" l="1"/>
  <c r="I36" i="11"/>
  <c r="I7" i="4" l="1"/>
  <c r="K7" i="4" s="1"/>
  <c r="J6" i="4"/>
  <c r="I6" i="4"/>
  <c r="J5" i="4"/>
  <c r="I5" i="4"/>
  <c r="J4" i="4"/>
  <c r="I4" i="4"/>
  <c r="J3" i="4"/>
  <c r="I3" i="4"/>
  <c r="J2" i="4"/>
  <c r="I2" i="4"/>
  <c r="O128" i="10"/>
  <c r="O125" i="10"/>
  <c r="O126" i="10" s="1"/>
  <c r="N125" i="10"/>
  <c r="H126" i="10"/>
  <c r="H125" i="10"/>
  <c r="F126" i="10"/>
  <c r="F125" i="10"/>
  <c r="F124" i="10"/>
  <c r="P10" i="7"/>
  <c r="P11" i="7" s="1"/>
  <c r="P7" i="7"/>
  <c r="P8" i="7" s="1"/>
  <c r="P4" i="7"/>
  <c r="P5" i="7" s="1"/>
  <c r="K6" i="4" l="1"/>
  <c r="K5" i="4"/>
  <c r="K4" i="4"/>
  <c r="K3" i="4"/>
  <c r="H20" i="13" s="1"/>
  <c r="K2" i="4"/>
  <c r="H18" i="13" s="1"/>
  <c r="J29" i="32"/>
  <c r="K29" i="32" s="1"/>
  <c r="J11" i="32"/>
  <c r="K11" i="32" s="1"/>
  <c r="J30" i="32"/>
  <c r="K30" i="32" s="1"/>
  <c r="J50" i="32"/>
  <c r="K50" i="32" s="1"/>
  <c r="J46" i="32"/>
  <c r="K46" i="32" s="1"/>
  <c r="J16" i="32"/>
  <c r="K16" i="32" s="1"/>
  <c r="J38" i="32"/>
  <c r="K38" i="32" s="1"/>
  <c r="J36" i="32"/>
  <c r="K36" i="32" s="1"/>
  <c r="J43" i="32"/>
  <c r="K43" i="32" s="1"/>
  <c r="J34" i="32"/>
  <c r="K34" i="32" s="1"/>
  <c r="K6" i="32"/>
  <c r="J42" i="32"/>
  <c r="K42" i="32" s="1"/>
  <c r="J54" i="32"/>
  <c r="K54" i="32" s="1"/>
  <c r="J26" i="32"/>
  <c r="K26" i="32" s="1"/>
  <c r="J4" i="32"/>
  <c r="K4" i="32" s="1"/>
  <c r="J13" i="32"/>
  <c r="K13" i="32" s="1"/>
  <c r="J41" i="32"/>
  <c r="K41" i="32" s="1"/>
  <c r="J48" i="32"/>
  <c r="K48" i="32" s="1"/>
  <c r="J55" i="32"/>
  <c r="K55" i="32" s="1"/>
  <c r="K5" i="32"/>
  <c r="J14" i="32"/>
  <c r="K14" i="32" s="1"/>
  <c r="J27" i="32"/>
  <c r="K27" i="32" s="1"/>
  <c r="J49" i="32"/>
  <c r="K49" i="32" s="1"/>
  <c r="J15" i="32"/>
  <c r="K15" i="32" s="1"/>
  <c r="J28" i="32"/>
  <c r="K28" i="32" s="1"/>
  <c r="J35" i="32"/>
  <c r="K35" i="32" s="1"/>
  <c r="J33" i="32"/>
  <c r="K33" i="32" s="1"/>
  <c r="J40" i="32"/>
  <c r="K40" i="32" s="1"/>
  <c r="J47" i="32"/>
  <c r="K47" i="32" s="1"/>
  <c r="J8" i="32"/>
  <c r="K8" i="32" s="1"/>
  <c r="J37" i="32"/>
  <c r="K37" i="32" s="1"/>
  <c r="J44" i="32"/>
  <c r="K44" i="32" s="1"/>
  <c r="J51" i="32"/>
  <c r="K51" i="32" s="1"/>
  <c r="J9" i="32"/>
  <c r="K9" i="32" s="1"/>
  <c r="I485" i="10" s="1"/>
  <c r="J45" i="32"/>
  <c r="K45" i="32" s="1"/>
  <c r="J52" i="32"/>
  <c r="K52" i="32" s="1"/>
  <c r="J24" i="32"/>
  <c r="K24" i="32" s="1"/>
  <c r="J31" i="32"/>
  <c r="K31" i="32" s="1"/>
  <c r="J53" i="32"/>
  <c r="K53" i="32" s="1"/>
  <c r="J25" i="32"/>
  <c r="K25" i="32" s="1"/>
  <c r="J32" i="32"/>
  <c r="K32" i="32" s="1"/>
  <c r="J39" i="32"/>
  <c r="K39" i="32" s="1"/>
  <c r="O129" i="10"/>
  <c r="AA135" i="10" s="1"/>
  <c r="I487" i="10" l="1"/>
  <c r="M487" i="10" s="1"/>
  <c r="F19" i="17"/>
  <c r="J19" i="17" s="1"/>
  <c r="I486" i="10"/>
  <c r="F18" i="17"/>
  <c r="F533" i="10"/>
  <c r="K86" i="10"/>
  <c r="O130" i="10"/>
  <c r="H14" i="1" l="1"/>
  <c r="I14" i="1" s="1"/>
  <c r="J14" i="1" s="1"/>
  <c r="I15" i="1" l="1"/>
  <c r="K14" i="1" s="1"/>
  <c r="G1335" i="10" l="1"/>
  <c r="G1337" i="10" s="1"/>
  <c r="I1062" i="10"/>
  <c r="M1016" i="10"/>
  <c r="S978" i="10"/>
  <c r="K924" i="10"/>
  <c r="G65" i="11"/>
  <c r="F65" i="11"/>
  <c r="G544" i="10"/>
  <c r="O1016" i="10" l="1"/>
  <c r="G27" i="6" s="1"/>
  <c r="F27" i="6" s="1"/>
  <c r="M1023" i="10"/>
  <c r="M1024" i="10"/>
  <c r="M924" i="10"/>
  <c r="O1017" i="10" l="1"/>
  <c r="O1018" i="10" s="1"/>
  <c r="I73" i="11"/>
  <c r="M931" i="10"/>
  <c r="M925" i="10"/>
  <c r="M932" i="10"/>
  <c r="O1019" i="10" l="1"/>
  <c r="M926" i="10"/>
  <c r="M927" i="10" s="1"/>
  <c r="G25" i="6" s="1"/>
  <c r="F25" i="6" s="1"/>
  <c r="I67" i="11"/>
  <c r="B19" i="10" l="1"/>
  <c r="C23" i="7" l="1"/>
  <c r="C22" i="7"/>
  <c r="H708" i="10" l="1"/>
  <c r="E360" i="10"/>
  <c r="E361" i="10" s="1"/>
  <c r="E495" i="10"/>
  <c r="E496" i="10" s="1"/>
  <c r="E106" i="10"/>
  <c r="E107" i="10" s="1"/>
  <c r="E689" i="10"/>
  <c r="E690" i="10" s="1"/>
  <c r="E1231" i="10"/>
  <c r="E1232" i="10" s="1"/>
  <c r="E1233" i="10" s="1"/>
  <c r="B29" i="14"/>
  <c r="B34" i="18"/>
  <c r="B33" i="18"/>
  <c r="B36" i="16"/>
  <c r="B30" i="14"/>
  <c r="B28" i="14"/>
  <c r="B37" i="16"/>
  <c r="B35" i="16"/>
  <c r="B32" i="18"/>
  <c r="F93" i="29"/>
  <c r="C93" i="29"/>
  <c r="K1108" i="10" s="1"/>
  <c r="I70" i="29"/>
  <c r="H70" i="29"/>
  <c r="G70" i="29"/>
  <c r="F59" i="29"/>
  <c r="C59" i="29"/>
  <c r="K1547" i="10" s="1"/>
  <c r="M1547" i="10" s="1"/>
  <c r="G25" i="29"/>
  <c r="F25" i="29"/>
  <c r="E25" i="29"/>
  <c r="C25" i="29"/>
  <c r="H24" i="29"/>
  <c r="H22" i="29"/>
  <c r="G18" i="29"/>
  <c r="F18" i="29"/>
  <c r="E18" i="29"/>
  <c r="C18" i="29"/>
  <c r="H17" i="29"/>
  <c r="H15" i="29"/>
  <c r="J9" i="29"/>
  <c r="J8" i="29"/>
  <c r="F74" i="29"/>
  <c r="K1062" i="10" s="1"/>
  <c r="L1062" i="10" s="1"/>
  <c r="O1062" i="10" s="1"/>
  <c r="C7" i="29"/>
  <c r="C6" i="29"/>
  <c r="C5" i="29"/>
  <c r="M1548" i="10" l="1"/>
  <c r="M1549" i="10" s="1"/>
  <c r="M1550" i="10" s="1"/>
  <c r="E691" i="10"/>
  <c r="H1108" i="10"/>
  <c r="H1155" i="10"/>
  <c r="E108" i="10"/>
  <c r="E497" i="10"/>
  <c r="E362" i="10"/>
  <c r="I31" i="29"/>
  <c r="E452" i="10" s="1"/>
  <c r="J485" i="10" s="1"/>
  <c r="M485" i="10" s="1"/>
  <c r="H127" i="10"/>
  <c r="H711" i="10"/>
  <c r="L970" i="10"/>
  <c r="K740" i="10"/>
  <c r="K878" i="10"/>
  <c r="K832" i="10"/>
  <c r="K786" i="10"/>
  <c r="O1063" i="10"/>
  <c r="O1064" i="10" s="1"/>
  <c r="M1069" i="10"/>
  <c r="H26" i="37" s="1"/>
  <c r="M1070" i="10"/>
  <c r="H16" i="29"/>
  <c r="H18" i="29" s="1"/>
  <c r="H23" i="29"/>
  <c r="D59" i="29" s="1"/>
  <c r="M1554" i="10" l="1"/>
  <c r="M1555" i="10"/>
  <c r="J1108" i="10"/>
  <c r="M1108" i="10" s="1"/>
  <c r="H52" i="29"/>
  <c r="H601" i="10" s="1"/>
  <c r="N970" i="10"/>
  <c r="N971" i="10" s="1"/>
  <c r="J112" i="10"/>
  <c r="I708" i="10"/>
  <c r="O1065" i="10"/>
  <c r="H135" i="10"/>
  <c r="F19" i="14" s="1"/>
  <c r="I18" i="29"/>
  <c r="C324" i="10" s="1"/>
  <c r="M740" i="10"/>
  <c r="I126" i="10"/>
  <c r="I125" i="10"/>
  <c r="I710" i="10"/>
  <c r="I721" i="10"/>
  <c r="I709" i="10"/>
  <c r="I124" i="10"/>
  <c r="M832" i="10"/>
  <c r="M786" i="10"/>
  <c r="I25" i="29"/>
  <c r="G452" i="10" s="1"/>
  <c r="I29" i="29"/>
  <c r="E454" i="10" s="1"/>
  <c r="G454" i="10" s="1"/>
  <c r="N454" i="10" s="1"/>
  <c r="I30" i="29"/>
  <c r="H25" i="29"/>
  <c r="I52" i="29"/>
  <c r="E59" i="29"/>
  <c r="D93" i="29"/>
  <c r="E93" i="29"/>
  <c r="N453" i="10" l="1"/>
  <c r="J486" i="10"/>
  <c r="M1115" i="10"/>
  <c r="M1116" i="10"/>
  <c r="M1109" i="10"/>
  <c r="M1110" i="10" s="1"/>
  <c r="N452" i="10"/>
  <c r="H16" i="37"/>
  <c r="G28" i="6"/>
  <c r="F28" i="6" s="1"/>
  <c r="G456" i="10"/>
  <c r="M1111" i="10"/>
  <c r="M839" i="10"/>
  <c r="I61" i="11" s="1"/>
  <c r="M748" i="10"/>
  <c r="M747" i="10"/>
  <c r="M741" i="10"/>
  <c r="M742" i="10" s="1"/>
  <c r="I711" i="10"/>
  <c r="M793" i="10"/>
  <c r="F17" i="14"/>
  <c r="I127" i="10"/>
  <c r="K721" i="10"/>
  <c r="G17" i="14" s="1"/>
  <c r="M833" i="10"/>
  <c r="M840" i="10"/>
  <c r="N972" i="10"/>
  <c r="M787" i="10"/>
  <c r="M788" i="10" s="1"/>
  <c r="M794" i="10"/>
  <c r="E601" i="10"/>
  <c r="G601" i="10" s="1"/>
  <c r="J601" i="10" s="1"/>
  <c r="M878" i="10"/>
  <c r="I32" i="29"/>
  <c r="B544" i="10" s="1"/>
  <c r="H32" i="29"/>
  <c r="M486" i="10" l="1"/>
  <c r="G18" i="17"/>
  <c r="J18" i="17" s="1"/>
  <c r="M488" i="10"/>
  <c r="F531" i="10" s="1"/>
  <c r="I101" i="11"/>
  <c r="I100" i="11"/>
  <c r="D544" i="10"/>
  <c r="F544" i="10" s="1"/>
  <c r="I544" i="10" s="1"/>
  <c r="G29" i="6"/>
  <c r="F29" i="6" s="1"/>
  <c r="N973" i="10"/>
  <c r="G26" i="6" s="1"/>
  <c r="F26" i="6" s="1"/>
  <c r="M789" i="10"/>
  <c r="G22" i="6" s="1"/>
  <c r="F22" i="6" s="1"/>
  <c r="M743" i="10"/>
  <c r="L135" i="10"/>
  <c r="G19" i="14"/>
  <c r="H19" i="14" s="1"/>
  <c r="M389" i="10"/>
  <c r="I55" i="11"/>
  <c r="I70" i="11"/>
  <c r="M885" i="10"/>
  <c r="M834" i="10"/>
  <c r="M835" i="10" s="1"/>
  <c r="G23" i="6" s="1"/>
  <c r="F23" i="6" s="1"/>
  <c r="H17" i="14"/>
  <c r="L17" i="14" s="1"/>
  <c r="I58" i="11"/>
  <c r="M721" i="10"/>
  <c r="M886" i="10"/>
  <c r="M879" i="10"/>
  <c r="F607" i="10"/>
  <c r="H17" i="17"/>
  <c r="F546" i="10" l="1"/>
  <c r="V135" i="10"/>
  <c r="X135" i="10" s="1"/>
  <c r="T135" i="10"/>
  <c r="AB135" i="10" s="1"/>
  <c r="G21" i="6"/>
  <c r="F21" i="6" s="1"/>
  <c r="M19" i="14"/>
  <c r="N19" i="14" s="1"/>
  <c r="L19" i="14"/>
  <c r="Q19" i="14" s="1"/>
  <c r="Q18" i="14" s="1"/>
  <c r="W389" i="10"/>
  <c r="Y389" i="10" s="1"/>
  <c r="U389" i="10"/>
  <c r="AC389" i="10" s="1"/>
  <c r="AC390" i="10" s="1"/>
  <c r="Q17" i="14"/>
  <c r="Q16" i="14" s="1"/>
  <c r="M17" i="14"/>
  <c r="N17" i="14" s="1"/>
  <c r="M880" i="10"/>
  <c r="M881" i="10" s="1"/>
  <c r="G24" i="6" s="1"/>
  <c r="F24" i="6" s="1"/>
  <c r="I64" i="11"/>
  <c r="W721" i="10"/>
  <c r="Y721" i="10" s="1"/>
  <c r="U721" i="10"/>
  <c r="AC721" i="10" s="1"/>
  <c r="F571" i="10"/>
  <c r="N551" i="10"/>
  <c r="H22" i="37" s="1"/>
  <c r="I65" i="11"/>
  <c r="N552" i="10"/>
  <c r="H24" i="37" s="1"/>
  <c r="H463" i="10"/>
  <c r="H462" i="10"/>
  <c r="E28" i="37" s="1"/>
  <c r="AB136" i="10" l="1"/>
  <c r="F144" i="10" s="1"/>
  <c r="AC722" i="10"/>
  <c r="F731" i="10" s="1"/>
  <c r="E29" i="22" l="1"/>
  <c r="E28" i="22"/>
  <c r="E27" i="22"/>
  <c r="E26" i="22"/>
  <c r="B29" i="22"/>
  <c r="B28" i="22"/>
  <c r="B27" i="22"/>
  <c r="B26" i="22"/>
  <c r="E24" i="22"/>
  <c r="E23" i="22"/>
  <c r="E22" i="22"/>
  <c r="E21" i="22"/>
  <c r="B24" i="22"/>
  <c r="B23" i="22"/>
  <c r="B22" i="22"/>
  <c r="B21" i="22"/>
  <c r="B19" i="22"/>
  <c r="B18" i="22"/>
  <c r="B17" i="22"/>
  <c r="B16" i="22"/>
  <c r="B16" i="16"/>
  <c r="B16" i="18" s="1"/>
  <c r="B15" i="11"/>
  <c r="G80" i="11"/>
  <c r="F80" i="11"/>
  <c r="B80" i="11"/>
  <c r="E80" i="11" s="1"/>
  <c r="B79" i="11"/>
  <c r="G77" i="11"/>
  <c r="F77" i="11"/>
  <c r="B77" i="11"/>
  <c r="E77" i="11" s="1"/>
  <c r="B76" i="11"/>
  <c r="G74" i="11"/>
  <c r="F74" i="11"/>
  <c r="B74" i="11"/>
  <c r="G71" i="11"/>
  <c r="F71" i="11"/>
  <c r="B71" i="11"/>
  <c r="E71" i="11" s="1"/>
  <c r="G68" i="11"/>
  <c r="F68" i="11"/>
  <c r="B68" i="11"/>
  <c r="E68" i="11" s="1"/>
  <c r="G62" i="11"/>
  <c r="F62" i="11"/>
  <c r="E62" i="11"/>
  <c r="G59" i="11"/>
  <c r="F59" i="11"/>
  <c r="B59" i="11"/>
  <c r="E59" i="11" s="1"/>
  <c r="G56" i="11"/>
  <c r="F56" i="11"/>
  <c r="B56" i="11"/>
  <c r="E56" i="11" s="1"/>
  <c r="E16" i="18" l="1"/>
  <c r="C16" i="18"/>
  <c r="D16" i="18" s="1"/>
  <c r="E74" i="11"/>
  <c r="C74" i="11"/>
  <c r="D74" i="11" s="1"/>
  <c r="C21" i="22"/>
  <c r="G21" i="22"/>
  <c r="F21" i="22"/>
  <c r="G22" i="22"/>
  <c r="C22" i="22"/>
  <c r="F22" i="22"/>
  <c r="F23" i="22"/>
  <c r="C23" i="22"/>
  <c r="G23" i="22"/>
  <c r="C24" i="22"/>
  <c r="G24" i="22"/>
  <c r="F24" i="22"/>
  <c r="F26" i="22"/>
  <c r="G26" i="22"/>
  <c r="C26" i="22"/>
  <c r="G27" i="22"/>
  <c r="F27" i="22"/>
  <c r="C27" i="22"/>
  <c r="C28" i="22"/>
  <c r="G28" i="22"/>
  <c r="F28" i="22"/>
  <c r="C29" i="22"/>
  <c r="G29" i="22"/>
  <c r="F29" i="22"/>
  <c r="F16" i="22"/>
  <c r="G16" i="22"/>
  <c r="C16" i="22"/>
  <c r="G17" i="22"/>
  <c r="F17" i="22"/>
  <c r="C17" i="22"/>
  <c r="C18" i="22"/>
  <c r="G18" i="22"/>
  <c r="F18" i="22"/>
  <c r="C19" i="22"/>
  <c r="G19" i="22"/>
  <c r="F19" i="22"/>
  <c r="C80" i="11"/>
  <c r="D80" i="11" s="1"/>
  <c r="L80" i="11"/>
  <c r="C77" i="11"/>
  <c r="D77" i="11" s="1"/>
  <c r="L77" i="11"/>
  <c r="L74" i="11"/>
  <c r="C71" i="11"/>
  <c r="D71" i="11" s="1"/>
  <c r="L71" i="11"/>
  <c r="L68" i="11"/>
  <c r="C68" i="11"/>
  <c r="D68" i="11" s="1"/>
  <c r="C62" i="11"/>
  <c r="D62" i="11" s="1"/>
  <c r="L62" i="11"/>
  <c r="C59" i="11"/>
  <c r="D59" i="11" s="1"/>
  <c r="L59" i="11"/>
  <c r="C56" i="11"/>
  <c r="D56" i="11" s="1"/>
  <c r="L56" i="11"/>
  <c r="B18" i="16"/>
  <c r="B18" i="18" s="1"/>
  <c r="B16" i="13"/>
  <c r="B17" i="11"/>
  <c r="B52" i="11"/>
  <c r="B21" i="17"/>
  <c r="G50" i="11"/>
  <c r="B50" i="11"/>
  <c r="E50" i="11" s="1"/>
  <c r="B49" i="11"/>
  <c r="B25" i="16"/>
  <c r="B25" i="18" s="1"/>
  <c r="B17" i="17"/>
  <c r="F17" i="17" l="1"/>
  <c r="C17" i="17"/>
  <c r="E18" i="18"/>
  <c r="C18" i="18"/>
  <c r="D18" i="18" s="1"/>
  <c r="E25" i="18"/>
  <c r="C25" i="18"/>
  <c r="D25" i="18" s="1"/>
  <c r="F21" i="17"/>
  <c r="C21" i="17"/>
  <c r="C50" i="11"/>
  <c r="D50" i="11" s="1"/>
  <c r="L50" i="11"/>
  <c r="B22" i="13"/>
  <c r="C22" i="13" s="1"/>
  <c r="D22" i="13" s="1"/>
  <c r="E47" i="11"/>
  <c r="G46" i="11"/>
  <c r="B46" i="11"/>
  <c r="E22" i="13"/>
  <c r="F47" i="11"/>
  <c r="F46" i="11"/>
  <c r="G43" i="11"/>
  <c r="F43" i="11"/>
  <c r="B43" i="11"/>
  <c r="E43" i="11" s="1"/>
  <c r="G42" i="11"/>
  <c r="F42" i="11"/>
  <c r="B42" i="11"/>
  <c r="B23" i="16"/>
  <c r="B23" i="18" s="1"/>
  <c r="B15" i="17"/>
  <c r="E40" i="11"/>
  <c r="G39" i="11"/>
  <c r="B39" i="11"/>
  <c r="G26" i="11"/>
  <c r="F26" i="11"/>
  <c r="B26" i="11"/>
  <c r="E26" i="11" s="1"/>
  <c r="B21" i="16"/>
  <c r="K21" i="16"/>
  <c r="F112" i="10"/>
  <c r="C112" i="10"/>
  <c r="E23" i="18" l="1"/>
  <c r="C23" i="18"/>
  <c r="D23" i="18" s="1"/>
  <c r="E21" i="16"/>
  <c r="B21" i="18"/>
  <c r="F15" i="17"/>
  <c r="C15" i="17"/>
  <c r="C47" i="11"/>
  <c r="D47" i="11" s="1"/>
  <c r="L47" i="11"/>
  <c r="C21" i="16"/>
  <c r="D21" i="16" s="1"/>
  <c r="C43" i="11"/>
  <c r="D43" i="11" s="1"/>
  <c r="L43" i="11"/>
  <c r="C40" i="11"/>
  <c r="D40" i="11" s="1"/>
  <c r="L40" i="11"/>
  <c r="C26" i="11"/>
  <c r="D26" i="11" s="1"/>
  <c r="L26" i="11"/>
  <c r="G17" i="17" l="1"/>
  <c r="J17" i="17" s="1"/>
  <c r="J16" i="17" s="1"/>
  <c r="E456" i="10" l="1"/>
  <c r="N456" i="10" l="1"/>
  <c r="N463" i="10" l="1"/>
  <c r="N462" i="10"/>
  <c r="H597" i="10"/>
  <c r="I50" i="11"/>
  <c r="U80" i="10"/>
  <c r="F80" i="10"/>
  <c r="C80" i="10"/>
  <c r="D69" i="10"/>
  <c r="K69" i="10" s="1"/>
  <c r="G151" i="10" l="1"/>
  <c r="L151" i="10" s="1"/>
  <c r="M25" i="18"/>
  <c r="F605" i="10"/>
  <c r="M21" i="18"/>
  <c r="F18" i="13"/>
  <c r="G18" i="13" s="1"/>
  <c r="I18" i="13" s="1"/>
  <c r="E29" i="11"/>
  <c r="I24" i="11" l="1"/>
  <c r="I17" i="13"/>
  <c r="I86" i="10"/>
  <c r="M86" i="10" s="1"/>
  <c r="I23" i="11"/>
  <c r="C29" i="11"/>
  <c r="D29" i="11" s="1"/>
  <c r="L29" i="11"/>
  <c r="M87" i="10" l="1"/>
  <c r="F140" i="10" s="1"/>
  <c r="H112" i="10"/>
  <c r="H21" i="18" s="1"/>
  <c r="I21" i="18" s="1"/>
  <c r="F15" i="15"/>
  <c r="N21" i="18" l="1"/>
  <c r="K21" i="18"/>
  <c r="F21" i="16"/>
  <c r="K112" i="10"/>
  <c r="G21" i="16"/>
  <c r="I9" i="23"/>
  <c r="I8" i="23"/>
  <c r="C8" i="23"/>
  <c r="C7" i="23"/>
  <c r="C6" i="23"/>
  <c r="C5" i="23"/>
  <c r="K1316" i="10"/>
  <c r="J1327" i="10" s="1"/>
  <c r="I28" i="22" s="1"/>
  <c r="M9" i="22"/>
  <c r="M8" i="22"/>
  <c r="C8" i="22"/>
  <c r="C7" i="22"/>
  <c r="C6" i="22"/>
  <c r="C5" i="22"/>
  <c r="G1299" i="10"/>
  <c r="H19" i="22" s="1"/>
  <c r="D1299" i="10"/>
  <c r="G1294" i="10"/>
  <c r="H18" i="22" s="1"/>
  <c r="D1294" i="10"/>
  <c r="C1289" i="10"/>
  <c r="C1280" i="10"/>
  <c r="G15" i="11"/>
  <c r="F15" i="11"/>
  <c r="F1237" i="10"/>
  <c r="C1237" i="10"/>
  <c r="S1210" i="10"/>
  <c r="F1210" i="10"/>
  <c r="C1210" i="10"/>
  <c r="G79" i="11"/>
  <c r="F79" i="11"/>
  <c r="S1116" i="10"/>
  <c r="F1116" i="10"/>
  <c r="C1116" i="10"/>
  <c r="S1115" i="10"/>
  <c r="F1115" i="10"/>
  <c r="C1115" i="10"/>
  <c r="G76" i="11"/>
  <c r="F76" i="11"/>
  <c r="S1070" i="10"/>
  <c r="F1070" i="10"/>
  <c r="C1070" i="10"/>
  <c r="S1069" i="10"/>
  <c r="F1069" i="10"/>
  <c r="C1069" i="10"/>
  <c r="S1024" i="10"/>
  <c r="F1024" i="10"/>
  <c r="C1024" i="10"/>
  <c r="L79" i="11"/>
  <c r="E79" i="11"/>
  <c r="C79" i="11"/>
  <c r="D79" i="11" s="1"/>
  <c r="F978" i="10"/>
  <c r="C978" i="10"/>
  <c r="S932" i="10"/>
  <c r="F932" i="10"/>
  <c r="C932" i="10"/>
  <c r="L76" i="11"/>
  <c r="E76" i="11"/>
  <c r="C76" i="11"/>
  <c r="D76" i="11" s="1"/>
  <c r="S886" i="10"/>
  <c r="F886" i="10"/>
  <c r="C886" i="10"/>
  <c r="S840" i="10"/>
  <c r="F840" i="10"/>
  <c r="C840" i="10"/>
  <c r="S794" i="10"/>
  <c r="F794" i="10"/>
  <c r="C794" i="10"/>
  <c r="S748" i="10"/>
  <c r="F748" i="10"/>
  <c r="C748" i="10"/>
  <c r="O21" i="18" l="1"/>
  <c r="H21" i="16"/>
  <c r="L21" i="16" s="1"/>
  <c r="I1294" i="10"/>
  <c r="J18" i="22" s="1"/>
  <c r="I23" i="22"/>
  <c r="F1280" i="10"/>
  <c r="I1280" i="10" s="1"/>
  <c r="J16" i="22" s="1"/>
  <c r="I1299" i="10"/>
  <c r="J19" i="22" s="1"/>
  <c r="O20" i="18" l="1"/>
  <c r="I15" i="15" s="1"/>
  <c r="L20" i="16"/>
  <c r="H15" i="15" s="1"/>
  <c r="K113" i="10"/>
  <c r="F143" i="10" s="1"/>
  <c r="K1314" i="10"/>
  <c r="I21" i="22" s="1"/>
  <c r="I16" i="22"/>
  <c r="I1344" i="10"/>
  <c r="L1344" i="10" s="1"/>
  <c r="I1341" i="10"/>
  <c r="L1341" i="10" s="1"/>
  <c r="I1343" i="10"/>
  <c r="L1343" i="10" s="1"/>
  <c r="I1346" i="10"/>
  <c r="L1346" i="10" s="1"/>
  <c r="I1342" i="10"/>
  <c r="L1342" i="10" s="1"/>
  <c r="I1345" i="10"/>
  <c r="L1345" i="10" s="1"/>
  <c r="E1350" i="10" l="1"/>
  <c r="E1351" i="10"/>
  <c r="I16" i="23" l="1"/>
  <c r="I18" i="23"/>
  <c r="I17" i="23"/>
  <c r="I20" i="23"/>
  <c r="I21" i="23"/>
  <c r="I15" i="23"/>
  <c r="I19" i="23"/>
  <c r="I22" i="23" l="1"/>
  <c r="F8" i="21"/>
  <c r="F7" i="21"/>
  <c r="C7" i="21"/>
  <c r="C6" i="21"/>
  <c r="C5" i="21"/>
  <c r="C4" i="21"/>
  <c r="E16" i="13"/>
  <c r="G17" i="11"/>
  <c r="F17" i="11"/>
  <c r="F695" i="10"/>
  <c r="C695" i="10"/>
  <c r="J677" i="10"/>
  <c r="J670" i="10"/>
  <c r="J669" i="10"/>
  <c r="F670" i="10"/>
  <c r="C670" i="10"/>
  <c r="F677" i="10"/>
  <c r="C677" i="10"/>
  <c r="F669" i="10"/>
  <c r="C669" i="10"/>
  <c r="J663" i="10"/>
  <c r="C663" i="10"/>
  <c r="S656" i="10"/>
  <c r="F656" i="10"/>
  <c r="C656" i="10"/>
  <c r="F8" i="20"/>
  <c r="F7" i="20"/>
  <c r="C6" i="20"/>
  <c r="C5" i="20"/>
  <c r="C4" i="20"/>
  <c r="J679" i="10" l="1"/>
  <c r="J671" i="10"/>
  <c r="L14" i="21" l="1"/>
  <c r="L13" i="21" s="1"/>
  <c r="M14" i="21"/>
  <c r="M13" i="21" s="1"/>
  <c r="N14" i="21"/>
  <c r="N13" i="21" s="1"/>
  <c r="O14" i="21"/>
  <c r="O13" i="21" s="1"/>
  <c r="P14" i="21"/>
  <c r="P13" i="21" s="1"/>
  <c r="Q14" i="21"/>
  <c r="Q13" i="21" s="1"/>
  <c r="R14" i="21"/>
  <c r="R13" i="21" s="1"/>
  <c r="S14" i="21"/>
  <c r="S13" i="21" s="1"/>
  <c r="K14" i="21"/>
  <c r="K13" i="21" s="1"/>
  <c r="G1284" i="10" s="1"/>
  <c r="F1289" i="10" s="1"/>
  <c r="R14" i="19"/>
  <c r="R13" i="19" s="1"/>
  <c r="R49" i="19" s="1"/>
  <c r="S14" i="19"/>
  <c r="S13" i="19" s="1"/>
  <c r="S49" i="19" s="1"/>
  <c r="K14" i="19"/>
  <c r="K13" i="19" s="1"/>
  <c r="K49" i="19" s="1"/>
  <c r="L14" i="19"/>
  <c r="L13" i="19" s="1"/>
  <c r="L49" i="19" s="1"/>
  <c r="M14" i="19"/>
  <c r="M13" i="19" s="1"/>
  <c r="M49" i="19" s="1"/>
  <c r="P14" i="19"/>
  <c r="P13" i="19" s="1"/>
  <c r="P49" i="19" s="1"/>
  <c r="O14" i="19"/>
  <c r="O13" i="19" s="1"/>
  <c r="O49" i="19" s="1"/>
  <c r="N14" i="19"/>
  <c r="N13" i="19" s="1"/>
  <c r="N49" i="19" s="1"/>
  <c r="Q14" i="19"/>
  <c r="Q13" i="19" s="1"/>
  <c r="Q49" i="19" s="1"/>
  <c r="F8" i="19"/>
  <c r="F7" i="19"/>
  <c r="C6" i="19"/>
  <c r="C5" i="19"/>
  <c r="C4" i="19"/>
  <c r="F55" i="19" l="1"/>
  <c r="E55" i="19"/>
  <c r="K1317" i="10"/>
  <c r="H1289" i="10"/>
  <c r="J17" i="22" s="1"/>
  <c r="I17" i="22"/>
  <c r="G52" i="11"/>
  <c r="F52" i="11"/>
  <c r="E21" i="18"/>
  <c r="C21" i="18"/>
  <c r="D21" i="18" s="1"/>
  <c r="O9" i="18"/>
  <c r="O8" i="18"/>
  <c r="C8" i="18"/>
  <c r="C7" i="18"/>
  <c r="C6" i="18"/>
  <c r="C5" i="18"/>
  <c r="J1328" i="10" l="1"/>
  <c r="I29" i="22" s="1"/>
  <c r="I24" i="22"/>
  <c r="G49" i="11"/>
  <c r="T614" i="10"/>
  <c r="F614" i="10"/>
  <c r="C614" i="10"/>
  <c r="T613" i="10"/>
  <c r="F613" i="10"/>
  <c r="C613" i="10"/>
  <c r="E571" i="10"/>
  <c r="G21" i="17" s="1"/>
  <c r="H552" i="10"/>
  <c r="E24" i="37" s="1"/>
  <c r="H551" i="10"/>
  <c r="E22" i="37" s="1"/>
  <c r="T552" i="10"/>
  <c r="F552" i="10"/>
  <c r="C552" i="10"/>
  <c r="T551" i="10"/>
  <c r="F551" i="10"/>
  <c r="C551" i="10"/>
  <c r="F501" i="10"/>
  <c r="C501" i="10"/>
  <c r="K468" i="10"/>
  <c r="C468" i="10"/>
  <c r="C338" i="10"/>
  <c r="T463" i="10"/>
  <c r="T462" i="10"/>
  <c r="F463" i="10"/>
  <c r="C463" i="10"/>
  <c r="F462" i="10"/>
  <c r="C462" i="10"/>
  <c r="F50" i="11" l="1"/>
  <c r="F49" i="11"/>
  <c r="T412" i="10" l="1"/>
  <c r="T411" i="10"/>
  <c r="T410" i="10"/>
  <c r="F412" i="10"/>
  <c r="C412" i="10"/>
  <c r="F411" i="10"/>
  <c r="C411" i="10"/>
  <c r="F410" i="10"/>
  <c r="C410" i="10"/>
  <c r="F366" i="10"/>
  <c r="C366" i="10"/>
  <c r="D17" i="17"/>
  <c r="J8" i="17"/>
  <c r="J7" i="17"/>
  <c r="C7" i="17"/>
  <c r="C6" i="17"/>
  <c r="C5" i="17"/>
  <c r="C4" i="17"/>
  <c r="E353" i="10"/>
  <c r="G15" i="17" s="1"/>
  <c r="J338" i="10"/>
  <c r="G338" i="10"/>
  <c r="E20" i="13" s="1"/>
  <c r="I20" i="13" s="1"/>
  <c r="H333" i="10"/>
  <c r="E27" i="37" s="1"/>
  <c r="H332" i="10"/>
  <c r="E25" i="37" s="1"/>
  <c r="T333" i="10"/>
  <c r="T332" i="10"/>
  <c r="F333" i="10"/>
  <c r="C333" i="10"/>
  <c r="F332" i="10"/>
  <c r="C332" i="10"/>
  <c r="F40" i="11" l="1"/>
  <c r="F39" i="11"/>
  <c r="F398" i="10" l="1"/>
  <c r="J1325" i="10" l="1"/>
  <c r="I26" i="22" s="1"/>
  <c r="K1315" i="10"/>
  <c r="J1326" i="10" s="1"/>
  <c r="I27" i="22" l="1"/>
  <c r="I22" i="22"/>
  <c r="J19" i="15" l="1"/>
  <c r="U160" i="10"/>
  <c r="U159" i="10"/>
  <c r="F160" i="10"/>
  <c r="C160" i="10"/>
  <c r="F159" i="10"/>
  <c r="C159" i="10"/>
  <c r="K25" i="16"/>
  <c r="E25" i="16"/>
  <c r="C25" i="16"/>
  <c r="D25" i="16" s="1"/>
  <c r="K23" i="16"/>
  <c r="E23" i="16"/>
  <c r="C23" i="16"/>
  <c r="D23" i="16" s="1"/>
  <c r="K18" i="16"/>
  <c r="E18" i="16"/>
  <c r="C18" i="16"/>
  <c r="D18" i="16" s="1"/>
  <c r="E16" i="16"/>
  <c r="C16" i="16"/>
  <c r="D16" i="16" s="1"/>
  <c r="L9" i="16"/>
  <c r="L8" i="16"/>
  <c r="C8" i="16"/>
  <c r="C7" i="16"/>
  <c r="C6" i="16"/>
  <c r="C5" i="16"/>
  <c r="G33" i="11" l="1"/>
  <c r="F33" i="11"/>
  <c r="V246" i="10"/>
  <c r="V245" i="10"/>
  <c r="F246" i="10"/>
  <c r="F245" i="10"/>
  <c r="F203" i="10"/>
  <c r="F202" i="10"/>
  <c r="F201" i="10"/>
  <c r="C246" i="10"/>
  <c r="C245" i="10"/>
  <c r="V203" i="10"/>
  <c r="V202" i="10"/>
  <c r="V201" i="10"/>
  <c r="C203" i="10"/>
  <c r="C202" i="10"/>
  <c r="C201" i="10"/>
  <c r="O8" i="15"/>
  <c r="O7" i="15"/>
  <c r="C6" i="15"/>
  <c r="C5" i="15"/>
  <c r="C4" i="15"/>
  <c r="Q9" i="14"/>
  <c r="Q8" i="14"/>
  <c r="C8" i="14"/>
  <c r="C7" i="14"/>
  <c r="C6" i="14"/>
  <c r="C5" i="14"/>
  <c r="H22" i="13"/>
  <c r="H16" i="13"/>
  <c r="C16" i="13"/>
  <c r="D16" i="13" s="1"/>
  <c r="C5" i="13"/>
  <c r="C6" i="13"/>
  <c r="C7" i="13"/>
  <c r="C8" i="13"/>
  <c r="I8" i="13"/>
  <c r="I9" i="13"/>
  <c r="E65" i="11"/>
  <c r="E52" i="11"/>
  <c r="E49" i="11"/>
  <c r="E46" i="11"/>
  <c r="E42" i="11"/>
  <c r="E39" i="11"/>
  <c r="E36" i="11"/>
  <c r="E33" i="11"/>
  <c r="E17" i="11"/>
  <c r="E15" i="11"/>
  <c r="E21" i="11"/>
  <c r="L65" i="11"/>
  <c r="C65" i="11"/>
  <c r="D65" i="11" s="1"/>
  <c r="L52" i="11"/>
  <c r="C52" i="11"/>
  <c r="D52" i="11" s="1"/>
  <c r="L49" i="11"/>
  <c r="C49" i="11"/>
  <c r="D49" i="11" s="1"/>
  <c r="L46" i="11"/>
  <c r="C46" i="11"/>
  <c r="D46" i="11" s="1"/>
  <c r="L42" i="11"/>
  <c r="C42" i="11"/>
  <c r="L39" i="11"/>
  <c r="C39" i="11"/>
  <c r="D39" i="11" s="1"/>
  <c r="L36" i="11"/>
  <c r="C36" i="11"/>
  <c r="D36" i="11" s="1"/>
  <c r="L33" i="11"/>
  <c r="C33" i="11"/>
  <c r="D33" i="11" s="1"/>
  <c r="L21" i="11"/>
  <c r="C21" i="11"/>
  <c r="D21" i="11" s="1"/>
  <c r="L17" i="11"/>
  <c r="C17" i="11"/>
  <c r="D17" i="11" s="1"/>
  <c r="L15" i="11"/>
  <c r="C15" i="11"/>
  <c r="D15" i="11" s="1"/>
  <c r="M8" i="11"/>
  <c r="M7" i="11"/>
  <c r="C7" i="11"/>
  <c r="C6" i="11"/>
  <c r="C5" i="11"/>
  <c r="C4" i="11"/>
  <c r="W29" i="10" l="1"/>
  <c r="G29" i="10"/>
  <c r="C29" i="10"/>
  <c r="B6" i="7" l="1"/>
  <c r="K1510" i="10" l="1"/>
  <c r="K1414" i="10"/>
  <c r="K1415" i="10"/>
  <c r="O1415" i="10" s="1"/>
  <c r="Q1415" i="10" s="1"/>
  <c r="T1415" i="10" s="1"/>
  <c r="K1461" i="10"/>
  <c r="K1555" i="10"/>
  <c r="K1364" i="10"/>
  <c r="K1462" i="10"/>
  <c r="K1463" i="10"/>
  <c r="K1366" i="10"/>
  <c r="K1460" i="10"/>
  <c r="K1365" i="10"/>
  <c r="K1367" i="10"/>
  <c r="K1554" i="10"/>
  <c r="L613" i="10"/>
  <c r="H52" i="11" s="1"/>
  <c r="K656" i="10"/>
  <c r="H17" i="11" s="1"/>
  <c r="M80" i="10"/>
  <c r="G17" i="37" s="1"/>
  <c r="M287" i="10"/>
  <c r="M202" i="10"/>
  <c r="G29" i="37" s="1"/>
  <c r="M245" i="10"/>
  <c r="M201" i="10"/>
  <c r="L159" i="10"/>
  <c r="L410" i="10"/>
  <c r="K657" i="10"/>
  <c r="G19" i="37" s="1"/>
  <c r="K747" i="10"/>
  <c r="K931" i="10"/>
  <c r="K839" i="10"/>
  <c r="N30" i="10"/>
  <c r="H21" i="11" s="1"/>
  <c r="K977" i="10"/>
  <c r="M81" i="10"/>
  <c r="K1023" i="10"/>
  <c r="K885" i="10"/>
  <c r="K793" i="10"/>
  <c r="E1206" i="10"/>
  <c r="K1160" i="10"/>
  <c r="H82" i="11" s="1"/>
  <c r="K1161" i="10"/>
  <c r="H83" i="11" s="1"/>
  <c r="M288" i="10"/>
  <c r="J15" i="15"/>
  <c r="K794" i="10"/>
  <c r="O794" i="10" s="1"/>
  <c r="K932" i="10"/>
  <c r="O932" i="10" s="1"/>
  <c r="K840" i="10"/>
  <c r="O840" i="10" s="1"/>
  <c r="K978" i="10"/>
  <c r="K886" i="10"/>
  <c r="K1116" i="10"/>
  <c r="O1116" i="10" s="1"/>
  <c r="K1115" i="10"/>
  <c r="O1115" i="10" s="1"/>
  <c r="H18" i="11"/>
  <c r="K1210" i="10"/>
  <c r="K1024" i="10"/>
  <c r="H74" i="11" s="1"/>
  <c r="H42" i="11"/>
  <c r="K1070" i="10"/>
  <c r="H77" i="11" s="1"/>
  <c r="K1069" i="10"/>
  <c r="K748" i="10"/>
  <c r="H56" i="11" s="1"/>
  <c r="L552" i="10"/>
  <c r="L551" i="10"/>
  <c r="L462" i="10"/>
  <c r="L614" i="10"/>
  <c r="H53" i="11" s="1"/>
  <c r="L463" i="10"/>
  <c r="L412" i="10"/>
  <c r="H44" i="11" s="1"/>
  <c r="L333" i="10"/>
  <c r="G27" i="37" s="1"/>
  <c r="L411" i="10"/>
  <c r="H43" i="11" s="1"/>
  <c r="L332" i="10"/>
  <c r="L160" i="10"/>
  <c r="H26" i="11"/>
  <c r="M203" i="10"/>
  <c r="H31" i="11" s="1"/>
  <c r="H30" i="11"/>
  <c r="M246" i="10"/>
  <c r="H29" i="11"/>
  <c r="H33" i="11"/>
  <c r="N29" i="10"/>
  <c r="G15" i="37" s="1"/>
  <c r="E5" i="7"/>
  <c r="H9" i="6"/>
  <c r="H8" i="6"/>
  <c r="C8" i="6"/>
  <c r="C7" i="6"/>
  <c r="C6" i="6"/>
  <c r="C5" i="6"/>
  <c r="H58" i="11" l="1"/>
  <c r="J58" i="11" s="1"/>
  <c r="K58" i="11" s="1"/>
  <c r="M58" i="11" s="1"/>
  <c r="O793" i="10"/>
  <c r="Q793" i="10" s="1"/>
  <c r="T793" i="10" s="1"/>
  <c r="H86" i="11"/>
  <c r="J86" i="11" s="1"/>
  <c r="K86" i="11" s="1"/>
  <c r="M86" i="11" s="1"/>
  <c r="O1365" i="10"/>
  <c r="Q1365" i="10" s="1"/>
  <c r="T1365" i="10" s="1"/>
  <c r="G21" i="37"/>
  <c r="H24" i="11"/>
  <c r="J24" i="11" s="1"/>
  <c r="K24" i="11" s="1"/>
  <c r="M24" i="11" s="1"/>
  <c r="Q81" i="10"/>
  <c r="S81" i="10" s="1"/>
  <c r="V81" i="10" s="1"/>
  <c r="H93" i="11"/>
  <c r="J93" i="11" s="1"/>
  <c r="K93" i="11" s="1"/>
  <c r="M93" i="11" s="1"/>
  <c r="O1460" i="10"/>
  <c r="Q1460" i="10" s="1"/>
  <c r="T1460" i="10" s="1"/>
  <c r="H87" i="11"/>
  <c r="J87" i="11" s="1"/>
  <c r="O1366" i="10"/>
  <c r="Q1366" i="10" s="1"/>
  <c r="T1366" i="10" s="1"/>
  <c r="H73" i="11"/>
  <c r="J73" i="11" s="1"/>
  <c r="K73" i="11" s="1"/>
  <c r="M73" i="11" s="1"/>
  <c r="O1023" i="10"/>
  <c r="Q1023" i="10" s="1"/>
  <c r="T1023" i="10" s="1"/>
  <c r="H88" i="11"/>
  <c r="J88" i="11" s="1"/>
  <c r="K88" i="11" s="1"/>
  <c r="M88" i="11" s="1"/>
  <c r="O1367" i="10"/>
  <c r="Q1367" i="10" s="1"/>
  <c r="T1367" i="10" s="1"/>
  <c r="H96" i="11"/>
  <c r="J96" i="11" s="1"/>
  <c r="K96" i="11" s="1"/>
  <c r="M96" i="11" s="1"/>
  <c r="O1463" i="10"/>
  <c r="Q1463" i="10" s="1"/>
  <c r="T1463" i="10" s="1"/>
  <c r="H64" i="11"/>
  <c r="J64" i="11" s="1"/>
  <c r="K64" i="11" s="1"/>
  <c r="M64" i="11" s="1"/>
  <c r="O885" i="10"/>
  <c r="Q885" i="10" s="1"/>
  <c r="T885" i="10" s="1"/>
  <c r="H95" i="11"/>
  <c r="J95" i="11" s="1"/>
  <c r="K95" i="11" s="1"/>
  <c r="M95" i="11" s="1"/>
  <c r="O1462" i="10"/>
  <c r="Q1462" i="10" s="1"/>
  <c r="T1462" i="10" s="1"/>
  <c r="H55" i="11"/>
  <c r="J55" i="11" s="1"/>
  <c r="K55" i="11" s="1"/>
  <c r="M55" i="11" s="1"/>
  <c r="O747" i="10"/>
  <c r="Q747" i="10" s="1"/>
  <c r="T747" i="10" s="1"/>
  <c r="H85" i="11"/>
  <c r="J85" i="11" s="1"/>
  <c r="K85" i="11" s="1"/>
  <c r="M85" i="11" s="1"/>
  <c r="O1364" i="10"/>
  <c r="Q1364" i="10" s="1"/>
  <c r="T1364" i="10" s="1"/>
  <c r="H100" i="11"/>
  <c r="J100" i="11" s="1"/>
  <c r="G16" i="37"/>
  <c r="O1554" i="10"/>
  <c r="Q1554" i="10" s="1"/>
  <c r="T1554" i="10" s="1"/>
  <c r="H101" i="11"/>
  <c r="J101" i="11" s="1"/>
  <c r="K101" i="11" s="1"/>
  <c r="M101" i="11" s="1"/>
  <c r="O1555" i="10"/>
  <c r="Q1555" i="10" s="1"/>
  <c r="T1555" i="10" s="1"/>
  <c r="H70" i="11"/>
  <c r="J70" i="11" s="1"/>
  <c r="K70" i="11" s="1"/>
  <c r="M70" i="11" s="1"/>
  <c r="O977" i="10"/>
  <c r="Q977" i="10" s="1"/>
  <c r="T977" i="10" s="1"/>
  <c r="H37" i="11"/>
  <c r="J37" i="11" s="1"/>
  <c r="K37" i="11" s="1"/>
  <c r="M37" i="11" s="1"/>
  <c r="G18" i="37"/>
  <c r="R288" i="10"/>
  <c r="T288" i="10" s="1"/>
  <c r="W288" i="10" s="1"/>
  <c r="H94" i="11"/>
  <c r="J94" i="11" s="1"/>
  <c r="K94" i="11" s="1"/>
  <c r="M94" i="11" s="1"/>
  <c r="O1461" i="10"/>
  <c r="Q1461" i="10" s="1"/>
  <c r="T1461" i="10" s="1"/>
  <c r="H61" i="11"/>
  <c r="J61" i="11" s="1"/>
  <c r="K61" i="11" s="1"/>
  <c r="M61" i="11" s="1"/>
  <c r="O839" i="10"/>
  <c r="Q839" i="10" s="1"/>
  <c r="T839" i="10" s="1"/>
  <c r="H91" i="11"/>
  <c r="J91" i="11" s="1"/>
  <c r="K91" i="11" s="1"/>
  <c r="M91" i="11" s="1"/>
  <c r="H90" i="11"/>
  <c r="J90" i="11" s="1"/>
  <c r="K90" i="11" s="1"/>
  <c r="M90" i="11" s="1"/>
  <c r="O1414" i="10"/>
  <c r="Q1414" i="10" s="1"/>
  <c r="T1414" i="10" s="1"/>
  <c r="T1416" i="10" s="1"/>
  <c r="F1442" i="10" s="1"/>
  <c r="F1448" i="10" s="1"/>
  <c r="H67" i="11"/>
  <c r="J67" i="11" s="1"/>
  <c r="K67" i="11" s="1"/>
  <c r="M67" i="11" s="1"/>
  <c r="O931" i="10"/>
  <c r="Q931" i="10" s="1"/>
  <c r="T931" i="10" s="1"/>
  <c r="O1407" i="10"/>
  <c r="O1408" i="10" s="1"/>
  <c r="O1409" i="10" s="1"/>
  <c r="O1503" i="10"/>
  <c r="O1504" i="10" s="1"/>
  <c r="O1505" i="10" s="1"/>
  <c r="J455" i="10"/>
  <c r="P455" i="10" s="1"/>
  <c r="O1453" i="10"/>
  <c r="O1454" i="10" s="1"/>
  <c r="O1455" i="10" s="1"/>
  <c r="O1357" i="10"/>
  <c r="O1358" i="10" s="1"/>
  <c r="O1359" i="10" s="1"/>
  <c r="I405" i="10"/>
  <c r="G24" i="20" s="1"/>
  <c r="H283" i="10"/>
  <c r="G21" i="20" s="1"/>
  <c r="Q1016" i="10"/>
  <c r="Q1017" i="10" s="1"/>
  <c r="O924" i="10"/>
  <c r="O1547" i="10"/>
  <c r="O1548" i="10" s="1"/>
  <c r="O1549" i="10" s="1"/>
  <c r="R1062" i="10"/>
  <c r="J452" i="10"/>
  <c r="P452" i="10" s="1"/>
  <c r="O1108" i="10"/>
  <c r="O1109" i="10" s="1"/>
  <c r="O740" i="10"/>
  <c r="O832" i="10"/>
  <c r="O833" i="10" s="1"/>
  <c r="O786" i="10"/>
  <c r="O787" i="10" s="1"/>
  <c r="P970" i="10"/>
  <c r="P971" i="10" s="1"/>
  <c r="L601" i="10"/>
  <c r="G33" i="20" s="1"/>
  <c r="O878" i="10"/>
  <c r="O879" i="10" s="1"/>
  <c r="K607" i="10"/>
  <c r="K544" i="10"/>
  <c r="G32" i="20" s="1"/>
  <c r="K70" i="10"/>
  <c r="J597" i="10"/>
  <c r="H36" i="11"/>
  <c r="R287" i="10"/>
  <c r="T287" i="10" s="1"/>
  <c r="W287" i="10" s="1"/>
  <c r="H98" i="11"/>
  <c r="J98" i="11" s="1"/>
  <c r="K98" i="11" s="1"/>
  <c r="M98" i="11" s="1"/>
  <c r="M97" i="11" s="1"/>
  <c r="E34" i="15" s="1"/>
  <c r="K34" i="15" s="1"/>
  <c r="O1510" i="10"/>
  <c r="Q1510" i="10" s="1"/>
  <c r="T1510" i="10" s="1"/>
  <c r="T1511" i="10" s="1"/>
  <c r="F1536" i="10" s="1"/>
  <c r="F1542" i="10" s="1"/>
  <c r="H34" i="11"/>
  <c r="G30" i="37"/>
  <c r="H39" i="11"/>
  <c r="G25" i="37"/>
  <c r="H76" i="11"/>
  <c r="G26" i="37"/>
  <c r="H15" i="11"/>
  <c r="G14" i="37"/>
  <c r="H46" i="11"/>
  <c r="G28" i="37"/>
  <c r="H27" i="11"/>
  <c r="G20" i="37"/>
  <c r="H49" i="11"/>
  <c r="G22" i="37"/>
  <c r="H50" i="11"/>
  <c r="J50" i="11" s="1"/>
  <c r="G24" i="37"/>
  <c r="H40" i="11"/>
  <c r="H47" i="11"/>
  <c r="H23" i="11"/>
  <c r="J23" i="11" s="1"/>
  <c r="H20" i="11"/>
  <c r="H62" i="11"/>
  <c r="H68" i="11"/>
  <c r="H59" i="11"/>
  <c r="H65" i="11"/>
  <c r="O886" i="10"/>
  <c r="H79" i="11"/>
  <c r="H71" i="11"/>
  <c r="O978" i="10"/>
  <c r="Q978" i="10" s="1"/>
  <c r="T978" i="10" s="1"/>
  <c r="F547" i="10"/>
  <c r="H80" i="11"/>
  <c r="J453" i="10"/>
  <c r="P453" i="10" s="1"/>
  <c r="J454" i="10"/>
  <c r="P454" i="10" s="1"/>
  <c r="F325" i="10"/>
  <c r="J325" i="10" s="1"/>
  <c r="D651" i="10" s="1"/>
  <c r="W289" i="10" l="1"/>
  <c r="F314" i="10" s="1"/>
  <c r="F320" i="10" s="1"/>
  <c r="T1556" i="10"/>
  <c r="F1582" i="10" s="1"/>
  <c r="F1588" i="10" s="1"/>
  <c r="M89" i="11"/>
  <c r="E32" i="15" s="1"/>
  <c r="K32" i="15" s="1"/>
  <c r="O741" i="10"/>
  <c r="O742" i="10" s="1"/>
  <c r="K100" i="11"/>
  <c r="M100" i="11" s="1"/>
  <c r="M99" i="11" s="1"/>
  <c r="E35" i="15" s="1"/>
  <c r="K35" i="15" s="1"/>
  <c r="I16" i="37"/>
  <c r="J16" i="37" s="1"/>
  <c r="L16" i="37" s="1"/>
  <c r="K87" i="11"/>
  <c r="M87" i="11" s="1"/>
  <c r="M84" i="11" s="1"/>
  <c r="E31" i="15" s="1"/>
  <c r="K31" i="15" s="1"/>
  <c r="I23" i="37"/>
  <c r="J23" i="37" s="1"/>
  <c r="L23" i="37" s="1"/>
  <c r="T1368" i="10"/>
  <c r="F1396" i="10" s="1"/>
  <c r="F1402" i="10" s="1"/>
  <c r="M92" i="11"/>
  <c r="E33" i="15" s="1"/>
  <c r="K33" i="15" s="1"/>
  <c r="G17" i="20"/>
  <c r="F17" i="20" s="1"/>
  <c r="G15" i="6"/>
  <c r="F15" i="6" s="1"/>
  <c r="T1464" i="10"/>
  <c r="F1492" i="10" s="1"/>
  <c r="F1498" i="10" s="1"/>
  <c r="P456" i="10"/>
  <c r="K23" i="11"/>
  <c r="M23" i="11" s="1"/>
  <c r="K50" i="11"/>
  <c r="M50" i="11" s="1"/>
  <c r="I24" i="37"/>
  <c r="J24" i="37" s="1"/>
  <c r="L24" i="37" s="1"/>
  <c r="J456" i="10"/>
  <c r="Q24" i="14"/>
  <c r="Q25" i="14" s="1"/>
  <c r="J20" i="15"/>
  <c r="J36" i="15" s="1"/>
  <c r="T979" i="10"/>
  <c r="F1005" i="10" s="1"/>
  <c r="G43" i="20"/>
  <c r="O1110" i="10"/>
  <c r="G59" i="20" s="1"/>
  <c r="G41" i="20"/>
  <c r="Q1018" i="10"/>
  <c r="G57" i="20" s="1"/>
  <c r="G40" i="20"/>
  <c r="G38" i="20"/>
  <c r="O880" i="10"/>
  <c r="G54" i="20" s="1"/>
  <c r="G35" i="20"/>
  <c r="G37" i="20"/>
  <c r="G39" i="20"/>
  <c r="G36" i="20"/>
  <c r="G42" i="20"/>
  <c r="Q1115" i="10"/>
  <c r="T1115" i="10" s="1"/>
  <c r="I80" i="11"/>
  <c r="J80" i="11" s="1"/>
  <c r="K80" i="11" s="1"/>
  <c r="M80" i="11" s="1"/>
  <c r="I77" i="11"/>
  <c r="J77" i="11" s="1"/>
  <c r="K77" i="11" s="1"/>
  <c r="M77" i="11" s="1"/>
  <c r="I71" i="11"/>
  <c r="J71" i="11" s="1"/>
  <c r="K71" i="11" s="1"/>
  <c r="M71" i="11" s="1"/>
  <c r="I59" i="11"/>
  <c r="J59" i="11" s="1"/>
  <c r="K59" i="11" s="1"/>
  <c r="M59" i="11" s="1"/>
  <c r="I62" i="11"/>
  <c r="J62" i="11" s="1"/>
  <c r="K62" i="11" s="1"/>
  <c r="M62" i="11" s="1"/>
  <c r="Q80" i="10"/>
  <c r="S80" i="10" s="1"/>
  <c r="F327" i="10"/>
  <c r="F15" i="21" l="1"/>
  <c r="G15" i="21" s="1"/>
  <c r="E18" i="20"/>
  <c r="E23" i="19" s="1"/>
  <c r="F15" i="19"/>
  <c r="G31" i="20"/>
  <c r="G17" i="21" s="1"/>
  <c r="I47" i="11"/>
  <c r="J47" i="11" s="1"/>
  <c r="H28" i="37"/>
  <c r="V80" i="10"/>
  <c r="M69" i="11"/>
  <c r="M60" i="11"/>
  <c r="M57" i="11"/>
  <c r="O834" i="10"/>
  <c r="G53" i="20" s="1"/>
  <c r="O926" i="10"/>
  <c r="G55" i="20" s="1"/>
  <c r="F328" i="10"/>
  <c r="M327" i="10" s="1"/>
  <c r="O788" i="10"/>
  <c r="G52" i="20" s="1"/>
  <c r="G51" i="20"/>
  <c r="R1064" i="10"/>
  <c r="G58" i="20" s="1"/>
  <c r="P972" i="10"/>
  <c r="G56" i="20" s="1"/>
  <c r="I79" i="11"/>
  <c r="J79" i="11" s="1"/>
  <c r="K79" i="11" s="1"/>
  <c r="M79" i="11" s="1"/>
  <c r="Q1116" i="10"/>
  <c r="T1116" i="10" s="1"/>
  <c r="F22" i="13"/>
  <c r="I74" i="11"/>
  <c r="J74" i="11" s="1"/>
  <c r="K74" i="11" s="1"/>
  <c r="M74" i="11" s="1"/>
  <c r="O1024" i="10"/>
  <c r="Q1024" i="10" s="1"/>
  <c r="T1024" i="10" s="1"/>
  <c r="I68" i="11"/>
  <c r="J68" i="11" s="1"/>
  <c r="K68" i="11" s="1"/>
  <c r="M68" i="11" s="1"/>
  <c r="Q932" i="10"/>
  <c r="T932" i="10" s="1"/>
  <c r="Q794" i="10"/>
  <c r="T794" i="10" s="1"/>
  <c r="O1069" i="10"/>
  <c r="Q1069" i="10" s="1"/>
  <c r="T1069" i="10" s="1"/>
  <c r="O1070" i="10"/>
  <c r="Q1070" i="10" s="1"/>
  <c r="T1070" i="10" s="1"/>
  <c r="J36" i="11"/>
  <c r="K36" i="11" s="1"/>
  <c r="M36" i="11" s="1"/>
  <c r="M35" i="11" s="1"/>
  <c r="K47" i="11" l="1"/>
  <c r="M47" i="11" s="1"/>
  <c r="I21" i="37"/>
  <c r="J21" i="37" s="1"/>
  <c r="L21" i="37" s="1"/>
  <c r="F496" i="10"/>
  <c r="F497" i="10" s="1"/>
  <c r="I46" i="11"/>
  <c r="F353" i="10"/>
  <c r="V82" i="10"/>
  <c r="F139" i="10" s="1"/>
  <c r="G404" i="10"/>
  <c r="I404" i="10" s="1"/>
  <c r="N333" i="10"/>
  <c r="H27" i="37" s="1"/>
  <c r="N332" i="10"/>
  <c r="M72" i="11"/>
  <c r="E27" i="15" s="1"/>
  <c r="K27" i="15" s="1"/>
  <c r="M66" i="11"/>
  <c r="E25" i="15" s="1"/>
  <c r="K25" i="15" s="1"/>
  <c r="T1071" i="10"/>
  <c r="F1097" i="10" s="1"/>
  <c r="F1103" i="10" s="1"/>
  <c r="T1025" i="10"/>
  <c r="F1051" i="10" s="1"/>
  <c r="F1057" i="10" s="1"/>
  <c r="T933" i="10"/>
  <c r="F959" i="10" s="1"/>
  <c r="F965" i="10" s="1"/>
  <c r="T795" i="10"/>
  <c r="F821" i="10" s="1"/>
  <c r="F827" i="10" s="1"/>
  <c r="G406" i="10"/>
  <c r="T1117" i="10"/>
  <c r="F1143" i="10" s="1"/>
  <c r="F1149" i="10" s="1"/>
  <c r="M78" i="11"/>
  <c r="E29" i="15" s="1"/>
  <c r="K29" i="15" s="1"/>
  <c r="O748" i="10"/>
  <c r="Q748" i="10" s="1"/>
  <c r="T748" i="10" s="1"/>
  <c r="I56" i="11"/>
  <c r="J56" i="11" s="1"/>
  <c r="K56" i="11" s="1"/>
  <c r="M56" i="11" s="1"/>
  <c r="E22" i="15"/>
  <c r="K22" i="15" s="1"/>
  <c r="I76" i="11"/>
  <c r="J76" i="11" s="1"/>
  <c r="F1011" i="10"/>
  <c r="Q840" i="10"/>
  <c r="T840" i="10" s="1"/>
  <c r="T841" i="10" s="1"/>
  <c r="K1294" i="10"/>
  <c r="P333" i="10"/>
  <c r="R333" i="10" s="1"/>
  <c r="U333" i="10" s="1"/>
  <c r="E18" i="15"/>
  <c r="K18" i="15" s="1"/>
  <c r="J65" i="11"/>
  <c r="K65" i="11" s="1"/>
  <c r="M65" i="11" s="1"/>
  <c r="M63" i="11" s="1"/>
  <c r="Q886" i="10"/>
  <c r="T886" i="10" s="1"/>
  <c r="F361" i="10" l="1"/>
  <c r="F362" i="10" s="1"/>
  <c r="J366" i="10" s="1"/>
  <c r="H25" i="37"/>
  <c r="K76" i="11"/>
  <c r="I26" i="37"/>
  <c r="J26" i="37" s="1"/>
  <c r="L26" i="37" s="1"/>
  <c r="G19" i="6"/>
  <c r="F19" i="6" s="1"/>
  <c r="I406" i="10"/>
  <c r="G23" i="20"/>
  <c r="F23" i="20" s="1"/>
  <c r="F16" i="21" s="1"/>
  <c r="F145" i="10"/>
  <c r="I39" i="11"/>
  <c r="J39" i="11" s="1"/>
  <c r="M23" i="18"/>
  <c r="I40" i="11"/>
  <c r="J40" i="11" s="1"/>
  <c r="P332" i="10"/>
  <c r="R332" i="10" s="1"/>
  <c r="U332" i="10" s="1"/>
  <c r="T887" i="10"/>
  <c r="F913" i="10" s="1"/>
  <c r="F919" i="10" s="1"/>
  <c r="M54" i="11"/>
  <c r="E21" i="15" s="1"/>
  <c r="K21" i="15" s="1"/>
  <c r="T749" i="10"/>
  <c r="F775" i="10" s="1"/>
  <c r="F781" i="10" s="1"/>
  <c r="E26" i="15"/>
  <c r="K26" i="15" s="1"/>
  <c r="F867" i="10"/>
  <c r="F873" i="10" s="1"/>
  <c r="E23" i="15"/>
  <c r="K23" i="15" s="1"/>
  <c r="L1315" i="10"/>
  <c r="K18" i="22"/>
  <c r="L18" i="22" s="1"/>
  <c r="M18" i="22" s="1"/>
  <c r="L1294" i="10"/>
  <c r="N412" i="10"/>
  <c r="I44" i="11" s="1"/>
  <c r="J44" i="11" s="1"/>
  <c r="N410" i="10"/>
  <c r="I42" i="11" s="1"/>
  <c r="N411" i="10"/>
  <c r="I43" i="11" s="1"/>
  <c r="J43" i="11" s="1"/>
  <c r="K43" i="11" s="1"/>
  <c r="M43" i="11" s="1"/>
  <c r="H15" i="17"/>
  <c r="E24" i="15"/>
  <c r="K24" i="15" s="1"/>
  <c r="K1299" i="10"/>
  <c r="H598" i="10"/>
  <c r="M76" i="11" l="1"/>
  <c r="M75" i="11" s="1"/>
  <c r="E28" i="15" s="1"/>
  <c r="K28" i="15" s="1"/>
  <c r="K44" i="11"/>
  <c r="M44" i="11" s="1"/>
  <c r="I18" i="37"/>
  <c r="J18" i="37" s="1"/>
  <c r="L18" i="37" s="1"/>
  <c r="K39" i="11"/>
  <c r="M39" i="11" s="1"/>
  <c r="I25" i="37"/>
  <c r="J25" i="37" s="1"/>
  <c r="L25" i="37" s="1"/>
  <c r="K40" i="11"/>
  <c r="M40" i="11" s="1"/>
  <c r="M104" i="11" s="1"/>
  <c r="I27" i="37"/>
  <c r="J27" i="37" s="1"/>
  <c r="L27" i="37" s="1"/>
  <c r="O1294" i="10"/>
  <c r="E1305" i="10" s="1"/>
  <c r="M22" i="11"/>
  <c r="J598" i="10"/>
  <c r="G20" i="6"/>
  <c r="F20" i="6" s="1"/>
  <c r="G16" i="21"/>
  <c r="E24" i="20"/>
  <c r="E27" i="19" s="1"/>
  <c r="F16" i="19"/>
  <c r="G16" i="19" s="1"/>
  <c r="M38" i="11"/>
  <c r="U334" i="10"/>
  <c r="F393" i="10" s="1"/>
  <c r="H366" i="10"/>
  <c r="H23" i="18" s="1"/>
  <c r="I23" i="18" s="1"/>
  <c r="G23" i="16"/>
  <c r="P412" i="10"/>
  <c r="R412" i="10" s="1"/>
  <c r="U412" i="10" s="1"/>
  <c r="K1326" i="10"/>
  <c r="M1315" i="10"/>
  <c r="O1315" i="10" s="1"/>
  <c r="K22" i="22"/>
  <c r="L22" i="22" s="1"/>
  <c r="M22" i="22" s="1"/>
  <c r="P411" i="10"/>
  <c r="R411" i="10" s="1"/>
  <c r="U411" i="10" s="1"/>
  <c r="P410" i="10"/>
  <c r="R410" i="10" s="1"/>
  <c r="U410" i="10" s="1"/>
  <c r="J42" i="11"/>
  <c r="K42" i="11" s="1"/>
  <c r="M42" i="11" s="1"/>
  <c r="I19" i="13"/>
  <c r="I338" i="10"/>
  <c r="I15" i="17"/>
  <c r="G353" i="10"/>
  <c r="H21" i="17"/>
  <c r="I21" i="17" s="1"/>
  <c r="G571" i="10"/>
  <c r="K571" i="10" s="1"/>
  <c r="F587" i="10" s="1"/>
  <c r="F606" i="10"/>
  <c r="F608" i="10" s="1"/>
  <c r="I49" i="11"/>
  <c r="J49" i="11" s="1"/>
  <c r="P551" i="10"/>
  <c r="R551" i="10" s="1"/>
  <c r="U551" i="10" s="1"/>
  <c r="P552" i="10"/>
  <c r="R552" i="10" s="1"/>
  <c r="U552" i="10" s="1"/>
  <c r="P463" i="10"/>
  <c r="R463" i="10" s="1"/>
  <c r="U463" i="10" s="1"/>
  <c r="L1316" i="10"/>
  <c r="L1299" i="10"/>
  <c r="K19" i="22"/>
  <c r="L19" i="22" s="1"/>
  <c r="M19" i="22" s="1"/>
  <c r="G17" i="19"/>
  <c r="J46" i="11"/>
  <c r="P462" i="10"/>
  <c r="R462" i="10" s="1"/>
  <c r="U462" i="10" s="1"/>
  <c r="J21" i="17" l="1"/>
  <c r="J20" i="17" s="1"/>
  <c r="J15" i="17"/>
  <c r="J14" i="17" s="1"/>
  <c r="L33" i="37"/>
  <c r="L41" i="37" s="1"/>
  <c r="K49" i="11"/>
  <c r="M49" i="11" s="1"/>
  <c r="M48" i="11" s="1"/>
  <c r="K46" i="11"/>
  <c r="M46" i="11" s="1"/>
  <c r="M45" i="11" s="1"/>
  <c r="I28" i="37"/>
  <c r="J28" i="37" s="1"/>
  <c r="L28" i="37" s="1"/>
  <c r="O1299" i="10"/>
  <c r="E1306" i="10" s="1"/>
  <c r="F24" i="20"/>
  <c r="F27" i="19" s="1"/>
  <c r="G27" i="19" s="1"/>
  <c r="K23" i="18"/>
  <c r="N23" i="18"/>
  <c r="N366" i="10"/>
  <c r="U464" i="10"/>
  <c r="F528" i="10" s="1"/>
  <c r="F23" i="16"/>
  <c r="H23" i="16" s="1"/>
  <c r="L23" i="16" s="1"/>
  <c r="N367" i="10"/>
  <c r="F397" i="10" s="1"/>
  <c r="H501" i="10"/>
  <c r="K353" i="10"/>
  <c r="F396" i="10" s="1"/>
  <c r="K338" i="10"/>
  <c r="U413" i="10"/>
  <c r="F439" i="10" s="1"/>
  <c r="F445" i="10" s="1"/>
  <c r="K606" i="10"/>
  <c r="I20" i="15"/>
  <c r="L1326" i="10"/>
  <c r="N1326" i="10" s="1"/>
  <c r="K27" i="22"/>
  <c r="L27" i="22" s="1"/>
  <c r="M27" i="22" s="1"/>
  <c r="M41" i="11"/>
  <c r="E19" i="15" s="1"/>
  <c r="G22" i="13"/>
  <c r="I22" i="13" s="1"/>
  <c r="J468" i="10"/>
  <c r="L468" i="10" s="1"/>
  <c r="I17" i="17"/>
  <c r="U553" i="10"/>
  <c r="F584" i="10" s="1"/>
  <c r="K1327" i="10"/>
  <c r="M1316" i="10"/>
  <c r="O1316" i="10" s="1"/>
  <c r="K23" i="22"/>
  <c r="L23" i="22" s="1"/>
  <c r="M23" i="22" s="1"/>
  <c r="G19" i="15" l="1"/>
  <c r="J22" i="17"/>
  <c r="O23" i="18"/>
  <c r="O22" i="18" s="1"/>
  <c r="I19" i="15" s="1"/>
  <c r="I36" i="15" s="1"/>
  <c r="F22" i="20"/>
  <c r="E25" i="20" s="1"/>
  <c r="E22" i="20"/>
  <c r="F25" i="16"/>
  <c r="H25" i="18"/>
  <c r="I25" i="18" s="1"/>
  <c r="L22" i="16"/>
  <c r="I21" i="13"/>
  <c r="F20" i="15" s="1"/>
  <c r="J501" i="10"/>
  <c r="L501" i="10" s="1"/>
  <c r="L469" i="10"/>
  <c r="F529" i="10" s="1"/>
  <c r="H19" i="15"/>
  <c r="F19" i="15"/>
  <c r="K339" i="10"/>
  <c r="F394" i="10" s="1"/>
  <c r="F399" i="10" s="1"/>
  <c r="K608" i="10"/>
  <c r="K28" i="22"/>
  <c r="L28" i="22" s="1"/>
  <c r="M28" i="22" s="1"/>
  <c r="L1327" i="10"/>
  <c r="N1327" i="10" s="1"/>
  <c r="F590" i="10"/>
  <c r="G22" i="20" l="1"/>
  <c r="F36" i="15"/>
  <c r="K25" i="18"/>
  <c r="N25" i="18"/>
  <c r="L502" i="10"/>
  <c r="F532" i="10" s="1"/>
  <c r="F534" i="10" s="1"/>
  <c r="L28" i="16"/>
  <c r="G25" i="16"/>
  <c r="H25" i="16" s="1"/>
  <c r="L25" i="16" s="1"/>
  <c r="L24" i="16" s="1"/>
  <c r="H20" i="15" s="1"/>
  <c r="H36" i="15" s="1"/>
  <c r="K19" i="15"/>
  <c r="G20" i="15"/>
  <c r="G36" i="15" s="1"/>
  <c r="O25" i="18" l="1"/>
  <c r="O24" i="18" s="1"/>
  <c r="N614" i="10"/>
  <c r="I53" i="11" l="1"/>
  <c r="J53" i="11" s="1"/>
  <c r="M607" i="10"/>
  <c r="N613" i="10"/>
  <c r="P613" i="10" s="1"/>
  <c r="R613" i="10" s="1"/>
  <c r="U613" i="10" s="1"/>
  <c r="H608" i="10"/>
  <c r="H607" i="10"/>
  <c r="K644" i="10" s="1"/>
  <c r="K645" i="10" s="1"/>
  <c r="P614" i="10"/>
  <c r="R614" i="10" s="1"/>
  <c r="U614" i="10" s="1"/>
  <c r="K53" i="11" l="1"/>
  <c r="M53" i="11" s="1"/>
  <c r="I22" i="37"/>
  <c r="J22" i="37" s="1"/>
  <c r="L22" i="37" s="1"/>
  <c r="U615" i="10"/>
  <c r="F640" i="10" s="1"/>
  <c r="M608" i="10"/>
  <c r="G49" i="20" s="1"/>
  <c r="I52" i="11"/>
  <c r="J52" i="11" s="1"/>
  <c r="K52" i="11" s="1"/>
  <c r="M52" i="11" s="1"/>
  <c r="F646" i="10" l="1"/>
  <c r="J646" i="10" s="1"/>
  <c r="J644" i="10" s="1"/>
  <c r="J645" i="10" s="1"/>
  <c r="D652" i="10"/>
  <c r="F651" i="10"/>
  <c r="M51" i="11"/>
  <c r="E20" i="15" l="1"/>
  <c r="J651" i="10"/>
  <c r="F690" i="10" s="1"/>
  <c r="F691" i="10" l="1"/>
  <c r="H696" i="10"/>
  <c r="H695" i="10"/>
  <c r="H18" i="18" s="1"/>
  <c r="M657" i="10"/>
  <c r="H19" i="37" s="1"/>
  <c r="M656" i="10"/>
  <c r="K20" i="15"/>
  <c r="I663" i="10"/>
  <c r="K663" i="10" s="1"/>
  <c r="F16" i="13"/>
  <c r="G16" i="13" s="1"/>
  <c r="I16" i="13" s="1"/>
  <c r="F19" i="16" l="1"/>
  <c r="H19" i="18"/>
  <c r="I19" i="18" s="1"/>
  <c r="I696" i="10"/>
  <c r="G19" i="16" s="1"/>
  <c r="I695" i="10"/>
  <c r="G18" i="16" s="1"/>
  <c r="I15" i="13"/>
  <c r="I23" i="13" s="1"/>
  <c r="O657" i="10"/>
  <c r="Q657" i="10" s="1"/>
  <c r="T657" i="10" s="1"/>
  <c r="I18" i="11"/>
  <c r="J18" i="11" s="1"/>
  <c r="K664" i="10"/>
  <c r="F727" i="10" s="1"/>
  <c r="I1237" i="10"/>
  <c r="G16" i="16" s="1"/>
  <c r="O656" i="10"/>
  <c r="Q656" i="10" s="1"/>
  <c r="T656" i="10" s="1"/>
  <c r="I17" i="11"/>
  <c r="J17" i="11" s="1"/>
  <c r="K17" i="11" s="1"/>
  <c r="M17" i="11" s="1"/>
  <c r="K18" i="11" l="1"/>
  <c r="M18" i="11" s="1"/>
  <c r="M16" i="11" s="1"/>
  <c r="J696" i="10"/>
  <c r="N19" i="18"/>
  <c r="K19" i="18"/>
  <c r="H19" i="16"/>
  <c r="L19" i="16" s="1"/>
  <c r="L27" i="16" s="1"/>
  <c r="T658" i="10"/>
  <c r="F726" i="10" s="1"/>
  <c r="J695" i="10"/>
  <c r="J697" i="10" s="1"/>
  <c r="F730" i="10" s="1"/>
  <c r="F18" i="16"/>
  <c r="H18" i="16" s="1"/>
  <c r="O19" i="18" l="1"/>
  <c r="L18" i="16"/>
  <c r="F732" i="10"/>
  <c r="L17" i="16" l="1"/>
  <c r="O36" i="15" s="1"/>
  <c r="C8" i="20"/>
  <c r="C8" i="19"/>
  <c r="C8" i="17"/>
  <c r="C9" i="6"/>
  <c r="C9" i="29"/>
  <c r="C8" i="21"/>
  <c r="C9" i="18"/>
  <c r="C9" i="13"/>
  <c r="C8" i="11"/>
  <c r="C9" i="23"/>
  <c r="C9" i="16"/>
  <c r="C9" i="14"/>
  <c r="C9" i="22"/>
  <c r="C9" i="24"/>
  <c r="C8" i="15"/>
  <c r="I153" i="10"/>
  <c r="I152" i="10"/>
  <c r="O160" i="10"/>
  <c r="O159" i="10"/>
  <c r="I26" i="11" s="1"/>
  <c r="J26" i="11" s="1"/>
  <c r="G150" i="10"/>
  <c r="Q160" i="10" l="1"/>
  <c r="S160" i="10" s="1"/>
  <c r="V160" i="10" s="1"/>
  <c r="H20" i="37"/>
  <c r="K26" i="11"/>
  <c r="M26" i="11" s="1"/>
  <c r="I154" i="10"/>
  <c r="L150" i="10"/>
  <c r="L152" i="10" s="1"/>
  <c r="K190" i="10"/>
  <c r="K189" i="10"/>
  <c r="K191" i="10" s="1"/>
  <c r="Q159" i="10"/>
  <c r="S159" i="10" s="1"/>
  <c r="V159" i="10" s="1"/>
  <c r="I27" i="11"/>
  <c r="J27" i="11" s="1"/>
  <c r="V161" i="10" l="1"/>
  <c r="F186" i="10" s="1"/>
  <c r="K27" i="11"/>
  <c r="M27" i="11" s="1"/>
  <c r="M25" i="11" s="1"/>
  <c r="E15" i="15" s="1"/>
  <c r="N153" i="10"/>
  <c r="G34" i="20" s="1"/>
  <c r="N154" i="10"/>
  <c r="G50" i="20" s="1"/>
  <c r="N152" i="10"/>
  <c r="G18" i="20"/>
  <c r="F192" i="10"/>
  <c r="J192" i="10" s="1"/>
  <c r="J190" i="10" s="1"/>
  <c r="J189" i="10" l="1"/>
  <c r="J191" i="10" s="1"/>
  <c r="F18" i="20"/>
  <c r="F23" i="19" s="1"/>
  <c r="G23" i="19" s="1"/>
  <c r="N155" i="10"/>
  <c r="K15" i="15"/>
  <c r="G15" i="19" l="1"/>
  <c r="F16" i="20"/>
  <c r="E16" i="20"/>
  <c r="G16" i="20" l="1"/>
  <c r="Q30" i="10" l="1"/>
  <c r="I21" i="11" s="1"/>
  <c r="J21" i="11" s="1"/>
  <c r="D25" i="10"/>
  <c r="G14" i="6" s="1"/>
  <c r="F14" i="6" s="1"/>
  <c r="Q29" i="10"/>
  <c r="K21" i="11" l="1"/>
  <c r="M21" i="11" s="1"/>
  <c r="G15" i="20"/>
  <c r="S29" i="10"/>
  <c r="U29" i="10" s="1"/>
  <c r="Y29" i="10" s="1"/>
  <c r="I20" i="11"/>
  <c r="J20" i="11" s="1"/>
  <c r="S30" i="10"/>
  <c r="U30" i="10" s="1"/>
  <c r="Y30" i="10" s="1"/>
  <c r="K20" i="11" l="1"/>
  <c r="F15" i="20"/>
  <c r="F22" i="19" s="1"/>
  <c r="E19" i="20"/>
  <c r="E24" i="19" s="1"/>
  <c r="M20" i="11"/>
  <c r="M19" i="11" s="1"/>
  <c r="E14" i="15" s="1"/>
  <c r="Y31" i="10"/>
  <c r="F57" i="10" s="1"/>
  <c r="F63" i="10" s="1"/>
  <c r="P202" i="10"/>
  <c r="P203" i="10"/>
  <c r="I31" i="11" s="1"/>
  <c r="J31" i="11" s="1"/>
  <c r="H197" i="10"/>
  <c r="P201" i="10"/>
  <c r="I29" i="11" s="1"/>
  <c r="J29" i="11" s="1"/>
  <c r="I30" i="11" l="1"/>
  <c r="J30" i="11" s="1"/>
  <c r="H29" i="37"/>
  <c r="K31" i="11"/>
  <c r="M31" i="11" s="1"/>
  <c r="I20" i="37"/>
  <c r="J20" i="37" s="1"/>
  <c r="L20" i="37" s="1"/>
  <c r="K30" i="11"/>
  <c r="M30" i="11" s="1"/>
  <c r="I29" i="37"/>
  <c r="J29" i="37" s="1"/>
  <c r="L29" i="37" s="1"/>
  <c r="K29" i="11"/>
  <c r="M29" i="11" s="1"/>
  <c r="I17" i="37"/>
  <c r="J17" i="37" s="1"/>
  <c r="L17" i="37" s="1"/>
  <c r="K14" i="15"/>
  <c r="G16" i="6"/>
  <c r="F16" i="6" s="1"/>
  <c r="G22" i="19"/>
  <c r="R201" i="10"/>
  <c r="T201" i="10" s="1"/>
  <c r="W201" i="10" s="1"/>
  <c r="G19" i="20"/>
  <c r="F19" i="20" s="1"/>
  <c r="R203" i="10"/>
  <c r="T203" i="10" s="1"/>
  <c r="W203" i="10" s="1"/>
  <c r="R202" i="10"/>
  <c r="T202" i="10" s="1"/>
  <c r="W202" i="10" s="1"/>
  <c r="M28" i="11" l="1"/>
  <c r="E16" i="15" s="1"/>
  <c r="K16" i="15" s="1"/>
  <c r="F24" i="19"/>
  <c r="E20" i="20"/>
  <c r="E25" i="19" s="1"/>
  <c r="W204" i="10"/>
  <c r="F230" i="10" s="1"/>
  <c r="F236" i="10" s="1"/>
  <c r="P245" i="10"/>
  <c r="G24" i="19" l="1"/>
  <c r="I33" i="11"/>
  <c r="J33" i="11" s="1"/>
  <c r="R245" i="10"/>
  <c r="T245" i="10" s="1"/>
  <c r="W245" i="10" s="1"/>
  <c r="P246" i="10"/>
  <c r="H30" i="37" s="1"/>
  <c r="H241" i="10"/>
  <c r="G17" i="6" s="1"/>
  <c r="F17" i="6" s="1"/>
  <c r="K33" i="11" l="1"/>
  <c r="M33" i="11" s="1"/>
  <c r="G20" i="20"/>
  <c r="F20" i="20" s="1"/>
  <c r="I34" i="11"/>
  <c r="J34" i="11" s="1"/>
  <c r="R246" i="10"/>
  <c r="T246" i="10" s="1"/>
  <c r="W246" i="10" s="1"/>
  <c r="W247" i="10" s="1"/>
  <c r="F272" i="10" s="1"/>
  <c r="F278" i="10" s="1"/>
  <c r="K34" i="11" l="1"/>
  <c r="M34" i="11" s="1"/>
  <c r="M32" i="11" s="1"/>
  <c r="E17" i="15" s="1"/>
  <c r="I30" i="37"/>
  <c r="J30" i="37" s="1"/>
  <c r="L30" i="37" s="1"/>
  <c r="F25" i="20"/>
  <c r="G25" i="20" s="1"/>
  <c r="F25" i="19"/>
  <c r="E21" i="20"/>
  <c r="E26" i="20" l="1"/>
  <c r="K17" i="15"/>
  <c r="G25" i="19"/>
  <c r="E26" i="19"/>
  <c r="F21" i="20"/>
  <c r="F26" i="19" s="1"/>
  <c r="F26" i="20"/>
  <c r="E27" i="20" s="1"/>
  <c r="F27" i="20" s="1"/>
  <c r="E28" i="20" s="1"/>
  <c r="F28" i="20" s="1"/>
  <c r="E33" i="20" s="1"/>
  <c r="E29" i="19" s="1"/>
  <c r="G26" i="19" l="1"/>
  <c r="F21" i="19"/>
  <c r="E21" i="19"/>
  <c r="E14" i="20"/>
  <c r="F14" i="20"/>
  <c r="F16" i="38" s="1"/>
  <c r="F15" i="38" s="1"/>
  <c r="F31" i="20"/>
  <c r="F17" i="21" s="1"/>
  <c r="F14" i="21" l="1"/>
  <c r="E14" i="21"/>
  <c r="G21" i="19"/>
  <c r="E32" i="20"/>
  <c r="E19" i="19" s="1"/>
  <c r="E18" i="19" s="1"/>
  <c r="F17" i="19"/>
  <c r="G14" i="20"/>
  <c r="F32" i="20"/>
  <c r="F19" i="19" s="1"/>
  <c r="G14" i="21" l="1"/>
  <c r="G19" i="19"/>
  <c r="G18" i="19" s="1"/>
  <c r="F18" i="19"/>
  <c r="E14" i="19"/>
  <c r="E13" i="21"/>
  <c r="F33" i="20" l="1"/>
  <c r="F14" i="19"/>
  <c r="E52" i="19"/>
  <c r="F52" i="19"/>
  <c r="E13" i="19"/>
  <c r="F30" i="20" l="1"/>
  <c r="E34" i="20"/>
  <c r="F34" i="20" s="1"/>
  <c r="E35" i="20" s="1"/>
  <c r="E30" i="19" s="1"/>
  <c r="F29" i="19"/>
  <c r="G52" i="19"/>
  <c r="G14" i="19"/>
  <c r="G13" i="19" s="1"/>
  <c r="J1289" i="10" s="1"/>
  <c r="L1317" i="10" s="1"/>
  <c r="F13" i="19"/>
  <c r="F13" i="21"/>
  <c r="G13" i="21"/>
  <c r="E30" i="20"/>
  <c r="G29" i="19" l="1"/>
  <c r="E1199" i="10"/>
  <c r="F35" i="20"/>
  <c r="G30" i="20"/>
  <c r="E1200" i="10" l="1"/>
  <c r="M18" i="18"/>
  <c r="E36" i="20"/>
  <c r="E31" i="19" s="1"/>
  <c r="F30" i="19"/>
  <c r="K17" i="22"/>
  <c r="L17" i="22" s="1"/>
  <c r="M17" i="22" s="1"/>
  <c r="K1289" i="10"/>
  <c r="M1289" i="10" l="1"/>
  <c r="E1304" i="10" s="1"/>
  <c r="F36" i="20"/>
  <c r="F31" i="19" s="1"/>
  <c r="G31" i="19" s="1"/>
  <c r="G30" i="19"/>
  <c r="E37" i="20"/>
  <c r="F37" i="20" l="1"/>
  <c r="E32" i="19"/>
  <c r="E38" i="20" l="1"/>
  <c r="F32" i="19"/>
  <c r="G32" i="19" s="1"/>
  <c r="F38" i="20" l="1"/>
  <c r="E33" i="19"/>
  <c r="E39" i="20" l="1"/>
  <c r="F33" i="19"/>
  <c r="G33" i="19" s="1"/>
  <c r="E34" i="19" l="1"/>
  <c r="F39" i="20"/>
  <c r="E40" i="20" s="1"/>
  <c r="M1161" i="10"/>
  <c r="M1160" i="10"/>
  <c r="J1155" i="10"/>
  <c r="F34" i="19" l="1"/>
  <c r="G34" i="19" s="1"/>
  <c r="G60" i="20"/>
  <c r="J1156" i="10"/>
  <c r="G30" i="6" s="1"/>
  <c r="F30" i="6" s="1"/>
  <c r="I82" i="11"/>
  <c r="J82" i="11" s="1"/>
  <c r="O1160" i="10"/>
  <c r="Q1160" i="10" s="1"/>
  <c r="T1160" i="10" s="1"/>
  <c r="O1161" i="10"/>
  <c r="Q1161" i="10" s="1"/>
  <c r="T1161" i="10" s="1"/>
  <c r="I83" i="11"/>
  <c r="J83" i="11" s="1"/>
  <c r="K82" i="11" l="1"/>
  <c r="M82" i="11" s="1"/>
  <c r="I15" i="37"/>
  <c r="J15" i="37" s="1"/>
  <c r="L15" i="37" s="1"/>
  <c r="K83" i="11"/>
  <c r="I19" i="37"/>
  <c r="J19" i="37" s="1"/>
  <c r="L19" i="37" s="1"/>
  <c r="E35" i="19"/>
  <c r="F40" i="20"/>
  <c r="T1162" i="10"/>
  <c r="F1188" i="10" s="1"/>
  <c r="F1194" i="10" s="1"/>
  <c r="M103" i="11" l="1"/>
  <c r="M83" i="11"/>
  <c r="M81" i="11" s="1"/>
  <c r="E30" i="15" s="1"/>
  <c r="L32" i="37"/>
  <c r="L40" i="37" s="1"/>
  <c r="E41" i="20"/>
  <c r="F35" i="19"/>
  <c r="G35" i="19" s="1"/>
  <c r="E36" i="15" l="1"/>
  <c r="K30" i="15"/>
  <c r="K36" i="15" s="1"/>
  <c r="L32" i="15" s="1"/>
  <c r="E36" i="19"/>
  <c r="F41" i="20"/>
  <c r="O32" i="15" l="1"/>
  <c r="L30" i="15"/>
  <c r="O30" i="15" s="1"/>
  <c r="L33" i="15"/>
  <c r="O33" i="15" s="1"/>
  <c r="L34" i="15"/>
  <c r="O34" i="15" s="1"/>
  <c r="L31" i="15"/>
  <c r="O31" i="15" s="1"/>
  <c r="L35" i="15"/>
  <c r="O35" i="15" s="1"/>
  <c r="L25" i="15"/>
  <c r="O25" i="15" s="1"/>
  <c r="L27" i="15"/>
  <c r="O27" i="15" s="1"/>
  <c r="L18" i="15"/>
  <c r="O18" i="15" s="1"/>
  <c r="L29" i="15"/>
  <c r="O29" i="15" s="1"/>
  <c r="L22" i="15"/>
  <c r="O22" i="15" s="1"/>
  <c r="L24" i="15"/>
  <c r="O24" i="15" s="1"/>
  <c r="L26" i="15"/>
  <c r="O26" i="15" s="1"/>
  <c r="L28" i="15"/>
  <c r="O28" i="15" s="1"/>
  <c r="L21" i="15"/>
  <c r="O21" i="15" s="1"/>
  <c r="L23" i="15"/>
  <c r="O23" i="15" s="1"/>
  <c r="L19" i="15"/>
  <c r="O19" i="15" s="1"/>
  <c r="L20" i="15"/>
  <c r="O20" i="15" s="1"/>
  <c r="L15" i="15"/>
  <c r="O15" i="15" s="1"/>
  <c r="L16" i="15"/>
  <c r="O16" i="15" s="1"/>
  <c r="L17" i="15"/>
  <c r="O17" i="15" s="1"/>
  <c r="E42" i="20"/>
  <c r="F36" i="19"/>
  <c r="G36" i="19" s="1"/>
  <c r="L14" i="15"/>
  <c r="L36" i="15" l="1"/>
  <c r="E37" i="19"/>
  <c r="F42" i="20"/>
  <c r="H1237" i="10"/>
  <c r="H16" i="18" s="1"/>
  <c r="I16" i="18" s="1"/>
  <c r="K16" i="18" l="1"/>
  <c r="N16" i="18"/>
  <c r="O14" i="15"/>
  <c r="F16" i="16"/>
  <c r="H16" i="16" s="1"/>
  <c r="I18" i="18"/>
  <c r="E43" i="20"/>
  <c r="F37" i="19"/>
  <c r="G37" i="19" s="1"/>
  <c r="K16" i="16"/>
  <c r="J1237" i="10"/>
  <c r="D1245" i="10" s="1"/>
  <c r="D1247" i="10" s="1"/>
  <c r="F1258" i="10" s="1"/>
  <c r="O16" i="18" l="1"/>
  <c r="O15" i="18" s="1"/>
  <c r="L16" i="16"/>
  <c r="K18" i="18"/>
  <c r="N18" i="18"/>
  <c r="E38" i="19"/>
  <c r="F43" i="20"/>
  <c r="L15" i="16"/>
  <c r="L26" i="16"/>
  <c r="L29" i="16" s="1"/>
  <c r="O18" i="18" l="1"/>
  <c r="O17" i="18" s="1"/>
  <c r="O26" i="18" s="1"/>
  <c r="E44" i="20"/>
  <c r="F38" i="19"/>
  <c r="G38" i="19" s="1"/>
  <c r="F44" i="20" l="1"/>
  <c r="G44" i="20" l="1"/>
  <c r="E45" i="20"/>
  <c r="F45" i="20" s="1"/>
  <c r="E46" i="20" l="1"/>
  <c r="F46" i="20" l="1"/>
  <c r="E47" i="20" l="1"/>
  <c r="F47" i="20" l="1"/>
  <c r="E71" i="20" s="1"/>
  <c r="E48" i="19" s="1"/>
  <c r="E49" i="20" l="1"/>
  <c r="F29" i="20"/>
  <c r="F18" i="38" s="1"/>
  <c r="F17" i="38" s="1"/>
  <c r="E29" i="20"/>
  <c r="F49" i="20" l="1"/>
  <c r="G29" i="20"/>
  <c r="E28" i="19"/>
  <c r="F28" i="19"/>
  <c r="G28" i="19" l="1"/>
  <c r="E20" i="19"/>
  <c r="E41" i="19" s="1"/>
  <c r="E50" i="20"/>
  <c r="F50" i="20" l="1"/>
  <c r="E51" i="20" l="1"/>
  <c r="F51" i="20" l="1"/>
  <c r="E52" i="20" l="1"/>
  <c r="F52" i="20" l="1"/>
  <c r="E53" i="20" l="1"/>
  <c r="F53" i="20" l="1"/>
  <c r="E54" i="20" l="1"/>
  <c r="F54" i="20" l="1"/>
  <c r="E55" i="20" l="1"/>
  <c r="F55" i="20" l="1"/>
  <c r="E56" i="20" s="1"/>
  <c r="F56" i="20" l="1"/>
  <c r="E57" i="20" l="1"/>
  <c r="F57" i="20" l="1"/>
  <c r="E58" i="20" l="1"/>
  <c r="F58" i="20" l="1"/>
  <c r="E59" i="20" l="1"/>
  <c r="F59" i="20" l="1"/>
  <c r="E60" i="20" l="1"/>
  <c r="F60" i="20" l="1"/>
  <c r="G40" i="19" l="1"/>
  <c r="E61" i="20"/>
  <c r="F61" i="20" s="1"/>
  <c r="E62" i="20" s="1"/>
  <c r="F62" i="20" s="1"/>
  <c r="E63" i="20" l="1"/>
  <c r="F63" i="20" s="1"/>
  <c r="E64" i="20" l="1"/>
  <c r="F64" i="20" s="1"/>
  <c r="E68" i="20" l="1"/>
  <c r="E66" i="20"/>
  <c r="E43" i="19" s="1"/>
  <c r="F71" i="20"/>
  <c r="F48" i="19" s="1"/>
  <c r="F48" i="20"/>
  <c r="F20" i="38" s="1"/>
  <c r="F19" i="38" s="1"/>
  <c r="E48" i="20"/>
  <c r="G48" i="19" l="1"/>
  <c r="E47" i="19"/>
  <c r="F47" i="19"/>
  <c r="F68" i="20"/>
  <c r="E69" i="20" s="1"/>
  <c r="E45" i="19"/>
  <c r="F45" i="19"/>
  <c r="G45" i="19" s="1"/>
  <c r="F66" i="20"/>
  <c r="F43" i="19" s="1"/>
  <c r="E72" i="20"/>
  <c r="G48" i="20"/>
  <c r="G47" i="19" l="1"/>
  <c r="F69" i="20"/>
  <c r="E46" i="19"/>
  <c r="G43" i="19"/>
  <c r="F72" i="20"/>
  <c r="F46" i="19" l="1"/>
  <c r="F65" i="20"/>
  <c r="F22" i="38" s="1"/>
  <c r="F21" i="38" s="1"/>
  <c r="E65" i="20"/>
  <c r="E73" i="20"/>
  <c r="F73" i="20" s="1"/>
  <c r="E74" i="20" s="1"/>
  <c r="F74" i="20" s="1"/>
  <c r="F70" i="20" s="1"/>
  <c r="F24" i="38" s="1"/>
  <c r="F23" i="38" s="1"/>
  <c r="F25" i="38" s="1"/>
  <c r="E70" i="20" l="1"/>
  <c r="G65" i="20"/>
  <c r="G46" i="19"/>
  <c r="E42" i="19"/>
  <c r="F42" i="19"/>
  <c r="G70" i="20"/>
  <c r="E13" i="20"/>
  <c r="F13" i="20"/>
  <c r="G42" i="19" l="1"/>
  <c r="G13" i="20"/>
  <c r="G41" i="19"/>
  <c r="E39" i="19"/>
  <c r="F39" i="19"/>
  <c r="G39" i="19" l="1"/>
  <c r="F20" i="19"/>
  <c r="E49" i="19" l="1"/>
  <c r="F49" i="19"/>
  <c r="G20" i="19"/>
  <c r="G49" i="19" l="1"/>
  <c r="E1198" i="10" s="1"/>
  <c r="G1198" i="10" s="1"/>
  <c r="M1210" i="10" s="1"/>
  <c r="L1267" i="10" l="1"/>
  <c r="I15" i="11"/>
  <c r="J15" i="11" s="1"/>
  <c r="I14" i="37" s="1"/>
  <c r="O1210" i="10"/>
  <c r="Q1210" i="10" s="1"/>
  <c r="T1210" i="10" s="1"/>
  <c r="F1254" i="10" s="1"/>
  <c r="F1260" i="10" s="1"/>
  <c r="K1280" i="10"/>
  <c r="O1267" i="10"/>
  <c r="L1314" i="10"/>
  <c r="K15" i="11" l="1"/>
  <c r="M15" i="11" s="1"/>
  <c r="J14" i="37"/>
  <c r="K24" i="22"/>
  <c r="L24" i="22" s="1"/>
  <c r="M24" i="22" s="1"/>
  <c r="M1317" i="10"/>
  <c r="O1317" i="10" s="1"/>
  <c r="K1328" i="10"/>
  <c r="M1314" i="10"/>
  <c r="K21" i="22"/>
  <c r="L21" i="22" s="1"/>
  <c r="K1325" i="10"/>
  <c r="L1280" i="10"/>
  <c r="K16" i="22"/>
  <c r="L16" i="22" s="1"/>
  <c r="L14" i="37" l="1"/>
  <c r="L31" i="37" s="1"/>
  <c r="L39" i="37" s="1"/>
  <c r="M102" i="11"/>
  <c r="M105" i="11" s="1"/>
  <c r="M14" i="11"/>
  <c r="M21" i="22"/>
  <c r="M20" i="22" s="1"/>
  <c r="O1314" i="10"/>
  <c r="O1318" i="10" s="1"/>
  <c r="M16" i="22"/>
  <c r="M15" i="22" s="1"/>
  <c r="N1280" i="10"/>
  <c r="E1303" i="10" s="1"/>
  <c r="E1307" i="10" s="1"/>
  <c r="L1325" i="10"/>
  <c r="N1325" i="10" s="1"/>
  <c r="K26" i="22"/>
  <c r="L26" i="22" s="1"/>
  <c r="M26" i="22" s="1"/>
  <c r="L1328" i="10"/>
  <c r="N1328" i="10" s="1"/>
  <c r="K29" i="22"/>
  <c r="L29" i="22" s="1"/>
  <c r="M29" i="22" s="1"/>
  <c r="L34" i="37" l="1"/>
  <c r="N36" i="15"/>
  <c r="N32" i="15" s="1"/>
  <c r="M25" i="22"/>
  <c r="M30" i="22" s="1"/>
  <c r="M36" i="15" s="1"/>
  <c r="M32" i="15" s="1"/>
  <c r="N1329" i="10"/>
  <c r="Q32" i="15" l="1"/>
  <c r="M31" i="15"/>
  <c r="M33" i="15"/>
  <c r="M34" i="15"/>
  <c r="W36" i="15"/>
  <c r="N35" i="15"/>
  <c r="N31" i="15"/>
  <c r="Q31" i="15" s="1"/>
  <c r="N33" i="15"/>
  <c r="Q33" i="15" s="1"/>
  <c r="N34" i="15"/>
  <c r="M30" i="15"/>
  <c r="M35" i="15"/>
  <c r="Q35" i="15" s="1"/>
  <c r="M23" i="15"/>
  <c r="M29" i="15"/>
  <c r="M19" i="15"/>
  <c r="M20" i="15"/>
  <c r="M28" i="15"/>
  <c r="M24" i="15"/>
  <c r="M25" i="15"/>
  <c r="M16" i="15"/>
  <c r="M15" i="15"/>
  <c r="M22" i="15"/>
  <c r="M26" i="15"/>
  <c r="M27" i="15"/>
  <c r="M17" i="15"/>
  <c r="M21" i="15"/>
  <c r="M18" i="15"/>
  <c r="N15" i="15"/>
  <c r="N30" i="15"/>
  <c r="N21" i="15"/>
  <c r="N24" i="15"/>
  <c r="N16" i="15"/>
  <c r="N22" i="15"/>
  <c r="N23" i="15"/>
  <c r="N20" i="15"/>
  <c r="N18" i="15"/>
  <c r="N19" i="15"/>
  <c r="N17" i="15"/>
  <c r="N28" i="15"/>
  <c r="N25" i="15"/>
  <c r="N27" i="15"/>
  <c r="N29" i="15"/>
  <c r="N26" i="15"/>
  <c r="Q34" i="15" l="1"/>
  <c r="E56" i="24" s="1"/>
  <c r="E55" i="24"/>
  <c r="E53" i="24"/>
  <c r="E25" i="36" s="1"/>
  <c r="E54" i="24"/>
  <c r="Q28" i="15"/>
  <c r="Q18" i="15"/>
  <c r="T18" i="15" s="1"/>
  <c r="Q22" i="15"/>
  <c r="Q16" i="15"/>
  <c r="Q26" i="15"/>
  <c r="Q17" i="15"/>
  <c r="Q15" i="15"/>
  <c r="Q27" i="15"/>
  <c r="Q20" i="15"/>
  <c r="Q19" i="15"/>
  <c r="N14" i="15"/>
  <c r="Q24" i="15"/>
  <c r="Q21" i="15"/>
  <c r="Q30" i="15"/>
  <c r="Q23" i="15"/>
  <c r="Q29" i="15"/>
  <c r="Q25" i="15"/>
  <c r="E59" i="24"/>
  <c r="E16" i="36" s="1"/>
  <c r="M14" i="15"/>
  <c r="F56" i="24" l="1"/>
  <c r="F47" i="36" s="1"/>
  <c r="E47" i="36"/>
  <c r="F54" i="24"/>
  <c r="F45" i="36" s="1"/>
  <c r="E45" i="36"/>
  <c r="F55" i="24"/>
  <c r="F18" i="36" s="1"/>
  <c r="E18" i="36"/>
  <c r="F59" i="24"/>
  <c r="F16" i="36" s="1"/>
  <c r="E58" i="24"/>
  <c r="F53" i="24"/>
  <c r="E52" i="24"/>
  <c r="E51" i="24"/>
  <c r="T28" i="15"/>
  <c r="E35" i="24"/>
  <c r="E19" i="24"/>
  <c r="E22" i="24"/>
  <c r="E29" i="24"/>
  <c r="T25" i="15"/>
  <c r="T24" i="15"/>
  <c r="E33" i="24"/>
  <c r="E20" i="24"/>
  <c r="E28" i="24"/>
  <c r="E31" i="36" s="1"/>
  <c r="T19" i="15"/>
  <c r="E50" i="24"/>
  <c r="E21" i="36" s="1"/>
  <c r="E26" i="24"/>
  <c r="E17" i="36" s="1"/>
  <c r="T17" i="15"/>
  <c r="E36" i="24"/>
  <c r="E30" i="24"/>
  <c r="E34" i="24"/>
  <c r="T16" i="15"/>
  <c r="T22" i="15"/>
  <c r="F51" i="24"/>
  <c r="T26" i="15"/>
  <c r="T27" i="15"/>
  <c r="T15" i="15"/>
  <c r="T20" i="15"/>
  <c r="E27" i="24"/>
  <c r="E21" i="24"/>
  <c r="Q14" i="15"/>
  <c r="E23" i="24"/>
  <c r="E32" i="24"/>
  <c r="T30" i="15"/>
  <c r="T29" i="15"/>
  <c r="E31" i="24"/>
  <c r="T21" i="15"/>
  <c r="T23" i="15"/>
  <c r="F58" i="24"/>
  <c r="E48" i="24" l="1"/>
  <c r="E49" i="36" s="1"/>
  <c r="E48" i="36"/>
  <c r="F21" i="24"/>
  <c r="F46" i="36" s="1"/>
  <c r="E46" i="36"/>
  <c r="F22" i="24"/>
  <c r="F43" i="36" s="1"/>
  <c r="E43" i="36"/>
  <c r="E47" i="24"/>
  <c r="E42" i="36" s="1"/>
  <c r="E41" i="36"/>
  <c r="F27" i="24"/>
  <c r="F37" i="36" s="1"/>
  <c r="E37" i="36"/>
  <c r="F20" i="24"/>
  <c r="F35" i="36" s="1"/>
  <c r="E35" i="36"/>
  <c r="E49" i="24"/>
  <c r="E40" i="36" s="1"/>
  <c r="E33" i="36"/>
  <c r="E45" i="24"/>
  <c r="E32" i="36"/>
  <c r="E41" i="24"/>
  <c r="E30" i="36" s="1"/>
  <c r="E46" i="24"/>
  <c r="E36" i="36" s="1"/>
  <c r="E29" i="36"/>
  <c r="E44" i="24"/>
  <c r="E34" i="36" s="1"/>
  <c r="E28" i="36"/>
  <c r="F52" i="24"/>
  <c r="E22" i="38" s="1"/>
  <c r="M22" i="38" s="1"/>
  <c r="F25" i="36"/>
  <c r="F19" i="24"/>
  <c r="F24" i="36" s="1"/>
  <c r="E24" i="36"/>
  <c r="E43" i="24"/>
  <c r="E23" i="36"/>
  <c r="E42" i="24"/>
  <c r="E22" i="36"/>
  <c r="F23" i="24"/>
  <c r="F20" i="36" s="1"/>
  <c r="E20" i="36"/>
  <c r="E39" i="24"/>
  <c r="E25" i="24"/>
  <c r="E24" i="24" s="1"/>
  <c r="E23" i="38"/>
  <c r="T14" i="15"/>
  <c r="T36" i="15" s="1"/>
  <c r="E40" i="24"/>
  <c r="Q36" i="15"/>
  <c r="R32" i="15" s="1"/>
  <c r="E18" i="24"/>
  <c r="E44" i="36" s="1"/>
  <c r="E57" i="24"/>
  <c r="F57" i="24"/>
  <c r="F50" i="24"/>
  <c r="F21" i="36" s="1"/>
  <c r="F35" i="24"/>
  <c r="F48" i="36" s="1"/>
  <c r="F33" i="24"/>
  <c r="F29" i="36" s="1"/>
  <c r="F32" i="24"/>
  <c r="F32" i="36" s="1"/>
  <c r="F34" i="24"/>
  <c r="F41" i="36" s="1"/>
  <c r="F36" i="24"/>
  <c r="F33" i="36" s="1"/>
  <c r="F31" i="24"/>
  <c r="F28" i="36" s="1"/>
  <c r="F30" i="24"/>
  <c r="F23" i="36" s="1"/>
  <c r="F29" i="24"/>
  <c r="F22" i="36" s="1"/>
  <c r="F28" i="24"/>
  <c r="F31" i="36" s="1"/>
  <c r="F48" i="24"/>
  <c r="F49" i="36" s="1"/>
  <c r="F26" i="24"/>
  <c r="F17" i="36" s="1"/>
  <c r="F47" i="24" l="1"/>
  <c r="F42" i="36" s="1"/>
  <c r="F41" i="24"/>
  <c r="F30" i="36" s="1"/>
  <c r="F44" i="24"/>
  <c r="F34" i="36" s="1"/>
  <c r="F46" i="24"/>
  <c r="F36" i="36" s="1"/>
  <c r="F49" i="24"/>
  <c r="F40" i="36" s="1"/>
  <c r="E19" i="36"/>
  <c r="F45" i="24"/>
  <c r="F39" i="36" s="1"/>
  <c r="E39" i="36"/>
  <c r="F40" i="24"/>
  <c r="F38" i="36" s="1"/>
  <c r="E38" i="36"/>
  <c r="E21" i="38"/>
  <c r="F43" i="24"/>
  <c r="F27" i="36" s="1"/>
  <c r="E27" i="36"/>
  <c r="F42" i="24"/>
  <c r="F26" i="36" s="1"/>
  <c r="E26" i="36"/>
  <c r="E50" i="36" s="1"/>
  <c r="F39" i="24"/>
  <c r="F19" i="36" s="1"/>
  <c r="F25" i="24"/>
  <c r="E18" i="38" s="1"/>
  <c r="E38" i="24"/>
  <c r="E37" i="24" s="1"/>
  <c r="F18" i="24"/>
  <c r="E17" i="24"/>
  <c r="E16" i="24" s="1"/>
  <c r="M25" i="38"/>
  <c r="S22" i="38"/>
  <c r="U25" i="15"/>
  <c r="R34" i="15"/>
  <c r="R33" i="15"/>
  <c r="R31" i="15"/>
  <c r="U30" i="15"/>
  <c r="R19" i="15"/>
  <c r="R30" i="15"/>
  <c r="R28" i="15"/>
  <c r="R22" i="15"/>
  <c r="U24" i="15"/>
  <c r="R29" i="15"/>
  <c r="R35" i="15"/>
  <c r="U28" i="15"/>
  <c r="U20" i="15"/>
  <c r="R18" i="15"/>
  <c r="R15" i="15"/>
  <c r="U22" i="15"/>
  <c r="R23" i="15"/>
  <c r="U15" i="15"/>
  <c r="U14" i="15"/>
  <c r="U26" i="15"/>
  <c r="R17" i="15"/>
  <c r="R25" i="15"/>
  <c r="R26" i="15"/>
  <c r="R16" i="15"/>
  <c r="R27" i="15"/>
  <c r="S36" i="15"/>
  <c r="R20" i="15"/>
  <c r="U23" i="15"/>
  <c r="U21" i="15"/>
  <c r="U29" i="15"/>
  <c r="U19" i="15"/>
  <c r="U27" i="15"/>
  <c r="U18" i="15"/>
  <c r="R24" i="15"/>
  <c r="U17" i="15"/>
  <c r="U16" i="15"/>
  <c r="R21" i="15"/>
  <c r="E24" i="38"/>
  <c r="F17" i="24" l="1"/>
  <c r="F44" i="36"/>
  <c r="F50" i="36" s="1"/>
  <c r="F38" i="24"/>
  <c r="E60" i="24"/>
  <c r="J24" i="38"/>
  <c r="K24" i="38"/>
  <c r="I18" i="38"/>
  <c r="I25" i="38" s="1"/>
  <c r="U36" i="15"/>
  <c r="F37" i="24"/>
  <c r="E20" i="38"/>
  <c r="E17" i="38"/>
  <c r="R25" i="38"/>
  <c r="E16" i="38"/>
  <c r="H16" i="38" s="1"/>
  <c r="F24" i="24"/>
  <c r="G31" i="36" l="1"/>
  <c r="G33" i="36"/>
  <c r="G47" i="36"/>
  <c r="G35" i="36"/>
  <c r="G21" i="36"/>
  <c r="G18" i="36"/>
  <c r="G20" i="36"/>
  <c r="G28" i="36"/>
  <c r="G17" i="36"/>
  <c r="G30" i="36"/>
  <c r="G34" i="36"/>
  <c r="G42" i="36"/>
  <c r="G40" i="36"/>
  <c r="G22" i="36"/>
  <c r="G25" i="36"/>
  <c r="G23" i="36"/>
  <c r="G43" i="36"/>
  <c r="G36" i="36"/>
  <c r="G39" i="36"/>
  <c r="G38" i="36"/>
  <c r="G24" i="36"/>
  <c r="G29" i="36"/>
  <c r="G45" i="36"/>
  <c r="G46" i="36"/>
  <c r="G27" i="36"/>
  <c r="G16" i="36"/>
  <c r="G41" i="36"/>
  <c r="G32" i="36"/>
  <c r="G19" i="36"/>
  <c r="G37" i="36"/>
  <c r="G44" i="36"/>
  <c r="G26" i="36"/>
  <c r="G49" i="36"/>
  <c r="G48" i="36"/>
  <c r="S18" i="38"/>
  <c r="S24" i="38"/>
  <c r="K20" i="38"/>
  <c r="K25" i="38" s="1"/>
  <c r="J25" i="38"/>
  <c r="E15" i="38"/>
  <c r="G16" i="38" s="1"/>
  <c r="S16" i="38" s="1"/>
  <c r="H25" i="38"/>
  <c r="E19" i="38"/>
  <c r="L25" i="38"/>
  <c r="F16" i="24"/>
  <c r="G50" i="36" l="1"/>
  <c r="F60" i="24"/>
  <c r="M23" i="37" s="1"/>
  <c r="S20" i="38"/>
  <c r="E25" i="38"/>
  <c r="G52" i="24"/>
  <c r="D22" i="38" s="1"/>
  <c r="G54" i="24"/>
  <c r="G56" i="24"/>
  <c r="G55" i="24"/>
  <c r="G51" i="24"/>
  <c r="G53" i="24"/>
  <c r="G25" i="38"/>
  <c r="S25" i="38" s="1"/>
  <c r="M17" i="37"/>
  <c r="M28" i="37"/>
  <c r="M25" i="37"/>
  <c r="M21" i="37"/>
  <c r="M19" i="37"/>
  <c r="G45" i="24"/>
  <c r="G40" i="24"/>
  <c r="G39" i="24"/>
  <c r="G26" i="24"/>
  <c r="G47" i="24"/>
  <c r="G42" i="24"/>
  <c r="G38" i="24"/>
  <c r="G18" i="24"/>
  <c r="G25" i="24"/>
  <c r="G37" i="24"/>
  <c r="G17" i="24"/>
  <c r="G16" i="24"/>
  <c r="G29" i="24" l="1"/>
  <c r="G20" i="24"/>
  <c r="G31" i="24"/>
  <c r="G36" i="24"/>
  <c r="G23" i="24"/>
  <c r="G50" i="24"/>
  <c r="G48" i="24"/>
  <c r="G33" i="24"/>
  <c r="G30" i="24"/>
  <c r="G49" i="24"/>
  <c r="G28" i="24"/>
  <c r="G46" i="24"/>
  <c r="G21" i="24"/>
  <c r="G44" i="24"/>
  <c r="G43" i="24"/>
  <c r="G32" i="24"/>
  <c r="G19" i="24"/>
  <c r="G41" i="24"/>
  <c r="G22" i="24"/>
  <c r="G57" i="24"/>
  <c r="D24" i="38" s="1"/>
  <c r="G58" i="24"/>
  <c r="D23" i="38" s="1"/>
  <c r="G59" i="24"/>
  <c r="G24" i="24"/>
  <c r="M15" i="37"/>
  <c r="M18" i="37"/>
  <c r="M16" i="37"/>
  <c r="M14" i="37"/>
  <c r="M22" i="37"/>
  <c r="M24" i="37"/>
  <c r="M27" i="37"/>
  <c r="G34" i="24"/>
  <c r="M20" i="37"/>
  <c r="G27" i="24"/>
  <c r="G35" i="24"/>
  <c r="M30" i="37"/>
  <c r="M29" i="37"/>
  <c r="M26" i="37"/>
  <c r="D21" i="38"/>
  <c r="D16" i="38"/>
  <c r="D15" i="38" s="1"/>
  <c r="D18" i="38"/>
  <c r="D17" i="38" s="1"/>
  <c r="D20" i="38"/>
  <c r="D19" i="38" s="1"/>
  <c r="G60" i="24" l="1"/>
  <c r="M31" i="37"/>
  <c r="D25" i="38"/>
  <c r="R14" i="15"/>
</calcChain>
</file>

<file path=xl/sharedStrings.xml><?xml version="1.0" encoding="utf-8"?>
<sst xmlns="http://schemas.openxmlformats.org/spreadsheetml/2006/main" count="4859" uniqueCount="1227">
  <si>
    <t>Objeto:</t>
  </si>
  <si>
    <t>Extensão:</t>
  </si>
  <si>
    <t>Prazo:</t>
  </si>
  <si>
    <t>km (aproximadamente)</t>
  </si>
  <si>
    <t>dias</t>
  </si>
  <si>
    <t>Quadro demonstrativo da abrangência do projeto</t>
  </si>
  <si>
    <t>TRECHO</t>
  </si>
  <si>
    <t>LOTE</t>
  </si>
  <si>
    <t>MUNICÍPIO</t>
  </si>
  <si>
    <t>JURISDIÇÃO</t>
  </si>
  <si>
    <t>INÍCIO</t>
  </si>
  <si>
    <t>ACUM.</t>
  </si>
  <si>
    <t>TOTAL DE EXTENSÃO ACUMULADA:</t>
  </si>
  <si>
    <t>km</t>
  </si>
  <si>
    <t>LOCAL</t>
  </si>
  <si>
    <t>DESCRIÇÃO</t>
  </si>
  <si>
    <t>Processo:</t>
  </si>
  <si>
    <t>Data-base:</t>
  </si>
  <si>
    <t>Orçamento referencial - Sumário</t>
  </si>
  <si>
    <t>ITEM</t>
  </si>
  <si>
    <t>Quadro de abrangência do projeto</t>
  </si>
  <si>
    <t>Planilha sintética do orçamento</t>
  </si>
  <si>
    <t>Custo do projeto</t>
  </si>
  <si>
    <t>Custo da mão de obra</t>
  </si>
  <si>
    <t>Custo de diárias e passagens</t>
  </si>
  <si>
    <t>Custo de mobilização e desmobilização da mão de obra</t>
  </si>
  <si>
    <t>Custo de mobilização e desmobilização de equipamentos rodantes</t>
  </si>
  <si>
    <t>Custo das instalações físicas e diversos</t>
  </si>
  <si>
    <t>Custo com serviços gráficos</t>
  </si>
  <si>
    <t>CÓDIGO</t>
  </si>
  <si>
    <t>TIPO</t>
  </si>
  <si>
    <t>UNID.</t>
  </si>
  <si>
    <t>CUSTO UNID. (R$)</t>
  </si>
  <si>
    <t>P8001</t>
  </si>
  <si>
    <t>Advogado júnior</t>
  </si>
  <si>
    <t>S</t>
  </si>
  <si>
    <t>mês</t>
  </si>
  <si>
    <t>P8002</t>
  </si>
  <si>
    <t>Advogado pleno</t>
  </si>
  <si>
    <t>P8003</t>
  </si>
  <si>
    <t>Advogado sênior</t>
  </si>
  <si>
    <t>P8007</t>
  </si>
  <si>
    <t>Analista de desenvolvimento de sistemas júnior</t>
  </si>
  <si>
    <t>P8008</t>
  </si>
  <si>
    <t>Analista de desenvolvimento de sistemas pleno</t>
  </si>
  <si>
    <t>P8009</t>
  </si>
  <si>
    <t>Analista de desenvolvimento de sistemas sênior</t>
  </si>
  <si>
    <t>P8013</t>
  </si>
  <si>
    <t>Arquiteto júnior</t>
  </si>
  <si>
    <t>P8014</t>
  </si>
  <si>
    <t>Arquiteto pleno</t>
  </si>
  <si>
    <t>P8015</t>
  </si>
  <si>
    <t>Arquiteto sênior</t>
  </si>
  <si>
    <t>P8019</t>
  </si>
  <si>
    <t>Assistente social júnior</t>
  </si>
  <si>
    <t>P8020</t>
  </si>
  <si>
    <t>Assistente social pleno</t>
  </si>
  <si>
    <t>P8021</t>
  </si>
  <si>
    <t>Assistente social sênior</t>
  </si>
  <si>
    <t>P8025</t>
  </si>
  <si>
    <t>Auxiliar</t>
  </si>
  <si>
    <t>A</t>
  </si>
  <si>
    <t>P8026</t>
  </si>
  <si>
    <t>Auxiliar administrativo</t>
  </si>
  <si>
    <t>P8027</t>
  </si>
  <si>
    <t>Auxiliar de laboratório</t>
  </si>
  <si>
    <t>P8028</t>
  </si>
  <si>
    <t>Auxiliar de topografia</t>
  </si>
  <si>
    <t>P8032</t>
  </si>
  <si>
    <t>Biólogo júnior</t>
  </si>
  <si>
    <t>P8033</t>
  </si>
  <si>
    <t>Biólogo pleno</t>
  </si>
  <si>
    <t>P8034</t>
  </si>
  <si>
    <t>Biólogo sênior</t>
  </si>
  <si>
    <t>P8038</t>
  </si>
  <si>
    <t>Chefe de escritório</t>
  </si>
  <si>
    <t>P8040</t>
  </si>
  <si>
    <t>Contador júnior</t>
  </si>
  <si>
    <t>P8041</t>
  </si>
  <si>
    <t>Contador pleno</t>
  </si>
  <si>
    <t>P8042</t>
  </si>
  <si>
    <t>Contador sênior</t>
  </si>
  <si>
    <t>P8044</t>
  </si>
  <si>
    <t>Coordenador ambiental</t>
  </si>
  <si>
    <t>P8045</t>
  </si>
  <si>
    <t>Economista júnior</t>
  </si>
  <si>
    <t>P8046</t>
  </si>
  <si>
    <t>Economista pleno</t>
  </si>
  <si>
    <t>P8047</t>
  </si>
  <si>
    <t>Economista sênior</t>
  </si>
  <si>
    <t>P8054</t>
  </si>
  <si>
    <t>Engenheiro agrônomo júnior</t>
  </si>
  <si>
    <t>P8055</t>
  </si>
  <si>
    <t>Engenheiro agrônomo pleno</t>
  </si>
  <si>
    <t>P8056</t>
  </si>
  <si>
    <t>Engenheiro agrônomo sênior</t>
  </si>
  <si>
    <t>P8057</t>
  </si>
  <si>
    <t>Engenheiro ambiental júnior</t>
  </si>
  <si>
    <t>P8058</t>
  </si>
  <si>
    <t>Engenheiro ambiental pleno</t>
  </si>
  <si>
    <t>P8059</t>
  </si>
  <si>
    <t>Engenheiro ambiental sênior</t>
  </si>
  <si>
    <t>P8060</t>
  </si>
  <si>
    <t>Engenheiro consultor especial</t>
  </si>
  <si>
    <t>P8061</t>
  </si>
  <si>
    <t>Engenheiro coordenador</t>
  </si>
  <si>
    <t>P8062</t>
  </si>
  <si>
    <t>Engenheiro de pesca júnior</t>
  </si>
  <si>
    <t>P8063</t>
  </si>
  <si>
    <t>Engenheiro de pesca pleno</t>
  </si>
  <si>
    <t>P8064</t>
  </si>
  <si>
    <t>Engenheiro de pesca sênior</t>
  </si>
  <si>
    <t>P8065</t>
  </si>
  <si>
    <t>Engenheiro de projetos júnior</t>
  </si>
  <si>
    <t>P8066</t>
  </si>
  <si>
    <t>Engenheiro de projetos pleno</t>
  </si>
  <si>
    <t>P8067</t>
  </si>
  <si>
    <t>Engenheiro de projetos sênior</t>
  </si>
  <si>
    <t>P8068</t>
  </si>
  <si>
    <t>Engenheiro florestal júnior</t>
  </si>
  <si>
    <t>P8069</t>
  </si>
  <si>
    <t>Engenheiro florestal pleno</t>
  </si>
  <si>
    <t>P8070</t>
  </si>
  <si>
    <t>Engenheiro florestal sênior</t>
  </si>
  <si>
    <t>P8080</t>
  </si>
  <si>
    <t>Geólogo júnior</t>
  </si>
  <si>
    <t>P8081</t>
  </si>
  <si>
    <t>Geólogo pleno</t>
  </si>
  <si>
    <t>P8082</t>
  </si>
  <si>
    <t>Geólogo sênior</t>
  </si>
  <si>
    <t>P8092</t>
  </si>
  <si>
    <t>Jornalista júnior</t>
  </si>
  <si>
    <t>P8093</t>
  </si>
  <si>
    <t>Jornalista pleno</t>
  </si>
  <si>
    <t>P8094</t>
  </si>
  <si>
    <t>Jornalista sênior</t>
  </si>
  <si>
    <t>P8098</t>
  </si>
  <si>
    <t>Laboratorista</t>
  </si>
  <si>
    <t>T</t>
  </si>
  <si>
    <t>P8102</t>
  </si>
  <si>
    <t>Médico veterinário</t>
  </si>
  <si>
    <t>P8106</t>
  </si>
  <si>
    <t>Meteorologista júnior</t>
  </si>
  <si>
    <t>P8107</t>
  </si>
  <si>
    <t>Meteorologista pleno</t>
  </si>
  <si>
    <t>P8108</t>
  </si>
  <si>
    <t>Meteorologista sênior</t>
  </si>
  <si>
    <t>P8112</t>
  </si>
  <si>
    <t>Motorista de caminhão</t>
  </si>
  <si>
    <t>P8113</t>
  </si>
  <si>
    <t>Motorista de veículo leve</t>
  </si>
  <si>
    <t>P8117</t>
  </si>
  <si>
    <t>Oceanógrafo júnior</t>
  </si>
  <si>
    <t>P8118</t>
  </si>
  <si>
    <t>Oceanógrafo pleno</t>
  </si>
  <si>
    <t>P8119</t>
  </si>
  <si>
    <t>Oceanógrafo sênior</t>
  </si>
  <si>
    <t>P8129</t>
  </si>
  <si>
    <t>Pedagogo júnior</t>
  </si>
  <si>
    <t>P8130</t>
  </si>
  <si>
    <t>Pedagogo pleno</t>
  </si>
  <si>
    <t>P8131</t>
  </si>
  <si>
    <t>Pedagogo sênior</t>
  </si>
  <si>
    <t>P8135</t>
  </si>
  <si>
    <t>Secretária</t>
  </si>
  <si>
    <t>P8139</t>
  </si>
  <si>
    <t>Sondador</t>
  </si>
  <si>
    <t>P8143</t>
  </si>
  <si>
    <t>Técnico ambiental</t>
  </si>
  <si>
    <t>P8147</t>
  </si>
  <si>
    <t>Técnico de obras</t>
  </si>
  <si>
    <t>P8151</t>
  </si>
  <si>
    <t>Técnico de segurança do trabalho</t>
  </si>
  <si>
    <t>P8155</t>
  </si>
  <si>
    <t>Técnico em geoprocessamento</t>
  </si>
  <si>
    <t>P8159</t>
  </si>
  <si>
    <t>Técnico em informática - programador</t>
  </si>
  <si>
    <t>P8163</t>
  </si>
  <si>
    <t>Topógrafo</t>
  </si>
  <si>
    <t>P9811</t>
  </si>
  <si>
    <t>Encarregado especializado</t>
  </si>
  <si>
    <t>P9848</t>
  </si>
  <si>
    <t>Desenhista</t>
  </si>
  <si>
    <t>CUSTO PRODUTIVO (R$/h)</t>
  </si>
  <si>
    <t>CUSTO IMPRODUTIVO (R$/h)</t>
  </si>
  <si>
    <t>HORAS PRODUTIVAS (h/mês)</t>
  </si>
  <si>
    <t>HORAS IMPRODUTIVAS (h/mês)</t>
  </si>
  <si>
    <t>CUSTO PRODUTIVO (R$/mês)</t>
  </si>
  <si>
    <t>CUSTO IMPRODUTIVO (R$/mês)</t>
  </si>
  <si>
    <t>CUSTO TOTAL (R$/mês)</t>
  </si>
  <si>
    <t>E8889</t>
  </si>
  <si>
    <t>Veículo leve - 53 kW (sem motorista)</t>
  </si>
  <si>
    <t>V</t>
  </si>
  <si>
    <t>E8891</t>
  </si>
  <si>
    <t>E8887</t>
  </si>
  <si>
    <t>E9508</t>
  </si>
  <si>
    <t>Caminhão carroceria com capacidade de 9 t - 136 kW</t>
  </si>
  <si>
    <t>E</t>
  </si>
  <si>
    <t>km/dia</t>
  </si>
  <si>
    <t>QUANT. (m)</t>
  </si>
  <si>
    <t>amostras/dia</t>
  </si>
  <si>
    <t>-&gt;</t>
  </si>
  <si>
    <t>QUANT.</t>
  </si>
  <si>
    <t>Produtividade referencial de mão de obra</t>
  </si>
  <si>
    <t>ATIVIDADE</t>
  </si>
  <si>
    <t>DIAS PARA ELABORAÇÃO</t>
  </si>
  <si>
    <t>Coleta e análise dos dados existentes</t>
  </si>
  <si>
    <t>Componente Ambiental do Projeto</t>
  </si>
  <si>
    <t>Estudos de Traçado</t>
  </si>
  <si>
    <t>Estudos Geológicos</t>
  </si>
  <si>
    <t>Estudos Hidrológicos</t>
  </si>
  <si>
    <t>Estudos Topográficos</t>
  </si>
  <si>
    <t>Estudos Geotécnicos</t>
  </si>
  <si>
    <t>Projeto Geométrico</t>
  </si>
  <si>
    <t>Projeto de Terraplenagem</t>
  </si>
  <si>
    <t>Projeto de Drenagem</t>
  </si>
  <si>
    <t>Projeto de Pavimentação</t>
  </si>
  <si>
    <t>Projeto de Sinalização</t>
  </si>
  <si>
    <t>Projeto de Obras Complementares</t>
  </si>
  <si>
    <t>Projeto de Canteiro de Obras e Acampamento de Pessoal</t>
  </si>
  <si>
    <t>Projeto de Regularização de Jazidas</t>
  </si>
  <si>
    <t>Orçamento da Obra</t>
  </si>
  <si>
    <t>Referência de horas e dias</t>
  </si>
  <si>
    <t>HORAS</t>
  </si>
  <si>
    <t>DIAS</t>
  </si>
  <si>
    <t>DIAS CORRIDOS</t>
  </si>
  <si>
    <t>A/B</t>
  </si>
  <si>
    <t>(A)</t>
  </si>
  <si>
    <t>(B)</t>
  </si>
  <si>
    <t>Mês</t>
  </si>
  <si>
    <t>Semana</t>
  </si>
  <si>
    <t>Dia</t>
  </si>
  <si>
    <t>Velocidades médias de transporte por tipo e condições da via</t>
  </si>
  <si>
    <t>Índice de reajustamento de obras rodoviárias</t>
  </si>
  <si>
    <t>Áreas de referência</t>
  </si>
  <si>
    <t>TIPO DE VIA</t>
  </si>
  <si>
    <t>EQUIPAMENTO</t>
  </si>
  <si>
    <t>CONDIÇÃO DA VIA</t>
  </si>
  <si>
    <t>VELOCIDADE</t>
  </si>
  <si>
    <t>KM</t>
  </si>
  <si>
    <t>GRUPO DE CIDADES</t>
  </si>
  <si>
    <t>VALOR (R$)</t>
  </si>
  <si>
    <t>ÁREA (m²)</t>
  </si>
  <si>
    <t>Rodovia</t>
  </si>
  <si>
    <t>Veículos rodoviários</t>
  </si>
  <si>
    <t>Pavimentada</t>
  </si>
  <si>
    <t>km/h</t>
  </si>
  <si>
    <t>Campo Grande, Coxim, Dourados, Naviraí, Nova Andradina, Ponta Porã e Três Lagoas.</t>
  </si>
  <si>
    <t>Diária completa</t>
  </si>
  <si>
    <t>Consultoria (Supervisão e Projetos)</t>
  </si>
  <si>
    <t>Escritório (módulo básico)</t>
  </si>
  <si>
    <t>Revestimento primário</t>
  </si>
  <si>
    <t>Diária de alimentação</t>
  </si>
  <si>
    <t>Residência, por ocupante</t>
  </si>
  <si>
    <t>Terreno natural</t>
  </si>
  <si>
    <t>Diária de hospedagem</t>
  </si>
  <si>
    <t>Topografia</t>
  </si>
  <si>
    <t>Ferrovia</t>
  </si>
  <si>
    <t>Veículos ferroviários</t>
  </si>
  <si>
    <t>-</t>
  </si>
  <si>
    <t>Bonito e Corumbá</t>
  </si>
  <si>
    <t>Lab. asfalto</t>
  </si>
  <si>
    <t>Hidrovia</t>
  </si>
  <si>
    <t>Rebocadores</t>
  </si>
  <si>
    <t>Lab. concreto</t>
  </si>
  <si>
    <t>Draga Hopper 750 m³</t>
  </si>
  <si>
    <t>Lab. solos</t>
  </si>
  <si>
    <t>Draga Hopper 1.000 m³</t>
  </si>
  <si>
    <t>Demais cidades</t>
  </si>
  <si>
    <t>Draga Hopper 2.000 m³</t>
  </si>
  <si>
    <t>Draga Hopper 3.000 m³</t>
  </si>
  <si>
    <t>Draga Hopper 4.000 m³</t>
  </si>
  <si>
    <t>Draga Hopper 5.000 m³</t>
  </si>
  <si>
    <t>Item</t>
  </si>
  <si>
    <t>Tipo</t>
  </si>
  <si>
    <t>Unidade</t>
  </si>
  <si>
    <t>Veículos</t>
  </si>
  <si>
    <t>Imóveis</t>
  </si>
  <si>
    <t>B8951</t>
  </si>
  <si>
    <t>m² x mês</t>
  </si>
  <si>
    <t>B8952</t>
  </si>
  <si>
    <t>Mobiliário</t>
  </si>
  <si>
    <t>B8953</t>
  </si>
  <si>
    <t>Escritório</t>
  </si>
  <si>
    <t>ocupante x mês</t>
  </si>
  <si>
    <t>B8954</t>
  </si>
  <si>
    <t>Residência</t>
  </si>
  <si>
    <t>Cesta das Instalações</t>
  </si>
  <si>
    <t>B8955</t>
  </si>
  <si>
    <t>Laboratório de asfalto</t>
  </si>
  <si>
    <t>B8956</t>
  </si>
  <si>
    <t>Laboratório de concreto</t>
  </si>
  <si>
    <t>B8957</t>
  </si>
  <si>
    <t>Laboratório de solos</t>
  </si>
  <si>
    <t>B8958</t>
  </si>
  <si>
    <t>Custos Diversos</t>
  </si>
  <si>
    <t>B8959</t>
  </si>
  <si>
    <t>B8960</t>
  </si>
  <si>
    <t>Despesas Indiretas</t>
  </si>
  <si>
    <t>Administração Central</t>
  </si>
  <si>
    <t>Variável - f (CD)</t>
  </si>
  <si>
    <t>Despesas Financeiras</t>
  </si>
  <si>
    <t>Riscos</t>
  </si>
  <si>
    <t>0,50% do PV</t>
  </si>
  <si>
    <t>0,10% do PV</t>
  </si>
  <si>
    <t>Benefícios</t>
  </si>
  <si>
    <t>Lucro Operacional</t>
  </si>
  <si>
    <t>Tributos</t>
  </si>
  <si>
    <t>PIS</t>
  </si>
  <si>
    <t>1,65% do PV</t>
  </si>
  <si>
    <t>COFINS</t>
  </si>
  <si>
    <t>7,60% do PV</t>
  </si>
  <si>
    <t>5,00% do PV</t>
  </si>
  <si>
    <t>Memória de cálculo de quantidades</t>
  </si>
  <si>
    <t>Mão de obra, veículos, ocupantes das instalações físicas, equipamentos, materiais, diárias, passagens, mobilização e desmobilização</t>
  </si>
  <si>
    <t>1.</t>
  </si>
  <si>
    <t>1.1</t>
  </si>
  <si>
    <t>Mão de obra</t>
  </si>
  <si>
    <t>Dias trabalhados:</t>
  </si>
  <si>
    <t>Dias consecutivos:</t>
  </si>
  <si>
    <t>CÓD</t>
  </si>
  <si>
    <t>TIPO DE MÃO DE OBRA</t>
  </si>
  <si>
    <t>EQUIPES</t>
  </si>
  <si>
    <t>PESSOAS/EQUIPE</t>
  </si>
  <si>
    <t>JORNADA DE TRABALHO DIÁRIA</t>
  </si>
  <si>
    <t>DIAS TRABALHADOS</t>
  </si>
  <si>
    <t>TOTAL DE HORAS</t>
  </si>
  <si>
    <t>FUNCIONÁRIOS/MÊS</t>
  </si>
  <si>
    <t>CUSTO MENSAL</t>
  </si>
  <si>
    <t>TOTAL</t>
  </si>
  <si>
    <t>b</t>
  </si>
  <si>
    <t>c</t>
  </si>
  <si>
    <t>d</t>
  </si>
  <si>
    <t>e</t>
  </si>
  <si>
    <t>f=b*c*d*e</t>
  </si>
  <si>
    <t>g=f/220</t>
  </si>
  <si>
    <t>h</t>
  </si>
  <si>
    <t>i=g*h</t>
  </si>
  <si>
    <t>MÃO DE OBRA</t>
  </si>
  <si>
    <t>B</t>
  </si>
  <si>
    <t>VEÍCULOS</t>
  </si>
  <si>
    <t>Não foram previstos veículos para esse serviço.</t>
  </si>
  <si>
    <t>Instalações físicas e custos diversos</t>
  </si>
  <si>
    <t>Equipamentos e materiais</t>
  </si>
  <si>
    <t>Não foram previstos equipamentos e materiais para esse serviço.</t>
  </si>
  <si>
    <t>Diárias e passagens</t>
  </si>
  <si>
    <t>Não foram previstas diárias e passagens para esse serviço.</t>
  </si>
  <si>
    <t>Não foram previstas mobilização e desmobilização para esse serviço.</t>
  </si>
  <si>
    <t>C</t>
  </si>
  <si>
    <t>INSTALAÇÕES FÍSICAS E CUSTOS DIVERSOS</t>
  </si>
  <si>
    <t>D</t>
  </si>
  <si>
    <t>EQUIPAMENTOS E MATERIAIS</t>
  </si>
  <si>
    <t>DIÁRIAS E PASSAGENS</t>
  </si>
  <si>
    <t>F</t>
  </si>
  <si>
    <t>MOBILIZAÇÃO E DESMOBILIZAÇÃO</t>
  </si>
  <si>
    <t>G</t>
  </si>
  <si>
    <t>RESUMO</t>
  </si>
  <si>
    <t>VALOR</t>
  </si>
  <si>
    <t>Fase Preliminar</t>
  </si>
  <si>
    <t>Logo:</t>
  </si>
  <si>
    <t>CÓD.</t>
  </si>
  <si>
    <t>MESES</t>
  </si>
  <si>
    <t>CUSTO TOTAL</t>
  </si>
  <si>
    <t>a</t>
  </si>
  <si>
    <t>c=b/30</t>
  </si>
  <si>
    <t>e=a*c*d</t>
  </si>
  <si>
    <t>Veículos e equipamentos</t>
  </si>
  <si>
    <t>TIPO DA VIA</t>
  </si>
  <si>
    <t>MÊS</t>
  </si>
  <si>
    <t>Índice de obras rodoviárias: consultoria</t>
  </si>
  <si>
    <t>Índice de reajustamento</t>
  </si>
  <si>
    <t>TEMPO DE VIAGEM (h)</t>
  </si>
  <si>
    <t>k</t>
  </si>
  <si>
    <t>FU</t>
  </si>
  <si>
    <t>SUBTOTAL 1</t>
  </si>
  <si>
    <t>TEMPO DE DESCANSO (h)</t>
  </si>
  <si>
    <t>TEMPO TOTAL (h)</t>
  </si>
  <si>
    <t>DIÁRIA</t>
  </si>
  <si>
    <t>f</t>
  </si>
  <si>
    <t>Logo, o prazo maior engloba o prazo menor.</t>
  </si>
  <si>
    <t>Prazo maior</t>
  </si>
  <si>
    <t>DIAS CONSECUTIVOS</t>
  </si>
  <si>
    <t>Trabalho de escritório</t>
  </si>
  <si>
    <t>1.2</t>
  </si>
  <si>
    <t>1.2.1</t>
  </si>
  <si>
    <t>F.1</t>
  </si>
  <si>
    <t>F.2</t>
  </si>
  <si>
    <t>VELOCIDADE (km/h)</t>
  </si>
  <si>
    <t>PEDÁGIO</t>
  </si>
  <si>
    <t>i</t>
  </si>
  <si>
    <t>TIPO DE M.O.</t>
  </si>
  <si>
    <t>QUANT. EQUIPE</t>
  </si>
  <si>
    <t>PESSOAS/ EQUIPE</t>
  </si>
  <si>
    <t>HORAS/ DIA</t>
  </si>
  <si>
    <t>PESSOAS/ MÊS</t>
  </si>
  <si>
    <t>CUSTO MENSAL (R$)</t>
  </si>
  <si>
    <t>TOTAL (R$)</t>
  </si>
  <si>
    <t>COORDENAÇÃO DO PROJETO</t>
  </si>
  <si>
    <t>ADMINISTRAÇÃO DE CAMPO</t>
  </si>
  <si>
    <t>COLETA E ANÁLISE DE DADOS EXISTENTES</t>
  </si>
  <si>
    <t>Custo dos veículos</t>
  </si>
  <si>
    <t>DISTÂNCIA (km)</t>
  </si>
  <si>
    <t>VELOCIDADE MÉDIA (km/h)</t>
  </si>
  <si>
    <t>d=b/c</t>
  </si>
  <si>
    <t>CUSTO DO TRANSPORTE</t>
  </si>
  <si>
    <t>R$/h</t>
  </si>
  <si>
    <t>R$</t>
  </si>
  <si>
    <t>g=a*d*k*e*f</t>
  </si>
  <si>
    <t>DIÁRIAS (R$)</t>
  </si>
  <si>
    <t>PEDÁGIO (R$)</t>
  </si>
  <si>
    <t>l</t>
  </si>
  <si>
    <t>m</t>
  </si>
  <si>
    <t>n=g+l+m</t>
  </si>
  <si>
    <t>j=d+i</t>
  </si>
  <si>
    <t>%</t>
  </si>
  <si>
    <t>MÃO DE OBRA (R$)</t>
  </si>
  <si>
    <t>VEÍCULOS (R$)</t>
  </si>
  <si>
    <t>DIÁRIAS E PASSAGENS (R$)</t>
  </si>
  <si>
    <t>MOB. E DESMOB. DE M.O. (R$)</t>
  </si>
  <si>
    <t>MOB. E DESMOB. DE EQUIP. RODANTES (R$)</t>
  </si>
  <si>
    <t>Elaboração dos Estudos Geológicos</t>
  </si>
  <si>
    <t>DIAS TRABALHADO</t>
  </si>
  <si>
    <t>Elaboração dos Estudos Hidrológicos</t>
  </si>
  <si>
    <t>1.1.4</t>
  </si>
  <si>
    <t>Elaboração dos Estudos de Traçado</t>
  </si>
  <si>
    <t>ESTUDOS GEOLÓGICOS</t>
  </si>
  <si>
    <t>ESTUDOS HIDROLÓGICOS</t>
  </si>
  <si>
    <t>ESTUDOS DE TRAÇADO</t>
  </si>
  <si>
    <t>1.1.2</t>
  </si>
  <si>
    <t>1.1.2.1</t>
  </si>
  <si>
    <t>DIA DA VIAGEM</t>
  </si>
  <si>
    <t>+</t>
  </si>
  <si>
    <t>=</t>
  </si>
  <si>
    <t>Diárias</t>
  </si>
  <si>
    <t>ALIMENTAÇÃO</t>
  </si>
  <si>
    <t>HOSPEDAGEM</t>
  </si>
  <si>
    <t>c=a+b</t>
  </si>
  <si>
    <t>Passagens</t>
  </si>
  <si>
    <t>Não foram previstas passagens para esse serviço.</t>
  </si>
  <si>
    <t>Foi considerado que a mão de obra especializada para esse serviço será mobilizada em seus próprios veículos.</t>
  </si>
  <si>
    <t>1.1.2.2</t>
  </si>
  <si>
    <t>Elaboração do Componente Ambiental do Projeto</t>
  </si>
  <si>
    <t>Visita ao trecho</t>
  </si>
  <si>
    <t>Fase Preliminar (1/3)</t>
  </si>
  <si>
    <t>Proj. Básico (1/3)</t>
  </si>
  <si>
    <t>Proj. Básico</t>
  </si>
  <si>
    <t>Proj. Executivo (1/3)</t>
  </si>
  <si>
    <t>Proj. Executivo</t>
  </si>
  <si>
    <t>FASE</t>
  </si>
  <si>
    <t>Preliminar</t>
  </si>
  <si>
    <t>E.1</t>
  </si>
  <si>
    <t>C.1</t>
  </si>
  <si>
    <t>Ocupação do escritório</t>
  </si>
  <si>
    <t>OCUPARÁ?</t>
  </si>
  <si>
    <t>PESSOAS</t>
  </si>
  <si>
    <t>Sim</t>
  </si>
  <si>
    <t>C.2</t>
  </si>
  <si>
    <t>Ocupação da residência</t>
  </si>
  <si>
    <t>A mão de obra auxiliar prevista para o serviço está disponível no local de sua execução.</t>
  </si>
  <si>
    <t>E.2</t>
  </si>
  <si>
    <t>TOTAL DOS CUSTOS DE MOBILIZAÇÃO DE EQUIPAMENTOS RODANTES</t>
  </si>
  <si>
    <t>TOTAL DOS CUSTOS DE MOBILIZAÇÃO E DESMOBILIZAÇÃO DE EQUIPAMENTOS RODANTES</t>
  </si>
  <si>
    <t>ALIMENTAÇÃO (R$)</t>
  </si>
  <si>
    <t>HOSPEDAGEM (R$)</t>
  </si>
  <si>
    <t>d=b+c</t>
  </si>
  <si>
    <t>PASSAGENS DE ÔNIBUS (R$)</t>
  </si>
  <si>
    <t>PASSAGENS AÉREAS (R$)</t>
  </si>
  <si>
    <t>TOTAL DE PASSAGENS (R$)</t>
  </si>
  <si>
    <t>g=e+f</t>
  </si>
  <si>
    <t>h=d+g</t>
  </si>
  <si>
    <t>Produtividade:</t>
  </si>
  <si>
    <t>(por equipe)</t>
  </si>
  <si>
    <t>dias trabalhados</t>
  </si>
  <si>
    <t>dias consecutivos</t>
  </si>
  <si>
    <t>Então:</t>
  </si>
  <si>
    <t>equipes</t>
  </si>
  <si>
    <t>dias de viagem</t>
  </si>
  <si>
    <t>dias (para os Topógrafos)</t>
  </si>
  <si>
    <t>CUSTO UNITÁRIO (R$/UND)</t>
  </si>
  <si>
    <t>Elaboração dos Estudos Topográficos</t>
  </si>
  <si>
    <t>EQUIP. E MATERIAIS (R$)</t>
  </si>
  <si>
    <t>Custo de equipamentos e materiais</t>
  </si>
  <si>
    <t>1.1.1</t>
  </si>
  <si>
    <t>1.1.3</t>
  </si>
  <si>
    <t>1.1.5</t>
  </si>
  <si>
    <t>1.1.6</t>
  </si>
  <si>
    <t>1.1.7</t>
  </si>
  <si>
    <t>Fase de Projeto Básico</t>
  </si>
  <si>
    <t>Sondagens subleito, cortes, caixas de empréstimo e  jazidas de solo</t>
  </si>
  <si>
    <t>a cada</t>
  </si>
  <si>
    <t>Ensaios de laboratórios</t>
  </si>
  <si>
    <t>amostra</t>
  </si>
  <si>
    <t>laboratorista</t>
  </si>
  <si>
    <t>analisa</t>
  </si>
  <si>
    <t>AMOSTRAS</t>
  </si>
  <si>
    <t>MOB. E DESMOB.</t>
  </si>
  <si>
    <t>DEBANDAS</t>
  </si>
  <si>
    <t>g</t>
  </si>
  <si>
    <t>h=g/30</t>
  </si>
  <si>
    <t>i=2*a*d*h</t>
  </si>
  <si>
    <t>j=f+i</t>
  </si>
  <si>
    <t>Elaboração dos Estudos Geotécnicos</t>
  </si>
  <si>
    <t>1.2.1.1</t>
  </si>
  <si>
    <t>1.2.1.2</t>
  </si>
  <si>
    <t>Os ensaios de laboratório tem que terminar depois das sondagens.</t>
  </si>
  <si>
    <t>Foi considerado que a mão de obra especializada para esse serviço será mobilizada e desmobilizada em seus próprios veículos.</t>
  </si>
  <si>
    <t>1.2.1.3</t>
  </si>
  <si>
    <t>ESTUDOS GEOTÉCNICOS: TRABALHO DE ESCRITÓRIO (ANÁLISES E FORMULAÇÕES)</t>
  </si>
  <si>
    <t>1.2.2</t>
  </si>
  <si>
    <t>ESTUDOS GEOTÉCNICOS: SONDAGENS SUBLEITO, CORTES, CAIXAS DE EMPRÉSTIMO E JAZIDAS DE SOLO</t>
  </si>
  <si>
    <t>CUSTO DA PASSAGEM (R$)</t>
  </si>
  <si>
    <t>CUSTO DA ALIMENTAÇÃO (R$)</t>
  </si>
  <si>
    <t>CUSTO DA VIAGEM (R$)</t>
  </si>
  <si>
    <t>CUSTO DE MOB. E DESMOB. (R$)</t>
  </si>
  <si>
    <t>CUSTO DA DEBANDA (R$)</t>
  </si>
  <si>
    <t>PREÇO UNITÁRIO (R$)</t>
  </si>
  <si>
    <t>Mobilização e desmobilização</t>
  </si>
  <si>
    <t>1.2.3</t>
  </si>
  <si>
    <t>1.3.3</t>
  </si>
  <si>
    <t>Administração de campo</t>
  </si>
  <si>
    <t>Estudos geotécnicos: sondagens subleito, cortes, caixas de empréstimo e jazidas de solo</t>
  </si>
  <si>
    <t>Histograma de mão de obra: escritório</t>
  </si>
  <si>
    <t>TÉRMINO</t>
  </si>
  <si>
    <t>DURAÇÃO (DIAS)</t>
  </si>
  <si>
    <t>ATIVIDADES EM CAMPO</t>
  </si>
  <si>
    <t>PROJETO EXECUTIVO</t>
  </si>
  <si>
    <t>1.3</t>
  </si>
  <si>
    <t>1.4</t>
  </si>
  <si>
    <t>FASE PRELIMINAR</t>
  </si>
  <si>
    <t>1.1.8</t>
  </si>
  <si>
    <t>Entrega do Relatório da Fase Preliminar</t>
  </si>
  <si>
    <t>1.1.9</t>
  </si>
  <si>
    <t>Análise do Relatório da Fase Preliminar</t>
  </si>
  <si>
    <t>1.1.10</t>
  </si>
  <si>
    <t>Correções do Relatório da Fase Preliminar</t>
  </si>
  <si>
    <t>Aprovação do Relatório da Fase Preliminar</t>
  </si>
  <si>
    <t>FASE DE PROJETO BÁSICO</t>
  </si>
  <si>
    <t>Estudos Geotécnicos: sondagens de subleito, cortes, caixas de empréstimo e jazidas de solo</t>
  </si>
  <si>
    <t>Estudos Geotécnicos: ensaios de laboratório</t>
  </si>
  <si>
    <t>ESTUDOS GEOTÉCNICOS: ENSAIOS DE LABORATÓRIO</t>
  </si>
  <si>
    <t>Projeto Geométrico Básico</t>
  </si>
  <si>
    <t>Projeto Básico de Terraplenagem</t>
  </si>
  <si>
    <t>Projeto Básico de Pavimentação</t>
  </si>
  <si>
    <t>Projeto Básico de Sinalização</t>
  </si>
  <si>
    <t>Projeto Básico de Obras Complementares</t>
  </si>
  <si>
    <t>1.2.4</t>
  </si>
  <si>
    <t>1.2.5</t>
  </si>
  <si>
    <t>1.2.7</t>
  </si>
  <si>
    <t>1.2.8</t>
  </si>
  <si>
    <t>1.2.11</t>
  </si>
  <si>
    <t>1.2.12</t>
  </si>
  <si>
    <t>1.2.13</t>
  </si>
  <si>
    <t>1.2.14</t>
  </si>
  <si>
    <t>1.2.15</t>
  </si>
  <si>
    <t>1.2.16</t>
  </si>
  <si>
    <t>Estudos Geotécnicos - Fase de Projeto Básico: trabalho de escritório (análises e formulações)</t>
  </si>
  <si>
    <t>Projeto Básico do Canteiro de Obras e Acampamento do Pessoal</t>
  </si>
  <si>
    <t>Projeto Básico de Regularização de Jazidas</t>
  </si>
  <si>
    <t>Componente Ambiental do Projeto - Fase de Projeto Básico</t>
  </si>
  <si>
    <t>Estudos Geotécnicos - Fase de Projeto Básico</t>
  </si>
  <si>
    <t>Orçamento Básico da Obra</t>
  </si>
  <si>
    <t>Entrega do Relatório da Fase de Projeto Básico</t>
  </si>
  <si>
    <t>Análise do Relatório da Fase de Projeto Básico</t>
  </si>
  <si>
    <t>Correções do Relatório da Fase de Projeto Básico</t>
  </si>
  <si>
    <t>Aprovação do Relatório da Fase de Projeto Básico</t>
  </si>
  <si>
    <t>FASE DE PROJETO EXECUTIVO</t>
  </si>
  <si>
    <t>1.3.1</t>
  </si>
  <si>
    <t>1.3.2</t>
  </si>
  <si>
    <t>1.3.4</t>
  </si>
  <si>
    <t>1.3.5</t>
  </si>
  <si>
    <t>1.3.6</t>
  </si>
  <si>
    <t>1.3.7</t>
  </si>
  <si>
    <t>1.3.8</t>
  </si>
  <si>
    <t>1.3.10</t>
  </si>
  <si>
    <t>1.3.11</t>
  </si>
  <si>
    <t>1.3.12</t>
  </si>
  <si>
    <t>1.3.13</t>
  </si>
  <si>
    <t>1.3.14</t>
  </si>
  <si>
    <t>1.3.15</t>
  </si>
  <si>
    <t>1.3.16</t>
  </si>
  <si>
    <t>Estudos Geotécnicos - Fase de Projeto Executivo</t>
  </si>
  <si>
    <t>Projeto do Canteiro de Obras e Acampamento do Pessoal</t>
  </si>
  <si>
    <t>Componente Ambiental do Projeto - Fase de Projeto Executivo</t>
  </si>
  <si>
    <t>Entrega do Relatório da Fase de Projeto Executivo</t>
  </si>
  <si>
    <t>Análise do Relatório da Fase de Projeto Executivo</t>
  </si>
  <si>
    <t>Correções do Relatório da Fase de Projeto Executivo</t>
  </si>
  <si>
    <t>Aprovação do Relatório da Fase de Projeto Executivo</t>
  </si>
  <si>
    <t>Observações:</t>
  </si>
  <si>
    <t>(*): Toda mão de obra prevista para esse serviço está disponível no local de sua execução. Por isso, foi considarado apenas a ocupação do escritório (para os profissionais de nível técnico).</t>
  </si>
  <si>
    <t>Foi considerado que a mão de obra especializada para esse serviço será mobilizada em seu próprio veículo.</t>
  </si>
  <si>
    <t>Histograma de mão de obra: residência</t>
  </si>
  <si>
    <t>Elaboração do Projeto Geométrico</t>
  </si>
  <si>
    <t>Fase de Projeto Executivo</t>
  </si>
  <si>
    <t>Instalações físicas</t>
  </si>
  <si>
    <t>Elaboração do Projeto de Terraplenagem</t>
  </si>
  <si>
    <t>Elaboração do Projeto de Drenagem</t>
  </si>
  <si>
    <t>Elaboração do Projeto de Pavimentação</t>
  </si>
  <si>
    <t>PROJETO GEOMÉTRICO</t>
  </si>
  <si>
    <t>PROJETO DE TERRAPLENAGEM</t>
  </si>
  <si>
    <t>PROJETO DE PAVIMENTAÇÃO</t>
  </si>
  <si>
    <t>PROJETO DE SINALIZAÇÃO</t>
  </si>
  <si>
    <t>Elaboração do Projeto de Sinalização</t>
  </si>
  <si>
    <t>PROJETO DE OBRAS COMPLEMENTARES</t>
  </si>
  <si>
    <t>Elaboração do Projeto de Obras Complementares</t>
  </si>
  <si>
    <t>PROJETO DE CANTEIRO DE OBRAS E ACAMPAMENTO DE PESSOAL</t>
  </si>
  <si>
    <t>Elaboração do Projeto de Canteiro de Obras e Acampamento de Pessoal</t>
  </si>
  <si>
    <t>PROJETO DE REGULARIZAÇÃO DE JAZIDAS</t>
  </si>
  <si>
    <t>Elaboração do Projeto de Regularização de Jazidas</t>
  </si>
  <si>
    <t>ORÇAMENTO DA OBRA</t>
  </si>
  <si>
    <t>Orçamento das Obras</t>
  </si>
  <si>
    <t>Elaboração do Orçamento da Obra</t>
  </si>
  <si>
    <t>Coordenação do Projeto</t>
  </si>
  <si>
    <t>Término do Projeto Executivo</t>
  </si>
  <si>
    <t>Atividades de campo</t>
  </si>
  <si>
    <t>(uma visita a cada 30 dias)</t>
  </si>
  <si>
    <t>Jornada de trabalho diária:</t>
  </si>
  <si>
    <t>Total de diárias e passagens</t>
  </si>
  <si>
    <t>Diária</t>
  </si>
  <si>
    <t>E.3</t>
  </si>
  <si>
    <t>Instalações e Diversos</t>
  </si>
  <si>
    <t>2.1</t>
  </si>
  <si>
    <t>2.1.1</t>
  </si>
  <si>
    <t>Custo referencial da unidade de área</t>
  </si>
  <si>
    <t>CUSTO UNITÁRIO (R$ / UND)</t>
  </si>
  <si>
    <t>2.1.2</t>
  </si>
  <si>
    <t>Dimensionamento da área e custos de instalação</t>
  </si>
  <si>
    <t>Dia do pico de ocupantes, segundo o histograma de escritório:</t>
  </si>
  <si>
    <t>dia</t>
  </si>
  <si>
    <t>Pico de pessoas, segundo o histograma de escritório:</t>
  </si>
  <si>
    <t>pessoas</t>
  </si>
  <si>
    <t>Pessoas de Topografia, no pico:</t>
  </si>
  <si>
    <t>Pessoas de Sondagem, no pico:</t>
  </si>
  <si>
    <t>Pessoas de Laboratório de solos, no pico:</t>
  </si>
  <si>
    <t>Nº de ocupantes do escritório, no pico:</t>
  </si>
  <si>
    <t>ÁREA DO MÓDULO BÁSICO (m²)</t>
  </si>
  <si>
    <t>OCUPANTES</t>
  </si>
  <si>
    <t>ÁREA DO ESCRITÓRIO (m²)</t>
  </si>
  <si>
    <t>CUSTO TOTAL COM ESCRITÓRIO (R$)</t>
  </si>
  <si>
    <t>Dia do pico de ocupantes, segundo o histograma de residência:</t>
  </si>
  <si>
    <t>Pico de pessoas, segundo o histograma de residência:</t>
  </si>
  <si>
    <t>ÁREA DE RESIDÊNCIA POR OCUPANTE (m²)</t>
  </si>
  <si>
    <t>ÁREA DA RESIDÊNCIA (m²)</t>
  </si>
  <si>
    <t>CUSTO TOTAL COM RESIDÊNCIA (R$)</t>
  </si>
  <si>
    <t>Topografia convencional</t>
  </si>
  <si>
    <t>ÁREA PARA AS INSTALAÇÕES DE TOPOGRAFIA POR EQUIPE (m²)</t>
  </si>
  <si>
    <t>ÁREA DA TOPOGRAFIA (m²)</t>
  </si>
  <si>
    <t>CUSTO TOTAL DE INSTALAÇÃO DE TOPOGRAFIA (R$)</t>
  </si>
  <si>
    <t>ÁREA PARA AS INSTALAÇÕES DO LAB. SOLOS POR EQUIPE (m²)</t>
  </si>
  <si>
    <t>ÁREA DO LAB. SOLOS (m²)</t>
  </si>
  <si>
    <t>CUSTO TOTAL DE INSTALAÇÃO DE LABORATÓRIO (R$)</t>
  </si>
  <si>
    <t>f=(57,95/2)+(d*e)</t>
  </si>
  <si>
    <t>ESCRITÓRIO</t>
  </si>
  <si>
    <t>RESIDÊNCIA</t>
  </si>
  <si>
    <t>f=d*e</t>
  </si>
  <si>
    <t>i=a*f*h</t>
  </si>
  <si>
    <t>TOPOGRAFIA CONVENCIONAL</t>
  </si>
  <si>
    <t>LABORATÓRIO DE SOLOS</t>
  </si>
  <si>
    <t>2.1.3</t>
  </si>
  <si>
    <t>Para fins de dimensionamento, considera-se que os custos de mobiliário de escritório se aplicam também às equipes de topografia e laboratórios.</t>
  </si>
  <si>
    <t>CUSTO DE MOBILIÁRIO DE ESCRITÓRIO [R$/(ocupante xmês)]</t>
  </si>
  <si>
    <t>Pessoas de Topografia:</t>
  </si>
  <si>
    <t>CUSTO TOTAL COM MOBILIÁRIO (R$)</t>
  </si>
  <si>
    <t>2.2</t>
  </si>
  <si>
    <t>Custos diversos</t>
  </si>
  <si>
    <t>Para fins de dimensionamento, considera-se que os custos diversos de escritório se aplicam também às equipes de topografia e laboratórios.</t>
  </si>
  <si>
    <t>CUSTO UND. (R$/OCUPANTE)</t>
  </si>
  <si>
    <t>CUSTOS DIVERSOS (R$)</t>
  </si>
  <si>
    <t>d=a*b*c</t>
  </si>
  <si>
    <t>Serviços Gráficos</t>
  </si>
  <si>
    <t>FORNECEDOR</t>
  </si>
  <si>
    <t>ÍNDICE DE REAJUSTAMENTO</t>
  </si>
  <si>
    <t>PREÇO UNITÁRIO REAJUSTADO (R$)</t>
  </si>
  <si>
    <t>c=a*(1+b)</t>
  </si>
  <si>
    <t>Impressão colorida em folha A4</t>
  </si>
  <si>
    <t>Impressão colorida em folha A3</t>
  </si>
  <si>
    <t>Só Cópias</t>
  </si>
  <si>
    <t>TOTAL DO CUSTO DE MÃO DE OBRA DE NÍVEL SUPERIOR</t>
  </si>
  <si>
    <t>TOTAL DO CUSTO DE MÃO DE OBRA DE NÍVEL TÉCNICO</t>
  </si>
  <si>
    <t>TOTAL DO CUSTO DE MÃO DE OBRA AUXILIAR</t>
  </si>
  <si>
    <t>Tipos de mão de obra: (S) nível superior, (T) nível técnico e (A) auxiliar</t>
  </si>
  <si>
    <t>UNIDADE</t>
  </si>
  <si>
    <t>CUSTO UNITÁRIO (R$/und)</t>
  </si>
  <si>
    <t>d=c/30</t>
  </si>
  <si>
    <t>% INST. FÍSICAS E DIVERSOS (R$)</t>
  </si>
  <si>
    <t>INSTALAÇÕES FÍSICAS</t>
  </si>
  <si>
    <t>e=d/30</t>
  </si>
  <si>
    <t>MOBILIÁRIO</t>
  </si>
  <si>
    <t>TOTAL DOS CUSTOS DAS INSTALAÇÕES FÍSICAS E DIVERSOS</t>
  </si>
  <si>
    <t>TOTAL DOS CUSTOS DOS VEÍCULOS</t>
  </si>
  <si>
    <t>TOTAL DOS CUSTOS DE DIÁRIAS E PASSAGENS PARA A MÃO DE OBRA DE NÍVEL SUPERIOR</t>
  </si>
  <si>
    <t>TOTAL DOS CUSTOS DE DIÁRIAS E PASSAGENS PARA A MÃO DE OBRA DE DE NÍVEL TÉCNICO</t>
  </si>
  <si>
    <t>TOTAL DOS CUSTOS DE DIÁRIAS E PASSAGENS</t>
  </si>
  <si>
    <t>TOTAL DOS CUSTOS DE EQUIPAMENTOS E MATERIAIS</t>
  </si>
  <si>
    <t>TOTAL DO CUSTO DA MÃO DE OBRA</t>
  </si>
  <si>
    <t>Tipos de mão de obra: (S) nível superior e (T) nível técnico.</t>
  </si>
  <si>
    <t>TOTAL DOS CUSTOS DE MOBILIZAÇÃO E DESMOBILIZAÇÃO DA MÃO DE OBRA</t>
  </si>
  <si>
    <t>% COORD. DO PROJETO (R$)</t>
  </si>
  <si>
    <t>% ADM. DE CAMPO (R$)</t>
  </si>
  <si>
    <t>VOLUME</t>
  </si>
  <si>
    <t>3A</t>
  </si>
  <si>
    <t>3C</t>
  </si>
  <si>
    <t>3E</t>
  </si>
  <si>
    <t>Relatório do Projeto Executivo</t>
  </si>
  <si>
    <t>Projeto de Execução</t>
  </si>
  <si>
    <t>Memória Justificativa</t>
  </si>
  <si>
    <t>Notas de Serviço e Cálculo de Volumes</t>
  </si>
  <si>
    <t>TÍTULO</t>
  </si>
  <si>
    <t>TIPO DE FOLHA</t>
  </si>
  <si>
    <t>A4</t>
  </si>
  <si>
    <t>A3</t>
  </si>
  <si>
    <t>FOLHAS</t>
  </si>
  <si>
    <t>VIAS</t>
  </si>
  <si>
    <t>CUSTO UNITÁRIO (R$/UND.)</t>
  </si>
  <si>
    <t>TOTAL DOS CUSTOS COM SERVIÇOS GRÁFICOS</t>
  </si>
  <si>
    <t>% SERVIÇOS GRÁFICOS (R$)</t>
  </si>
  <si>
    <t>IMPRESSÃO DEFINITIVA (10%)</t>
  </si>
  <si>
    <t>SUBTOTAL 2</t>
  </si>
  <si>
    <t>CUSTO DIRETO (R$)</t>
  </si>
  <si>
    <t>PREÇO DE VENDA (R$)</t>
  </si>
  <si>
    <t>b=a*(1+BDI)</t>
  </si>
  <si>
    <t>1.0</t>
  </si>
  <si>
    <t>Componente Ambiental do Projeto - Fase Preliminar</t>
  </si>
  <si>
    <t>Projeto Básico de Regulazição de Jazidas</t>
  </si>
  <si>
    <t>BDI:</t>
  </si>
  <si>
    <t>Cronograma de medições</t>
  </si>
  <si>
    <t>VALORES</t>
  </si>
  <si>
    <t>ÚNICO</t>
  </si>
  <si>
    <t>MEDIÇÃO</t>
  </si>
  <si>
    <t>Cronograma físico</t>
  </si>
  <si>
    <t>Investigação de campo:</t>
  </si>
  <si>
    <t>Dias:</t>
  </si>
  <si>
    <t>1.1.6.1</t>
  </si>
  <si>
    <t>COMPONENTE AMBIENTAL DO PROJETO: INVESTIGAÇÃO DE CAMPO</t>
  </si>
  <si>
    <t>1.1.6.2</t>
  </si>
  <si>
    <t>COMPONENTE AMBIENTAL DO PROJETO: TRABALHO DE ESCRITÓRIO (ANÁLISES E FORMULAÇÕES)</t>
  </si>
  <si>
    <t>ESTUDOS TOPOGRÁFICOS: SERVIÇOS DE CAMPO</t>
  </si>
  <si>
    <t>ESTUDOS TOPOGRÁFICOS: TRABALHO DE ESCRITÓRIO</t>
  </si>
  <si>
    <t>Serviço de campo</t>
  </si>
  <si>
    <t>Trado</t>
  </si>
  <si>
    <t>EXTENSÃO (km)</t>
  </si>
  <si>
    <t>Estudos Topográficos: serviços de campo</t>
  </si>
  <si>
    <t>Estudos Topográficos: trabalho de escritório</t>
  </si>
  <si>
    <t>CUSTOS DIVERSOS</t>
  </si>
  <si>
    <t>Gráfica Pex</t>
  </si>
  <si>
    <t>Conservare Gráfica</t>
  </si>
  <si>
    <t>CUSTO UNITÁRIO (R$)</t>
  </si>
  <si>
    <t>Produtividade</t>
  </si>
  <si>
    <t>Memória de cálculo</t>
  </si>
  <si>
    <t>Memória de cálculo: cronograma físico</t>
  </si>
  <si>
    <t>Histograma: escritório</t>
  </si>
  <si>
    <t>Histograma: residência</t>
  </si>
  <si>
    <t>Listas</t>
  </si>
  <si>
    <t>Lista: mão de obra</t>
  </si>
  <si>
    <t>Lista: veículos e equipamentos</t>
  </si>
  <si>
    <t>DNIT consultoria: custos + BDI</t>
  </si>
  <si>
    <t>Sondagens</t>
  </si>
  <si>
    <t>P8167</t>
  </si>
  <si>
    <t>Arquivista júnior</t>
  </si>
  <si>
    <t>P8168</t>
  </si>
  <si>
    <t>Arquivista pleno</t>
  </si>
  <si>
    <t>P8169</t>
  </si>
  <si>
    <t>Arquivista sênior</t>
  </si>
  <si>
    <t>P8173</t>
  </si>
  <si>
    <t>Administrador júnior</t>
  </si>
  <si>
    <t>P8174</t>
  </si>
  <si>
    <t>Administrador pleno</t>
  </si>
  <si>
    <t>P8175</t>
  </si>
  <si>
    <t>Administrador sênior</t>
  </si>
  <si>
    <t>CUSTO TOTAL (R$/m)</t>
  </si>
  <si>
    <t>DATA-BASE DA REFERÊNCIA</t>
  </si>
  <si>
    <t>DATA-BASE DO ORÇAMENTO</t>
  </si>
  <si>
    <t>IND. REAJUST.</t>
  </si>
  <si>
    <t>CUSTO REAJUSTADO (R$/m)</t>
  </si>
  <si>
    <t>SPT</t>
  </si>
  <si>
    <t>Mista</t>
  </si>
  <si>
    <t>DIAS TRABALHADOS (POR EQUIPE)</t>
  </si>
  <si>
    <t>DIAS CONSECUTIVOS (POR EQUIPE)</t>
  </si>
  <si>
    <t>DIAS CONSECUTIVOS (EQUIP.)</t>
  </si>
  <si>
    <t>CUSTO UNITÁRIO</t>
  </si>
  <si>
    <t>Foram utilizados os custos referenciais da Sudecap (Prefeitura de BH).</t>
  </si>
  <si>
    <t>Componente Ambiental do Projeto - Fase Preliminar: investigação de campo</t>
  </si>
  <si>
    <t>Componente Ambiental do Projeto - Fase Preliminar: trabalho de escritório (análises e formulações)</t>
  </si>
  <si>
    <t>Projeto Básico de Drenagem e Obras de Arte Correntes</t>
  </si>
  <si>
    <t>Projeto de Drenagem e Obras de Arte Correntes</t>
  </si>
  <si>
    <t>Cotação realizada em 14/10/21</t>
  </si>
  <si>
    <t>1.2.10</t>
  </si>
  <si>
    <t>PROJETO DE DRENAGEM E OBRAS DE ARTE CORRENTES</t>
  </si>
  <si>
    <t>Características do trecho para quantificação de serviços</t>
  </si>
  <si>
    <t>Complexidade da topografia (% extensão do trecho)</t>
  </si>
  <si>
    <t>NÍVEL</t>
  </si>
  <si>
    <t>VEGETAÇÃO</t>
  </si>
  <si>
    <t>RELEVO</t>
  </si>
  <si>
    <t>ACESSO</t>
  </si>
  <si>
    <t>SEGURANÇA</t>
  </si>
  <si>
    <t>ADOTADO</t>
  </si>
  <si>
    <t>PRODUTIVIDADE</t>
  </si>
  <si>
    <t>Difícil</t>
  </si>
  <si>
    <t>Médio</t>
  </si>
  <si>
    <t>Fácil</t>
  </si>
  <si>
    <t>Complexidade das sondagens (% extensão do trecho)</t>
  </si>
  <si>
    <t>PRESENÇA DE ROCHAS</t>
  </si>
  <si>
    <t>ÁREAS ÚMIDAS</t>
  </si>
  <si>
    <t>m/dia</t>
  </si>
  <si>
    <t>PROFUND. (m)</t>
  </si>
  <si>
    <t>FUROS</t>
  </si>
  <si>
    <t>Alagados, difícil acesso (montanhoso).</t>
  </si>
  <si>
    <t>Pastos, lavouras, acesso normal (trafegável).</t>
  </si>
  <si>
    <t>Leito de vias.</t>
  </si>
  <si>
    <t>Produtividade para ensaios de laboratório</t>
  </si>
  <si>
    <t>TEMPO FIXO (DIAS)</t>
  </si>
  <si>
    <t>Normal</t>
  </si>
  <si>
    <t>NOTA: Os estudos e projetos a seguir foram previstos com um prazo fixo mais um prazo variável, proporcionais à extensão do trecho.</t>
  </si>
  <si>
    <t>Tempo fixo e produtividade para Estudos Geotécnicos (escritório) e Projeto de Pavimentação</t>
  </si>
  <si>
    <t>Médias ponderadas, considerando a complexidade da sondagem.</t>
  </si>
  <si>
    <t>Tempo fixo e produtividade para Projetos Geométricos, de Terraplenagem, de Drenagem, de Interseções e de Obras Complementares</t>
  </si>
  <si>
    <t>Médias ponderadas, considerando a complexidade do relevo.</t>
  </si>
  <si>
    <t>Produtividade para o Projeto de Sinalização</t>
  </si>
  <si>
    <t>Produtividade para o Projeto de Desapropriações</t>
  </si>
  <si>
    <t>ADENSAMENTO</t>
  </si>
  <si>
    <t>QUANTIDADE (PROPRIEDADES/km)</t>
  </si>
  <si>
    <t>Região urbana adensada.</t>
  </si>
  <si>
    <t>propriedades/dia</t>
  </si>
  <si>
    <t>Região rural de chácaras e sítios.</t>
  </si>
  <si>
    <t>Região rural de fazendas.</t>
  </si>
  <si>
    <t>Produtividade para o Projeto de Regularização de Jazidas</t>
  </si>
  <si>
    <t>TAXA (JAZIDAS/km)</t>
  </si>
  <si>
    <t>QUANT. (JAZIDAS)</t>
  </si>
  <si>
    <t>jazidas/dia</t>
  </si>
  <si>
    <t>Produtividade para o Projeto de Paisagismo</t>
  </si>
  <si>
    <t>UND.</t>
  </si>
  <si>
    <t>Interseções</t>
  </si>
  <si>
    <t>und</t>
  </si>
  <si>
    <t>interseções/dia</t>
  </si>
  <si>
    <t>Canteiro central</t>
  </si>
  <si>
    <t>Parâmetros para o Projeto de Canteiro de Obras</t>
  </si>
  <si>
    <t>Urbano</t>
  </si>
  <si>
    <t>Consideração de locações na cidade.</t>
  </si>
  <si>
    <t>Rural</t>
  </si>
  <si>
    <t>Consideração de locação de residência em localidade próxima da obra.</t>
  </si>
  <si>
    <t>Remoto</t>
  </si>
  <si>
    <t>Canteiro no campo.</t>
  </si>
  <si>
    <t>Adotado.</t>
  </si>
  <si>
    <t>Produtividade para o Orçamento de Obras</t>
  </si>
  <si>
    <t>DADOS PARAMETRIZADOS</t>
  </si>
  <si>
    <t xml:space="preserve">Data-base do orçamento: </t>
  </si>
  <si>
    <t>Reajuste:</t>
  </si>
  <si>
    <t>Data último índice de reajuste de obra roviária:</t>
  </si>
  <si>
    <t>Pedágio passeio:</t>
  </si>
  <si>
    <t>Pedágio 2 eixos:</t>
  </si>
  <si>
    <t>Cidade das instalações:</t>
  </si>
  <si>
    <t>Distância até cidade das instalações (km):</t>
  </si>
  <si>
    <t>Valor da diária completa:</t>
  </si>
  <si>
    <t>Passagem:</t>
  </si>
  <si>
    <t>Certidão de matrícula:</t>
  </si>
  <si>
    <t>Total de metros de sondagem e de dias trabalhados</t>
  </si>
  <si>
    <t>TEMPO FIXO</t>
  </si>
  <si>
    <t>PRODUTIVIDADE (km/dia)</t>
  </si>
  <si>
    <t>Foi considerado que o Coordenador do Projeto será o Engenheiro responsável pelos projetos Geométrico, Terraplenagem, Drenagem, Pavimentação, Sinalização, Obras Complementares e de Canteiro.</t>
  </si>
  <si>
    <t>Foi considerado que o Coordenador do Projeto será o engenheiro que trabalhará nos projetos Geométrico, Terraplenagem, Drenagem, Pavimentação, Sinalização, Obras Complementares e de Canteiro de Obras.</t>
  </si>
  <si>
    <t>PRODUTIVIDADE (jazidas/dia)</t>
  </si>
  <si>
    <t>JAZIDAS</t>
  </si>
  <si>
    <t>1.2.6</t>
  </si>
  <si>
    <t>Município:</t>
  </si>
  <si>
    <t>Local:</t>
  </si>
  <si>
    <t>INICIAL</t>
  </si>
  <si>
    <t>FINAL</t>
  </si>
  <si>
    <t>Investigação de campo</t>
  </si>
  <si>
    <t>Pedágio passeio</t>
  </si>
  <si>
    <t>Pedágio 2 eixos</t>
  </si>
  <si>
    <t>Pedágio passeio reajustado</t>
  </si>
  <si>
    <t>Pedágio 2 eixos reajustado</t>
  </si>
  <si>
    <t>E9014</t>
  </si>
  <si>
    <t>Deflectômetro de impacto (FWD) instalado em picape com reboque e faixa de carga de 7 a 120 kN - 147 kW</t>
  </si>
  <si>
    <t>E9562</t>
  </si>
  <si>
    <t>GPS geodésico de dupla frequência (L1/L2)</t>
  </si>
  <si>
    <t>M0047</t>
  </si>
  <si>
    <t>Cone de sinalização em polietileno - H = 75 cm e base quadrada de 40 x 40 cm</t>
  </si>
  <si>
    <t>M</t>
  </si>
  <si>
    <t>Custos de imóveis, mobiliário, cestas de instalações e custos diversos</t>
  </si>
  <si>
    <t>Codigo</t>
  </si>
  <si>
    <t>Custo_Unitário</t>
  </si>
  <si>
    <t>ORIGEM</t>
  </si>
  <si>
    <t>SUDECAP</t>
  </si>
  <si>
    <t>INVESTIGAÇÕES GEOTÉCNICAS</t>
  </si>
  <si>
    <t>Sondagem a percussão D= 2 1/2" (SPT)</t>
  </si>
  <si>
    <t>MOBILIZAÇÃO, INST. E DESMOBILIZAÇÃO P/EXECUÇÃO DE SONDAGEM À PERCUSSÃO (NBR 6484:2020)</t>
  </si>
  <si>
    <t xml:space="preserve">un </t>
  </si>
  <si>
    <t>PERFURAÇÃO DE SOLO SONDAGEM À PERCUSSÃO (NBR 6484:2020)</t>
  </si>
  <si>
    <t>DESMONTAGEM, TRANSPORTE E MONTAGEM DE EQUIPAMENTOS DE SONDAGEM A PERCUSSÃO POR FURO</t>
  </si>
  <si>
    <t>Sondagem a trado D= 20 CM</t>
  </si>
  <si>
    <t>Mobilização de equipamentos de sondagem a trado (NBR 9603:2015) DN 20CM</t>
  </si>
  <si>
    <t>Perfuração de solo sondagem a trado (NBR 9603:2015) DN 20CM</t>
  </si>
  <si>
    <t>Sondagem (Outras)</t>
  </si>
  <si>
    <t>SONDAGEM DE SOLO COM UTILIZAÇÃO DE PA E PICARETA</t>
  </si>
  <si>
    <t>Sondagem rotativa D= NW</t>
  </si>
  <si>
    <t>MOBILIZACAO E DESMOBILIZACAO - SONDAGEM ROTATIVA NW</t>
  </si>
  <si>
    <t>INSTALACAO DE SONDAGEM ROTATIVA NW POR FURO</t>
  </si>
  <si>
    <t>PERFURACAO EM SOLO COM SONDAGEM ROTATIVA NW</t>
  </si>
  <si>
    <t>PERFURACAO COM COROA DE WIDIA SONDAGEM ROTATIVA NW</t>
  </si>
  <si>
    <t>65.06.05</t>
  </si>
  <si>
    <t>PERFURACAO COM COROA DIAMANTADA SONDAGEM ROTATIVA NW</t>
  </si>
  <si>
    <t>ENSAIOS DE SOLO E AGREGADO</t>
  </si>
  <si>
    <t>Ensaio de solo</t>
  </si>
  <si>
    <t>DETERMINAÇÃO DO TEOR DE UMIDADE DE SOLOS EM LABORATORIO (NBR 6457:2016 ANEXO A)</t>
  </si>
  <si>
    <t>MASSA ESPECÍFICA,  MASSA ESPECÍFICA APARENTE E ABSORÇÃO DE ÁGUA (NBR 6458:2016)</t>
  </si>
  <si>
    <t>ANÁLISE GRANULOMETRICA DE SOLOS POR PENEIRAMENTO (NBR 7181:2016)</t>
  </si>
  <si>
    <t>ANÁLISE GRANULOMETRICA DE SOLOS POR PENEIRAMENTO E SEDIMENTAÇÃO (NBR 7181:2016)</t>
  </si>
  <si>
    <t>DETERMINAÇÃO DO LIMITE DE LIQUIDEZ DE SOLOS (NBR 6459:2017)</t>
  </si>
  <si>
    <t>DETERMINAÇÃO DO LIMITE DE PLASTICIDADE DE SOLOS (NBR 7180:2016)</t>
  </si>
  <si>
    <t>DETERMINAÇÃO DOS FATORES DE CONTRAÇÃO DE SOLOS (DNER-ME 087/94)</t>
  </si>
  <si>
    <t>COMPACTAÇÃO DO SOLO ENERGIA PROCTOR NORMAL (NBR 7182:2020) COM 05 CORPOS DE PROVA</t>
  </si>
  <si>
    <t>COMPACTAÇÃO DO SOLO ENERGIA PROCTOR INTERMEDIÁRIO (NBR 7182:2020) COM 05 CORPOS DE PROVA</t>
  </si>
  <si>
    <t>COMPACTAÇÃO DO SOLO ENERGIA PROCTOR MODIFICADO (NBR 7182:2020) COM 05 CORPOS DE PROVA</t>
  </si>
  <si>
    <t>ÍNDICE DE SUPORTE CALIFÓRNIA DE SOLOS (ISC/CBR) C/1 CP (DNIT 172/016-ME / NBR 9895:2017)</t>
  </si>
  <si>
    <t>ÍNDICE DE SUPORTE CALIFÓRNIA DE SOLOS (ISC/CBR) C/3 CP (DNIT 172/016-ME / NBR 9895:2017)</t>
  </si>
  <si>
    <t>ÍNDICE DE SUPORTE CALIFÓRNIA DE SOLOS (ISC/CBR) C/5 CP (DNIT 172/016-ME / NBR 9895:2017)</t>
  </si>
  <si>
    <t>DETERMINAÇÃO DO EQUIVALENTE DE AREIA EM SOLO (DNER-ME 054/97 / NBR 12052:92)</t>
  </si>
  <si>
    <t>DETERMINAÇÃO COLORIMÉTRICA DE IMPUREZAS ORGÂNICAS EM SOLOS (NBR NM 49:2001)</t>
  </si>
  <si>
    <t>ENSAIO DE ADENSAMENTO DE SOLOS (DNER-IE 005/94 - NBR 16853:2020)</t>
  </si>
  <si>
    <t>COEFICIENTE DE PERMEABILIDADE DE SOLOS ARGILOSOS À CARGA VARIÁVEL (NBR 14545:2021)</t>
  </si>
  <si>
    <t>COEFICIENTE DE PERMEABILIDADE DE SOLOS GRANULARES À CARGA CONSTANTE (NBR 13292:2021)</t>
  </si>
  <si>
    <t>RESISTÊNCIA À COMPRESSÃO NÃO CONFINADA - SOLOS COESIVOS (NBR 12770:1992)</t>
  </si>
  <si>
    <t>DIAS DE VIAGEM</t>
  </si>
  <si>
    <t>Administração de campo - Fase de Projeto Básico</t>
  </si>
  <si>
    <t>Projeto Básico</t>
  </si>
  <si>
    <t>DIAS TRABALHADOS (ENGENHEIROS)</t>
  </si>
  <si>
    <t>Plano de Execução da Obra</t>
  </si>
  <si>
    <t>Elaboração do Plano de Execução da Obra</t>
  </si>
  <si>
    <t>1.3.17</t>
  </si>
  <si>
    <t>PLANO DE EXECUÇÃO DA OBRA</t>
  </si>
  <si>
    <t>1.4.2</t>
  </si>
  <si>
    <t>RELATÓRIO PRELIMINAR</t>
  </si>
  <si>
    <t>2.0</t>
  </si>
  <si>
    <t>RELATÓRIO BÁSICO</t>
  </si>
  <si>
    <t>3.0</t>
  </si>
  <si>
    <t>3.1</t>
  </si>
  <si>
    <t>2.1.4</t>
  </si>
  <si>
    <t>2.1.5</t>
  </si>
  <si>
    <t>2.1.6</t>
  </si>
  <si>
    <t>2.1.7</t>
  </si>
  <si>
    <t>2.1.8</t>
  </si>
  <si>
    <t>2.1.9</t>
  </si>
  <si>
    <t>2.1.10</t>
  </si>
  <si>
    <t>2.1.11</t>
  </si>
  <si>
    <t>3.1.1</t>
  </si>
  <si>
    <t>3.1.2</t>
  </si>
  <si>
    <t>3.1.3</t>
  </si>
  <si>
    <t>3.1.4</t>
  </si>
  <si>
    <t>3.1.5</t>
  </si>
  <si>
    <t>3.1.6</t>
  </si>
  <si>
    <t>3.1.7</t>
  </si>
  <si>
    <t>3.1.8</t>
  </si>
  <si>
    <t>3.1.9</t>
  </si>
  <si>
    <t>3.1.10</t>
  </si>
  <si>
    <t>3.1.11</t>
  </si>
  <si>
    <t>3.1.12</t>
  </si>
  <si>
    <t>RELATÓRIO FINAL DO PROJETO EXECUTIVO</t>
  </si>
  <si>
    <t>Relatório Preliminar</t>
  </si>
  <si>
    <t>Relatório Básico</t>
  </si>
  <si>
    <t>Relatório Final do Projeto Executivo</t>
  </si>
  <si>
    <t>Largura:</t>
  </si>
  <si>
    <t>95.02</t>
  </si>
  <si>
    <t>95.03</t>
  </si>
  <si>
    <t>95.06</t>
  </si>
  <si>
    <t>IND. REAJUST. REF. (DNIT - CONSULTORIA)</t>
  </si>
  <si>
    <t>IND. REAJUST. ORÇ. (DNIT - CONSULTORIA)</t>
  </si>
  <si>
    <t>Banco</t>
  </si>
  <si>
    <t>SICRO</t>
  </si>
  <si>
    <t>Engenheiro agrimensor júnior</t>
  </si>
  <si>
    <t>Engenheiro agrimensor pleno</t>
  </si>
  <si>
    <t>Engenheiro agrimensor sênior</t>
  </si>
  <si>
    <t>Historiador júnior</t>
  </si>
  <si>
    <t>Historiador pleno</t>
  </si>
  <si>
    <t>Historiador sênior</t>
  </si>
  <si>
    <t>Paleontólogo júnior</t>
  </si>
  <si>
    <t>Paleontólogo pleno</t>
  </si>
  <si>
    <t>Paleontólogo sênior</t>
  </si>
  <si>
    <t>DNIT</t>
  </si>
  <si>
    <t>SICRO materiais</t>
  </si>
  <si>
    <t>P8183</t>
  </si>
  <si>
    <t>Geógrafo júnior</t>
  </si>
  <si>
    <t>P8184</t>
  </si>
  <si>
    <t>Geógrafo pleno</t>
  </si>
  <si>
    <t>P8185</t>
  </si>
  <si>
    <t>Geógrafo sênior</t>
  </si>
  <si>
    <t>P8186</t>
  </si>
  <si>
    <t>Antropólogo júnior</t>
  </si>
  <si>
    <t>P8187</t>
  </si>
  <si>
    <t>Antropólogo pleno</t>
  </si>
  <si>
    <t>P8188</t>
  </si>
  <si>
    <t>Antropólogo sênior</t>
  </si>
  <si>
    <t>P8189</t>
  </si>
  <si>
    <t>Arqueólogo júnior</t>
  </si>
  <si>
    <t>P8190</t>
  </si>
  <si>
    <t>Arqueólogo pleno</t>
  </si>
  <si>
    <t>P8191</t>
  </si>
  <si>
    <t>Arqueólogo sênior</t>
  </si>
  <si>
    <t>P8198</t>
  </si>
  <si>
    <t>Sociólogo júnior</t>
  </si>
  <si>
    <t>P8199</t>
  </si>
  <si>
    <t>Sociólogo pleno</t>
  </si>
  <si>
    <t>P8200</t>
  </si>
  <si>
    <t>Sociólogo sênior</t>
  </si>
  <si>
    <t>P8264</t>
  </si>
  <si>
    <t>Motorista de veículo leve - horista</t>
  </si>
  <si>
    <t>4.0</t>
  </si>
  <si>
    <t>4.1</t>
  </si>
  <si>
    <t>RELATÓRIO FINAL DO PBZPA</t>
  </si>
  <si>
    <t>4.1.1</t>
  </si>
  <si>
    <t>Elaboração do PBZPA</t>
  </si>
  <si>
    <t>PLANO BÁSICO DE ZONA DE PROTEÇÃO AERÓDROMO - PBZPA</t>
  </si>
  <si>
    <t>2.1.1.1</t>
  </si>
  <si>
    <t>2.1.1.2</t>
  </si>
  <si>
    <t>2.1.1.3</t>
  </si>
  <si>
    <t>Foi considerado que o motorista seria um dos profissionais</t>
  </si>
  <si>
    <t>Comercial (2,55% do CMCC - SINAPI)</t>
  </si>
  <si>
    <t>Residencial (2,45% do CMCC - SINAPI)</t>
  </si>
  <si>
    <t>Embarcação de transporte de pessoal e apoio logístico - 30 Kw</t>
  </si>
  <si>
    <t>P9948</t>
  </si>
  <si>
    <t>Motorista de veículo leve - mensalista</t>
  </si>
  <si>
    <t>PRODUTIVIDADE (KM/DIAS)</t>
  </si>
  <si>
    <t>deslocamento</t>
  </si>
  <si>
    <t>B8961</t>
  </si>
  <si>
    <t>Topografia por VANT</t>
  </si>
  <si>
    <t>Draga Hopper 10.000 m³</t>
  </si>
  <si>
    <t>Draga Hopper 15.000 m³</t>
  </si>
  <si>
    <t>Draga Hopper 20.000 m³</t>
  </si>
  <si>
    <t>Batelão autopropelido 300 m³</t>
  </si>
  <si>
    <t>Batelão autopropelido 500 m³</t>
  </si>
  <si>
    <t>Foi adotado que os ensaios de laboratório ocorrerão após os serviços de campo.</t>
  </si>
  <si>
    <t>f=a*d*e</t>
  </si>
  <si>
    <t>Saída de Campo Grande -&gt; Visita ao trecho -&gt; Chegada em Campo Grande</t>
  </si>
  <si>
    <t>i) Conforme memorando circular nº 687/2018/DIREX/DNIT SEDE, em função da pouca relevância na formação dos custos totais dos contratos de engenharia consultiva, os serviços gráficos não são detalhados como itens de planilha nos orçamentos. Este fato não exime a CONTRATADA de realizar os serviços gráficos necessarios ao andamento dos trabalhos.</t>
  </si>
  <si>
    <t>A mão de obra prevista para o serviço está disponível no local de sua execução.</t>
  </si>
  <si>
    <t>Não foram previstos escritório para esse serviço.</t>
  </si>
  <si>
    <t>Foi considerado que a mão de obra especializada para esse serviço será mobilizada e desmobilizada em veículo leve 53 kW.</t>
  </si>
  <si>
    <t>Durante o período de deslocamento do pessoal também foi considerado os custos adicionais de diárias de alimentação e eventual pousada. Para a mão de obra auxiliar foi considerado pessoal local.</t>
  </si>
  <si>
    <t>(*): Toda mão de obra prevista para esse serviço está disponível no local de sua execução. Por isso, foi considarado apenas a ocupação do escritório (para os profissionais de nível superior e técnico).</t>
  </si>
  <si>
    <t>ATIVIDADES EM ESCRITÓRIO</t>
  </si>
  <si>
    <t>ATIVIDADES EM LABORATÓRIO</t>
  </si>
  <si>
    <t>mínimo</t>
  </si>
  <si>
    <t>ATIVIDADES DE ESCRITÓRIO (MESES)</t>
  </si>
  <si>
    <t>1.4.1</t>
  </si>
  <si>
    <t>Entrega do PBZPA</t>
  </si>
  <si>
    <t>Aprovação do PBZPA</t>
  </si>
  <si>
    <t>TOTAL DOS CUSTOS DE DIÁRIAS E PASSAGENS PARA A MÃO DE OBRA DE DE NÍVEL AUXILIAR</t>
  </si>
  <si>
    <t>0,85% sobre (PV - Lucro)</t>
  </si>
  <si>
    <t>Subtotal 1</t>
  </si>
  <si>
    <t>Subtotal 2</t>
  </si>
  <si>
    <t>Subtotal 3</t>
  </si>
  <si>
    <t>Total - BDI (%)</t>
  </si>
  <si>
    <t>65.01</t>
  </si>
  <si>
    <t>65.01.01</t>
  </si>
  <si>
    <t>65.01.02</t>
  </si>
  <si>
    <t>65.01.03</t>
  </si>
  <si>
    <t>65.02.01</t>
  </si>
  <si>
    <t>65.02.02</t>
  </si>
  <si>
    <t>65.03.02</t>
  </si>
  <si>
    <t>65.06.01</t>
  </si>
  <si>
    <t>65.06.02</t>
  </si>
  <si>
    <t>65.06.03</t>
  </si>
  <si>
    <t>65.06.04</t>
  </si>
  <si>
    <t>67</t>
  </si>
  <si>
    <t>67.01</t>
  </si>
  <si>
    <t>67.01.01</t>
  </si>
  <si>
    <t>67.01.03</t>
  </si>
  <si>
    <t>67.01.04</t>
  </si>
  <si>
    <t>67.01.05</t>
  </si>
  <si>
    <t>67.01.06</t>
  </si>
  <si>
    <t>67.01.07</t>
  </si>
  <si>
    <t>67.01.08</t>
  </si>
  <si>
    <t>67.01.09</t>
  </si>
  <si>
    <t>67.01.10</t>
  </si>
  <si>
    <t>67.01.11</t>
  </si>
  <si>
    <t>67.01.12</t>
  </si>
  <si>
    <t>67.01.13</t>
  </si>
  <si>
    <t>67.01.14</t>
  </si>
  <si>
    <t>67.01.15</t>
  </si>
  <si>
    <t>67.01.17</t>
  </si>
  <si>
    <t>67.01.18</t>
  </si>
  <si>
    <t>67.01.20</t>
  </si>
  <si>
    <t>67.01.21</t>
  </si>
  <si>
    <t>67.01.22</t>
  </si>
  <si>
    <t>67.01.23</t>
  </si>
  <si>
    <t>67.01.24</t>
  </si>
  <si>
    <t>67.01.25</t>
  </si>
  <si>
    <t>67.01.26</t>
  </si>
  <si>
    <t>67.01.27</t>
  </si>
  <si>
    <t>67.01.28</t>
  </si>
  <si>
    <t>67.01.30</t>
  </si>
  <si>
    <t>67.01.31</t>
  </si>
  <si>
    <t>67.01.32</t>
  </si>
  <si>
    <t>67.01.33</t>
  </si>
  <si>
    <t>67.01.34</t>
  </si>
  <si>
    <t>67.01.35</t>
  </si>
  <si>
    <t>67.01.36</t>
  </si>
  <si>
    <t>Benefícios e Despesas Indiretas - BDI</t>
  </si>
  <si>
    <t>% sobre PV</t>
  </si>
  <si>
    <t>% sobre CD</t>
  </si>
  <si>
    <t>Detalhamento do BDI (Engenharia Consultiva - Tabela DNIT)</t>
  </si>
  <si>
    <t>Seguros e Garantias Contratuais</t>
  </si>
  <si>
    <t>ISSQN*</t>
  </si>
  <si>
    <t>(*) Limite máximo adotado de 5%, valor variável em função da legislação de cada município. As empresas licitantes deverão adotar as alíquotas pertinentes.</t>
  </si>
  <si>
    <t>365 dias</t>
  </si>
  <si>
    <t>Plano Básico de Zona de Proteção de Aeródromo</t>
  </si>
  <si>
    <t>Correções do PBZPA</t>
  </si>
  <si>
    <t>Plano Básico de Zona de Proteção de Aeródromo - PBZPA</t>
  </si>
  <si>
    <t>Deslocamento:</t>
  </si>
  <si>
    <t>dias (ida e volta)</t>
  </si>
  <si>
    <t>Total:</t>
  </si>
  <si>
    <t>Tabela 1 - Benefícios e Despesas Indiretas</t>
  </si>
  <si>
    <t>Tabela de Preços de Consultoria</t>
  </si>
  <si>
    <t>Tabela 2 - Custos de imóveis, mobiliário, cestas de instalações e custos diversos</t>
  </si>
  <si>
    <t>Fonte: FGV IBRE</t>
  </si>
  <si>
    <t>Veículo tipo van furgão com capacidade de 1,38 t - 100 kW (com motorista)</t>
  </si>
  <si>
    <t>Veículo leve picape 4 x 4 com capacidade de 1,10 t - 147 kW (sem motorista)</t>
  </si>
  <si>
    <t>P8180</t>
  </si>
  <si>
    <t>P8181</t>
  </si>
  <si>
    <t>P8182</t>
  </si>
  <si>
    <t>P8192</t>
  </si>
  <si>
    <t>P8193</t>
  </si>
  <si>
    <t>P8194</t>
  </si>
  <si>
    <t>P8195</t>
  </si>
  <si>
    <t>P8196</t>
  </si>
  <si>
    <t>P8197</t>
  </si>
  <si>
    <t>Decreto Estadual 16.536/2024</t>
  </si>
  <si>
    <t>DECRETO Nº 16.536, DE 26 DE DEZEMBRO DE 2024</t>
  </si>
  <si>
    <t>Valor da impressão em A4, cotado em 00/00/00: R$ 0,00</t>
  </si>
  <si>
    <t>Valor da impressão em A3, cotado em 00/00/00: R$ 0,00</t>
  </si>
  <si>
    <t>i) Conforme Memorando Circular nº 687/2018/DIREX/DNIT SEDE, em função da pouca relevância na formação dos custos totais dos contratos de engenharia consultiva, os serviços gráficos não são detalhados como itens de planilha nos orçamentos. Este fato não exime a CONTRATADA de realizar os serviços gráficos necessarios ao andamento dos trabalhos.</t>
  </si>
  <si>
    <t>Leito de vias (eixo e bordos a cada 300 m)</t>
  </si>
  <si>
    <t>máximo</t>
  </si>
  <si>
    <r>
      <rPr>
        <b/>
        <sz val="11"/>
        <color theme="1"/>
        <rFont val="Calibri"/>
        <family val="2"/>
        <scheme val="minor"/>
      </rPr>
      <t>Largura:</t>
    </r>
    <r>
      <rPr>
        <sz val="11"/>
        <color theme="1"/>
        <rFont val="Calibri"/>
        <family val="2"/>
        <scheme val="minor"/>
      </rPr>
      <t xml:space="preserve"> 23 m</t>
    </r>
  </si>
  <si>
    <r>
      <t xml:space="preserve">km (aproximadamente)            </t>
    </r>
    <r>
      <rPr>
        <b/>
        <sz val="11"/>
        <color theme="1"/>
        <rFont val="Calibri"/>
        <family val="2"/>
        <scheme val="minor"/>
      </rPr>
      <t xml:space="preserve"> Largura:</t>
    </r>
    <r>
      <rPr>
        <sz val="11"/>
        <color theme="1"/>
        <rFont val="Calibri"/>
        <family val="2"/>
        <scheme val="minor"/>
      </rPr>
      <t xml:space="preserve"> 23 m</t>
    </r>
  </si>
  <si>
    <r>
      <t>Largura:</t>
    </r>
    <r>
      <rPr>
        <sz val="11"/>
        <color theme="1"/>
        <rFont val="Calibri"/>
        <family val="2"/>
        <scheme val="minor"/>
      </rPr>
      <t xml:space="preserve"> 23 m</t>
    </r>
  </si>
  <si>
    <r>
      <t xml:space="preserve">km (aproximadamente)         </t>
    </r>
    <r>
      <rPr>
        <b/>
        <sz val="11"/>
        <color theme="1"/>
        <rFont val="Calibri"/>
        <family val="2"/>
        <scheme val="minor"/>
      </rPr>
      <t>Largura:</t>
    </r>
    <r>
      <rPr>
        <sz val="11"/>
        <color theme="1"/>
        <rFont val="Calibri"/>
        <family val="2"/>
        <scheme val="minor"/>
      </rPr>
      <t xml:space="preserve"> 23 m</t>
    </r>
  </si>
  <si>
    <r>
      <t xml:space="preserve">km (aproximadamente)          </t>
    </r>
    <r>
      <rPr>
        <b/>
        <sz val="11"/>
        <color theme="1"/>
        <rFont val="Calibri"/>
        <family val="2"/>
        <scheme val="minor"/>
      </rPr>
      <t>Largura:</t>
    </r>
    <r>
      <rPr>
        <sz val="11"/>
        <color theme="1"/>
        <rFont val="Calibri"/>
        <family val="2"/>
        <scheme val="minor"/>
      </rPr>
      <t xml:space="preserve"> 23 m</t>
    </r>
  </si>
  <si>
    <t>23 m</t>
  </si>
  <si>
    <r>
      <t xml:space="preserve">(aproximadamente)       </t>
    </r>
    <r>
      <rPr>
        <b/>
        <sz val="11"/>
        <color theme="1"/>
        <rFont val="Calibri"/>
        <family val="2"/>
        <scheme val="minor"/>
      </rPr>
      <t>Largura:</t>
    </r>
    <r>
      <rPr>
        <sz val="11"/>
        <color theme="1"/>
        <rFont val="Calibri"/>
        <family val="2"/>
        <scheme val="minor"/>
      </rPr>
      <t xml:space="preserve"> 23 m</t>
    </r>
  </si>
  <si>
    <r>
      <t xml:space="preserve">km      </t>
    </r>
    <r>
      <rPr>
        <b/>
        <sz val="11"/>
        <color theme="1"/>
        <rFont val="Calibri"/>
        <family val="2"/>
        <scheme val="minor"/>
      </rPr>
      <t>Largura:</t>
    </r>
    <r>
      <rPr>
        <sz val="11"/>
        <color theme="1"/>
        <rFont val="Calibri"/>
        <family val="2"/>
        <scheme val="minor"/>
      </rPr>
      <t xml:space="preserve"> 23 m</t>
    </r>
  </si>
  <si>
    <t>Curva ABC de mão de obra</t>
  </si>
  <si>
    <t>Curva ABC de serviços</t>
  </si>
  <si>
    <t>(h)</t>
  </si>
  <si>
    <t>TOTAL COM BDI (R$)</t>
  </si>
  <si>
    <t>Planilha de Cálculo Exemplificativa para o BDI na Tabela de Preços de Consultoria</t>
  </si>
  <si>
    <t>Descrição das Parcelas</t>
  </si>
  <si>
    <t>Valores</t>
  </si>
  <si>
    <t>Lucro</t>
  </si>
  <si>
    <r>
      <rPr>
        <b/>
        <sz val="10"/>
        <color theme="1"/>
        <rFont val="Arial"/>
        <family val="2"/>
      </rPr>
      <t>Observação:</t>
    </r>
    <r>
      <rPr>
        <sz val="10"/>
        <color theme="1"/>
        <rFont val="Arial"/>
        <family val="2"/>
      </rPr>
      <t xml:space="preserve"> (*) Limite máximo adotado de 5%, valor variável em função da legislação de cada município. As empresas licitantes deverão adotar as alíquotas pertinentes.</t>
    </r>
  </si>
  <si>
    <t>RELATÓRIO DE CONSOLIDAÇÃO DE CUSTOS GERAIS - mês de referência: ABRIL de 2025</t>
  </si>
  <si>
    <t>E9508, E9014, E9562 e M0047 - Atualizado pelo Relatório de Sintético de Equipamento e Materiais - ABRIL DE 2025</t>
  </si>
  <si>
    <t>Tabela de Preços de Consultoria - mês de referência: ABRIL de 2025</t>
  </si>
  <si>
    <t>P9811, P9848, P9948, P9880 - Atualizado pelo Relatório Sintético de Mão de Obra - ABRIL DE 2025</t>
  </si>
  <si>
    <t>ABRIL/25</t>
  </si>
  <si>
    <t>11ª RR - Amambai</t>
  </si>
  <si>
    <t>JULHO/25</t>
  </si>
  <si>
    <t>65.08</t>
  </si>
  <si>
    <t>RETIRADA DE AMOSTRA INDEFORMADA</t>
  </si>
  <si>
    <t>65.08.21</t>
  </si>
  <si>
    <t>RETIRADA DE AMOSTRA INDEFORMADA EM BLOCOS 30X30X30CM (NBR 9604:2016), PROF =  2 A 3 M</t>
  </si>
  <si>
    <t>UN</t>
  </si>
  <si>
    <t>65.08.22</t>
  </si>
  <si>
    <t>RETIRADA DE AMOSTRA INDEFORMADA EM BLOCOS 30X30X30CM (NBR 9604:2016), PROF =  1 A 2 M</t>
  </si>
  <si>
    <t>65.08.23</t>
  </si>
  <si>
    <t>RETIRADA DE AMOSTRA INDEFORMADA EM BLOCOS 30X30X30CM (NBR 9604:2016), PROF ATÉ 1 M</t>
  </si>
  <si>
    <t>COMPRESSAO TRIAXIAL RAPIDO NÃO ADENSADO E NÃO DRENADO (Q/UU) MÍNIMO 3 CORPOS DE PROVA</t>
  </si>
  <si>
    <t>COMPRESSAO TRIAXIAL RAPIDO NÃO ADENSADO E NÃO DRENADO (Q/UU) C/MEDIDAS DE PRESSAO NEUTRA MÍNIMO 3 CORPOS DE PROVA</t>
  </si>
  <si>
    <t>COMPRESSAO TRIAXIAL RAPIDO PRE-ADENSADO E NÃO DRENADO (R/CIU) MÍNIMO 3 CORPOS DE PROVA</t>
  </si>
  <si>
    <t>COMPRESSAO TRIAXIAL RAPIDO PRE-ADENSADO (R/CIU) C/MEDIDAS DE PRESSÃO NEUTRA MÍNIMO 3 CORPOS DE PROVA</t>
  </si>
  <si>
    <t>COMPRESSAO TRIAXIAL RAPIDO PRE-ADENSADO SATURADO (R-SAT/CIU-SAT) MÍNIMO 3 CORPOS DE PROVA</t>
  </si>
  <si>
    <t>COMPRESSAO TRIAXIAL RAPIDO PRE-ADENSADO SATURADO (R-SAT/CIU-SAT) C/MEDIDAS PRESSÃO NEUTRA MÍNIMO 3 CORPOS DE PROVA</t>
  </si>
  <si>
    <t>COMPRESSAO TRIAXIAL LENTO SATURADO (CD) MÍNIMO 3 CORPOS DE PROVA</t>
  </si>
  <si>
    <t>ENSAIO DE CISALHAMENTO DIRETO RAPIDO EM SOLOS (NBR ISO 12957-1:2013) MÍNIMO 3 CORPOS DE PROVA</t>
  </si>
  <si>
    <t>ENSAIO DE SOLO - CISALHAMENTO DIRETO RAPIDO SATURADO MÍNIMO 3 CORPOS DE PROVA</t>
  </si>
  <si>
    <t>ENSAIO DE SOLO - CISALHAMENTO DIRETO RAPIDO PRE-ADENSADO MÍNIMO 3 CORPOS DE PROVA</t>
  </si>
  <si>
    <t>ENSAIOD E SOLO - CISALHAMENTO DIRETO RAPIDO SATURADO PRE-ADENSADO MÍNIMO 3 CORPOS DE PROVA</t>
  </si>
  <si>
    <t>ENSAIO DE SOLO - CISALHAMENTO DIRETO LENTO MÍNIMO 3 CORPOS DE PROVA</t>
  </si>
  <si>
    <t>ENSAIO DE SOLO - CISALHAMENTO DIRETO LENTO SATURADO MÍNIMO 3 CORPOS DE PROVA</t>
  </si>
  <si>
    <t>4.</t>
  </si>
  <si>
    <t>LICENCIAMENTO AMBIENTAL</t>
  </si>
  <si>
    <t>4.2</t>
  </si>
  <si>
    <t>PLANO BÁSICO AMBIENTAL (PBA)</t>
  </si>
  <si>
    <t>PROPOSTA TÉCNICA AMBIENTAL (PTA)</t>
  </si>
  <si>
    <t>Elaboração da PTA</t>
  </si>
  <si>
    <t>Elaboração da PBA</t>
  </si>
  <si>
    <t>5.1.1.</t>
  </si>
  <si>
    <t>Proposta Técnica Ambiental (PTA)</t>
  </si>
  <si>
    <t>Plano Básico Ambiental (PBA)</t>
  </si>
  <si>
    <t>LICENCIAMENTO AMBIENTAL (AERÓDROMO E/OU HELIPORTO CIVIL/MILITAR/PÚBLICO, COM PISTA ATÉ 1.800 METROS)</t>
  </si>
  <si>
    <t>4.3</t>
  </si>
  <si>
    <t>Formulário de Atividades de Infraestrutura (IMASUL)</t>
  </si>
  <si>
    <t>1.5</t>
  </si>
  <si>
    <t>1.5.1</t>
  </si>
  <si>
    <t>1.5.2</t>
  </si>
  <si>
    <t>1.5.3</t>
  </si>
  <si>
    <t>1.5.4</t>
  </si>
  <si>
    <t>1.4.3</t>
  </si>
  <si>
    <t>Preenchimento do Formulário</t>
  </si>
  <si>
    <t>5.0</t>
  </si>
  <si>
    <t>5.1</t>
  </si>
  <si>
    <t>5.1.1</t>
  </si>
  <si>
    <t>FORMULÁRIO DE ATIVIDADES DE INFRAESTRUTURA (IMASUL)</t>
  </si>
  <si>
    <t>FOMULÁRIO DE ATIVIDADES DE INFRAESTRUTURA (IMASUL)</t>
  </si>
  <si>
    <t>4.1.2</t>
  </si>
  <si>
    <t>4.1.3</t>
  </si>
  <si>
    <t>DOCUMENTAÇÃO PARA O LICENCIAMENTO AMBIENTAL JUNTO AO IMASUL</t>
  </si>
  <si>
    <t>BDI (45,07%)</t>
  </si>
  <si>
    <t>Quantificação das sondagens à percussão</t>
  </si>
  <si>
    <t>Quantificação das sondagens à trado</t>
  </si>
  <si>
    <t>ESTUDO DE SONDAGEM DO SOLO (ESS)</t>
  </si>
  <si>
    <t>Estudo de Sondagem do Solo (ESS)</t>
  </si>
  <si>
    <t>ESTUDOS GEOTÉCNICOS: SONDAGENS SUBLEITO, CORTES, CAIXAS DE EMPRÉSTIMO, JAZIDAS DE SOLO, LICENCIAMENTO AMBIENTAL</t>
  </si>
  <si>
    <t>4.4</t>
  </si>
  <si>
    <t>1.4.4</t>
  </si>
  <si>
    <t>4.1.4</t>
  </si>
  <si>
    <t>Ribas do Rio Pardo/MS</t>
  </si>
  <si>
    <t>Contratação de Projeto Executivo de Engenharia para Implantação do Aeródromo no município de Ribas do Rio Pardo</t>
  </si>
  <si>
    <t>79.009.850-2025</t>
  </si>
  <si>
    <t>Projeto Executivo de Engenharia para Implantação do Aeródromo município de Ribas do Rio Pardo/MS</t>
  </si>
  <si>
    <t>Aeródromo de Ribas do Rio Pardo/MS</t>
  </si>
  <si>
    <t>Ribas do Rio Pardo</t>
  </si>
  <si>
    <t>Saída de Campo Grande -&gt; Chegada em Ribas do Rio Pardo</t>
  </si>
  <si>
    <t>Saída de Ribas do Rio Pardo -&gt; Chegada em Campo Grande</t>
  </si>
  <si>
    <t xml:space="preserve"> Ofício-Circular nº 4706/2025 (SEI DNIT nº 21705904)</t>
  </si>
  <si>
    <t xml:space="preserve">Tabela de Preços de Consultoria </t>
  </si>
  <si>
    <t>1,30 km (aproximadamente)</t>
  </si>
  <si>
    <t>Relevância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</si>
</sst>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8">
    <numFmt numFmtId="44" formatCode="_-&quot;R$&quot;\ * #,##0.00_-;\-&quot;R$&quot;\ * #,##0.00_-;_-&quot;R$&quot;\ * &quot;-&quot;??_-;_-@_-"/>
    <numFmt numFmtId="43" formatCode="_-* #,##0.00_-;\-* #,##0.00_-;_-* &quot;-&quot;??_-;_-@_-"/>
    <numFmt numFmtId="164" formatCode="_(* #,##0_);_(* \(#,##0\);_(* &quot;-&quot;_);_(@_)"/>
    <numFmt numFmtId="165" formatCode="_(&quot;R$&quot;* #,##0.00_);_(&quot;R$&quot;* \(#,##0.00\);_(&quot;R$&quot;* &quot;-&quot;??_);_(@_)"/>
    <numFmt numFmtId="166" formatCode="_(* #,##0.00_);_(* \(#,##0.00\);_(* &quot;-&quot;??_);_(@_)"/>
    <numFmt numFmtId="167" formatCode="[$-416]mmmm\-yy;@"/>
    <numFmt numFmtId="168" formatCode="#,##0.000"/>
    <numFmt numFmtId="169" formatCode="#,##0.0000"/>
    <numFmt numFmtId="170" formatCode="0.0000"/>
    <numFmt numFmtId="171" formatCode="[$-416]mmm\-yy;@"/>
    <numFmt numFmtId="172" formatCode="0.000%"/>
    <numFmt numFmtId="173" formatCode="0.0"/>
    <numFmt numFmtId="174" formatCode="0.0000%"/>
    <numFmt numFmtId="175" formatCode="_-* #,##0.0000_-;\-* #,##0.0000_-;_-* &quot;-&quot;????_-;_-@_-"/>
    <numFmt numFmtId="176" formatCode="0.000"/>
    <numFmt numFmtId="177" formatCode="_-[$R$-416]\ * #,##0.00_-;\-[$R$-416]\ * #,##0.00_-;_-[$R$-416]\ * &quot;-&quot;??_-;_-@_-"/>
    <numFmt numFmtId="178" formatCode="0.00000000%"/>
    <numFmt numFmtId="179" formatCode="0.00&quot;% sobre (PV - Lucro)&quot;"/>
  </numFmts>
  <fonts count="37" x14ac:knownFonts="1">
    <font>
      <sz val="11"/>
      <color theme="1"/>
      <name val="Calibri"/>
      <family val="2"/>
      <scheme val="minor"/>
    </font>
    <font>
      <sz val="11"/>
      <color theme="1"/>
      <name val="Calibri"/>
      <family val="2"/>
      <scheme val="minor"/>
    </font>
    <font>
      <b/>
      <sz val="11"/>
      <color theme="1"/>
      <name val="Calibri"/>
      <family val="2"/>
      <scheme val="minor"/>
    </font>
    <font>
      <sz val="9"/>
      <color theme="1"/>
      <name val="Calibri"/>
      <family val="2"/>
      <scheme val="minor"/>
    </font>
    <font>
      <sz val="7"/>
      <color theme="1"/>
      <name val="Calibri"/>
      <family val="2"/>
      <scheme val="minor"/>
    </font>
    <font>
      <sz val="16"/>
      <color theme="1"/>
      <name val="Calibri"/>
      <family val="2"/>
      <scheme val="minor"/>
    </font>
    <font>
      <sz val="16"/>
      <color theme="1"/>
      <name val="Calibri Light"/>
      <family val="2"/>
      <scheme val="major"/>
    </font>
    <font>
      <sz val="13"/>
      <color theme="1"/>
      <name val="Calibri"/>
      <family val="2"/>
      <scheme val="minor"/>
    </font>
    <font>
      <b/>
      <sz val="9"/>
      <color theme="1"/>
      <name val="Calibri"/>
      <family val="2"/>
      <scheme val="minor"/>
    </font>
    <font>
      <sz val="28"/>
      <color theme="1"/>
      <name val="Calibri Light"/>
      <family val="2"/>
      <scheme val="major"/>
    </font>
    <font>
      <i/>
      <sz val="8"/>
      <color theme="1"/>
      <name val="Calibri"/>
      <family val="2"/>
      <scheme val="minor"/>
    </font>
    <font>
      <b/>
      <sz val="10"/>
      <color theme="1"/>
      <name val="Calibri"/>
      <family val="2"/>
      <scheme val="minor"/>
    </font>
    <font>
      <b/>
      <sz val="16"/>
      <color theme="1"/>
      <name val="Calibri"/>
      <family val="2"/>
      <scheme val="minor"/>
    </font>
    <font>
      <u/>
      <sz val="11"/>
      <color theme="10"/>
      <name val="Calibri"/>
      <family val="2"/>
      <scheme val="minor"/>
    </font>
    <font>
      <sz val="9"/>
      <name val="Calibri"/>
      <family val="2"/>
      <scheme val="minor"/>
    </font>
    <font>
      <sz val="13"/>
      <color theme="1"/>
      <name val="Calibri Light"/>
      <family val="2"/>
      <scheme val="major"/>
    </font>
    <font>
      <sz val="18"/>
      <color theme="1"/>
      <name val="Calibri"/>
      <family val="2"/>
      <scheme val="minor"/>
    </font>
    <font>
      <sz val="11"/>
      <name val="Calibri"/>
      <family val="2"/>
      <scheme val="minor"/>
    </font>
    <font>
      <sz val="11"/>
      <color rgb="FF000000"/>
      <name val="Arial"/>
      <family val="2"/>
    </font>
    <font>
      <b/>
      <sz val="11"/>
      <color rgb="FFFF0000"/>
      <name val="Calibri"/>
      <family val="2"/>
      <scheme val="minor"/>
    </font>
    <font>
      <sz val="11"/>
      <color theme="1"/>
      <name val="Arial"/>
      <family val="2"/>
    </font>
    <font>
      <sz val="11"/>
      <color rgb="FF000000"/>
      <name val="Calibri"/>
      <family val="2"/>
      <scheme val="minor"/>
    </font>
    <font>
      <sz val="10"/>
      <color theme="1"/>
      <name val="Calibri"/>
      <family val="2"/>
      <scheme val="minor"/>
    </font>
    <font>
      <sz val="9"/>
      <color rgb="FF000000"/>
      <name val="Arial"/>
      <family val="2"/>
    </font>
    <font>
      <b/>
      <sz val="10"/>
      <color theme="1"/>
      <name val="Arial"/>
      <family val="2"/>
    </font>
    <font>
      <sz val="10"/>
      <color theme="1"/>
      <name val="Arial"/>
      <family val="2"/>
    </font>
    <font>
      <b/>
      <sz val="10"/>
      <color theme="0"/>
      <name val="Arial"/>
      <family val="2"/>
    </font>
    <font>
      <b/>
      <sz val="10"/>
      <name val="Arial"/>
      <family val="2"/>
    </font>
    <font>
      <sz val="11"/>
      <color rgb="FFFF0000"/>
      <name val="Arial"/>
      <family val="2"/>
    </font>
    <font>
      <sz val="11"/>
      <name val="Arial"/>
      <family val="2"/>
    </font>
    <font>
      <sz val="10"/>
      <name val="Arial"/>
    </font>
    <font>
      <sz val="10"/>
      <name val="Arial"/>
      <family val="2"/>
    </font>
    <font>
      <sz val="8"/>
      <name val="Arial"/>
      <family val="2"/>
    </font>
    <font>
      <u/>
      <sz val="10"/>
      <color theme="10"/>
      <name val="Arial"/>
      <family val="2"/>
    </font>
    <font>
      <sz val="9"/>
      <color rgb="FF000000"/>
      <name val="Calibri"/>
      <family val="2"/>
      <scheme val="minor"/>
    </font>
    <font>
      <sz val="9"/>
      <color rgb="FF000000"/>
      <name val="Calibri"/>
      <family val="2"/>
    </font>
    <font>
      <sz val="11"/>
      <color rgb="FF000000"/>
      <name val="Calibri"/>
      <family val="2"/>
    </font>
  </fonts>
  <fills count="12">
    <fill>
      <patternFill patternType="none"/>
    </fill>
    <fill>
      <patternFill patternType="gray125"/>
    </fill>
    <fill>
      <patternFill patternType="solid">
        <fgColor theme="0" tint="-0.14999847407452621"/>
        <bgColor indexed="64"/>
      </patternFill>
    </fill>
    <fill>
      <patternFill patternType="solid">
        <fgColor theme="1" tint="0.499984740745262"/>
        <bgColor indexed="64"/>
      </patternFill>
    </fill>
    <fill>
      <patternFill patternType="solid">
        <fgColor rgb="FFFFFF00"/>
        <bgColor indexed="64"/>
      </patternFill>
    </fill>
    <fill>
      <patternFill patternType="solid">
        <fgColor theme="0"/>
        <bgColor indexed="64"/>
      </patternFill>
    </fill>
    <fill>
      <patternFill patternType="solid">
        <fgColor theme="7" tint="0.79998168889431442"/>
        <bgColor indexed="64"/>
      </patternFill>
    </fill>
    <fill>
      <patternFill patternType="solid">
        <fgColor theme="2" tint="-9.9978637043366805E-2"/>
        <bgColor indexed="64"/>
      </patternFill>
    </fill>
    <fill>
      <patternFill patternType="solid">
        <fgColor theme="0" tint="-0.249977111117893"/>
        <bgColor indexed="64"/>
      </patternFill>
    </fill>
    <fill>
      <patternFill patternType="solid">
        <fgColor rgb="FF002E6E"/>
        <bgColor indexed="64"/>
      </patternFill>
    </fill>
    <fill>
      <patternFill patternType="solid">
        <fgColor theme="5" tint="0.79998168889431442"/>
        <bgColor indexed="64"/>
      </patternFill>
    </fill>
    <fill>
      <patternFill patternType="solid">
        <fgColor rgb="FFD9D9D9"/>
        <bgColor indexed="64"/>
      </patternFill>
    </fill>
  </fills>
  <borders count="33">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bottom/>
      <diagonal/>
    </border>
    <border>
      <left/>
      <right/>
      <top/>
      <bottom style="thin">
        <color indexed="64"/>
      </bottom>
      <diagonal/>
    </border>
    <border>
      <left/>
      <right/>
      <top style="thin">
        <color indexed="64"/>
      </top>
      <bottom/>
      <diagonal/>
    </border>
    <border>
      <left/>
      <right/>
      <top style="thin">
        <color rgb="FFA0A0A0"/>
      </top>
      <bottom style="thin">
        <color rgb="FFA0A0A0"/>
      </bottom>
      <diagonal/>
    </border>
    <border>
      <left/>
      <right style="thin">
        <color rgb="FFA0A0A0"/>
      </right>
      <top style="thin">
        <color rgb="FFA0A0A0"/>
      </top>
      <bottom style="thin">
        <color rgb="FFA0A0A0"/>
      </bottom>
      <diagonal/>
    </border>
    <border>
      <left style="thin">
        <color rgb="FFA0A0A0"/>
      </left>
      <right/>
      <top style="thin">
        <color rgb="FFA0A0A0"/>
      </top>
      <bottom style="thin">
        <color rgb="FFA0A0A0"/>
      </bottom>
      <diagonal/>
    </border>
    <border>
      <left style="thin">
        <color rgb="FFA0A0A0"/>
      </left>
      <right style="thin">
        <color rgb="FFA0A0A0"/>
      </right>
      <top style="thin">
        <color rgb="FFA0A0A0"/>
      </top>
      <bottom style="thin">
        <color rgb="FFA0A0A0"/>
      </bottom>
      <diagonal/>
    </border>
    <border>
      <left/>
      <right style="thin">
        <color rgb="FFA0A0A0"/>
      </right>
      <top style="thin">
        <color rgb="FFA0A0A0"/>
      </top>
      <bottom/>
      <diagonal/>
    </border>
    <border>
      <left style="thin">
        <color rgb="FFA0A0A0"/>
      </left>
      <right style="thin">
        <color rgb="FFA0A0A0"/>
      </right>
      <top style="thin">
        <color rgb="FFA0A0A0"/>
      </top>
      <bottom/>
      <diagonal/>
    </border>
    <border>
      <left style="thin">
        <color rgb="FFA0A0A0"/>
      </left>
      <right style="thin">
        <color rgb="FFA0A0A0"/>
      </right>
      <top/>
      <bottom/>
      <diagonal/>
    </border>
    <border>
      <left/>
      <right/>
      <top style="thin">
        <color rgb="FFA0A0A0"/>
      </top>
      <bottom/>
      <diagonal/>
    </border>
    <border>
      <left/>
      <right style="thin">
        <color rgb="FFA0A0A0"/>
      </right>
      <top/>
      <bottom/>
      <diagonal/>
    </border>
    <border>
      <left/>
      <right style="thin">
        <color rgb="FFA0A0A0"/>
      </right>
      <top/>
      <bottom style="thin">
        <color rgb="FFA0A0A0"/>
      </bottom>
      <diagonal/>
    </border>
    <border>
      <left style="thin">
        <color rgb="FFA0A0A0"/>
      </left>
      <right style="thin">
        <color rgb="FFA0A0A0"/>
      </right>
      <top/>
      <bottom style="thin">
        <color rgb="FFA0A0A0"/>
      </bottom>
      <diagonal/>
    </border>
    <border>
      <left/>
      <right/>
      <top/>
      <bottom style="thin">
        <color rgb="FFA0A0A0"/>
      </bottom>
      <diagonal/>
    </border>
    <border>
      <left style="thin">
        <color rgb="FFA0A0A0"/>
      </left>
      <right/>
      <top style="thin">
        <color rgb="FFA0A0A0"/>
      </top>
      <bottom/>
      <diagonal/>
    </border>
    <border>
      <left style="thin">
        <color rgb="FFA0A0A0"/>
      </left>
      <right/>
      <top/>
      <bottom/>
      <diagonal/>
    </border>
    <border>
      <left style="thin">
        <color rgb="FFA0A0A0"/>
      </left>
      <right/>
      <top/>
      <bottom style="thin">
        <color rgb="FFA0A0A0"/>
      </bottom>
      <diagonal/>
    </border>
    <border>
      <left/>
      <right style="thin">
        <color indexed="64"/>
      </right>
      <top style="thin">
        <color indexed="64"/>
      </top>
      <bottom style="thin">
        <color rgb="FFA0A0A0"/>
      </bottom>
      <diagonal/>
    </border>
    <border>
      <left style="thin">
        <color indexed="64"/>
      </left>
      <right style="thin">
        <color indexed="64"/>
      </right>
      <top style="thin">
        <color indexed="64"/>
      </top>
      <bottom style="thin">
        <color rgb="FFA0A0A0"/>
      </bottom>
      <diagonal/>
    </border>
    <border>
      <left style="thin">
        <color indexed="64"/>
      </left>
      <right style="thin">
        <color indexed="64"/>
      </right>
      <top/>
      <bottom style="thin">
        <color rgb="FFA0A0A0"/>
      </bottom>
      <diagonal/>
    </border>
    <border>
      <left style="thin">
        <color indexed="64"/>
      </left>
      <right/>
      <top/>
      <bottom style="thin">
        <color rgb="FFA0A0A0"/>
      </bottom>
      <diagonal/>
    </border>
  </borders>
  <cellStyleXfs count="18">
    <xf numFmtId="0" fontId="0" fillId="0" borderId="0"/>
    <xf numFmtId="9" fontId="1" fillId="0" borderId="0" applyFont="0" applyFill="0" applyBorder="0" applyAlignment="0" applyProtection="0"/>
    <xf numFmtId="165" fontId="1" fillId="0" borderId="0" applyFont="0" applyFill="0" applyBorder="0" applyAlignment="0" applyProtection="0"/>
    <xf numFmtId="0" fontId="13" fillId="0" borderId="0" applyNumberFormat="0" applyFill="0" applyBorder="0" applyAlignment="0" applyProtection="0"/>
    <xf numFmtId="0" fontId="20" fillId="0" borderId="0"/>
    <xf numFmtId="9" fontId="20" fillId="0" borderId="0" applyFont="0" applyFill="0" applyBorder="0" applyAlignment="0" applyProtection="0"/>
    <xf numFmtId="0" fontId="21" fillId="0" borderId="0"/>
    <xf numFmtId="0" fontId="30" fillId="0" borderId="0"/>
    <xf numFmtId="0" fontId="33" fillId="0" borderId="0" applyNumberFormat="0" applyFill="0" applyBorder="0" applyAlignment="0" applyProtection="0"/>
    <xf numFmtId="44" fontId="31" fillId="0" borderId="0" quotePrefix="1" applyFont="0" applyFill="0" applyBorder="0" applyAlignment="0">
      <protection locked="0"/>
    </xf>
    <xf numFmtId="0" fontId="32" fillId="0" borderId="0"/>
    <xf numFmtId="0" fontId="32" fillId="0" borderId="0"/>
    <xf numFmtId="0" fontId="31" fillId="0" borderId="0"/>
    <xf numFmtId="9" fontId="31" fillId="0" borderId="0" quotePrefix="1" applyFont="0" applyFill="0" applyBorder="0" applyAlignment="0">
      <protection locked="0"/>
    </xf>
    <xf numFmtId="43" fontId="31" fillId="0" borderId="0" quotePrefix="1" applyFont="0" applyFill="0" applyBorder="0" applyAlignment="0">
      <protection locked="0"/>
    </xf>
    <xf numFmtId="43" fontId="32" fillId="0" borderId="0" applyFont="0" applyFill="0" applyBorder="0" applyAlignment="0" applyProtection="0"/>
    <xf numFmtId="43" fontId="32" fillId="0" borderId="0" applyFont="0" applyFill="0" applyBorder="0" applyAlignment="0" applyProtection="0"/>
    <xf numFmtId="43" fontId="31" fillId="0" borderId="0" quotePrefix="1" applyFont="0" applyFill="0" applyBorder="0" applyAlignment="0">
      <protection locked="0"/>
    </xf>
  </cellStyleXfs>
  <cellXfs count="556">
    <xf numFmtId="0" fontId="0" fillId="0" borderId="0" xfId="0"/>
    <xf numFmtId="0" fontId="0" fillId="0" borderId="0" xfId="0" applyAlignment="1">
      <alignment vertical="top"/>
    </xf>
    <xf numFmtId="0" fontId="0" fillId="0" borderId="0" xfId="0" applyAlignment="1">
      <alignment vertical="center"/>
    </xf>
    <xf numFmtId="0" fontId="3" fillId="0" borderId="0" xfId="0" applyFont="1" applyAlignment="1">
      <alignment vertical="center"/>
    </xf>
    <xf numFmtId="0" fontId="0" fillId="0" borderId="0" xfId="0" applyAlignment="1">
      <alignment horizontal="center" vertical="center"/>
    </xf>
    <xf numFmtId="0" fontId="2" fillId="0" borderId="0" xfId="0" applyFont="1" applyAlignment="1">
      <alignment horizontal="right" vertical="center"/>
    </xf>
    <xf numFmtId="167" fontId="0" fillId="0" borderId="0" xfId="0" applyNumberFormat="1" applyAlignment="1">
      <alignment horizontal="left" vertical="center"/>
    </xf>
    <xf numFmtId="0" fontId="3" fillId="0" borderId="1" xfId="0" applyFont="1" applyBorder="1" applyAlignment="1">
      <alignment vertical="center"/>
    </xf>
    <xf numFmtId="0" fontId="0" fillId="0" borderId="1" xfId="0" applyBorder="1" applyAlignment="1">
      <alignment vertical="center"/>
    </xf>
    <xf numFmtId="0" fontId="0" fillId="2" borderId="1" xfId="0" applyFill="1" applyBorder="1" applyAlignment="1">
      <alignment horizontal="center" vertical="center" wrapText="1"/>
    </xf>
    <xf numFmtId="0" fontId="3" fillId="2" borderId="1" xfId="0" applyFont="1" applyFill="1" applyBorder="1" applyAlignment="1">
      <alignment vertical="center"/>
    </xf>
    <xf numFmtId="0" fontId="6" fillId="0" borderId="0" xfId="0" applyFont="1" applyAlignment="1">
      <alignment vertical="center"/>
    </xf>
    <xf numFmtId="0" fontId="3" fillId="2" borderId="3" xfId="0" applyFont="1" applyFill="1" applyBorder="1" applyAlignment="1">
      <alignment vertical="center"/>
    </xf>
    <xf numFmtId="0" fontId="0" fillId="2" borderId="4" xfId="0" applyFill="1" applyBorder="1" applyAlignment="1">
      <alignment vertical="center"/>
    </xf>
    <xf numFmtId="0" fontId="0" fillId="2" borderId="1" xfId="0" applyFill="1" applyBorder="1" applyAlignment="1">
      <alignment horizontal="center" vertical="center"/>
    </xf>
    <xf numFmtId="0" fontId="3" fillId="0" borderId="3" xfId="0" applyFont="1" applyBorder="1" applyAlignment="1">
      <alignment vertical="center"/>
    </xf>
    <xf numFmtId="0" fontId="0" fillId="0" borderId="1" xfId="0" applyBorder="1" applyAlignment="1">
      <alignment horizontal="center" vertical="center"/>
    </xf>
    <xf numFmtId="0" fontId="3" fillId="0" borderId="7" xfId="0" applyFont="1" applyBorder="1" applyAlignment="1">
      <alignment vertical="center"/>
    </xf>
    <xf numFmtId="0" fontId="3" fillId="0" borderId="8" xfId="0" applyFont="1" applyBorder="1" applyAlignment="1">
      <alignment vertical="center"/>
    </xf>
    <xf numFmtId="0" fontId="0" fillId="0" borderId="0" xfId="0" applyFill="1" applyBorder="1" applyAlignment="1">
      <alignment vertical="center"/>
    </xf>
    <xf numFmtId="0" fontId="0" fillId="0" borderId="0" xfId="0" applyFill="1" applyBorder="1" applyAlignment="1">
      <alignment horizontal="right" vertical="center"/>
    </xf>
    <xf numFmtId="0" fontId="0" fillId="0" borderId="0" xfId="0" applyFill="1" applyAlignment="1">
      <alignment vertical="center"/>
    </xf>
    <xf numFmtId="0" fontId="3" fillId="0" borderId="5" xfId="0" applyFont="1" applyBorder="1" applyAlignment="1">
      <alignment horizontal="center" vertical="center"/>
    </xf>
    <xf numFmtId="0" fontId="2" fillId="0" borderId="0" xfId="0" applyFont="1" applyAlignment="1">
      <alignment horizontal="right" vertical="top"/>
    </xf>
    <xf numFmtId="0" fontId="3" fillId="2" borderId="9" xfId="0" applyFont="1" applyFill="1" applyBorder="1" applyAlignment="1">
      <alignment vertical="center"/>
    </xf>
    <xf numFmtId="0" fontId="3" fillId="2" borderId="12" xfId="0" applyFont="1" applyFill="1" applyBorder="1" applyAlignment="1">
      <alignment vertical="center"/>
    </xf>
    <xf numFmtId="4" fontId="3" fillId="0" borderId="1" xfId="0" applyNumberFormat="1" applyFont="1" applyBorder="1" applyAlignment="1">
      <alignment vertical="center"/>
    </xf>
    <xf numFmtId="0" fontId="7" fillId="2" borderId="1" xfId="0" applyFont="1" applyFill="1" applyBorder="1" applyAlignment="1">
      <alignment horizontal="center" vertical="center"/>
    </xf>
    <xf numFmtId="0" fontId="7" fillId="0" borderId="0" xfId="0" applyFont="1" applyAlignment="1">
      <alignment vertical="center"/>
    </xf>
    <xf numFmtId="4" fontId="0" fillId="0" borderId="1" xfId="0" applyNumberFormat="1" applyBorder="1" applyAlignment="1">
      <alignment vertical="center"/>
    </xf>
    <xf numFmtId="0" fontId="7" fillId="2" borderId="1" xfId="0" applyFont="1" applyFill="1" applyBorder="1" applyAlignment="1">
      <alignment horizontal="center" vertical="center" wrapText="1"/>
    </xf>
    <xf numFmtId="2" fontId="3" fillId="0" borderId="1" xfId="0" applyNumberFormat="1" applyFont="1" applyBorder="1" applyAlignment="1">
      <alignment vertical="center"/>
    </xf>
    <xf numFmtId="2" fontId="3" fillId="0" borderId="1" xfId="0" applyNumberFormat="1" applyFont="1" applyBorder="1" applyAlignment="1">
      <alignment horizontal="center" vertical="center"/>
    </xf>
    <xf numFmtId="0" fontId="7" fillId="2" borderId="5" xfId="0" applyFont="1" applyFill="1" applyBorder="1" applyAlignment="1">
      <alignment horizontal="center" vertical="center"/>
    </xf>
    <xf numFmtId="0" fontId="0" fillId="2" borderId="6" xfId="0" applyFill="1" applyBorder="1" applyAlignment="1">
      <alignment horizontal="center" vertical="center"/>
    </xf>
    <xf numFmtId="170" fontId="0" fillId="0" borderId="1" xfId="0" applyNumberFormat="1" applyBorder="1" applyAlignment="1">
      <alignment vertical="center"/>
    </xf>
    <xf numFmtId="0" fontId="0" fillId="3" borderId="1" xfId="0" applyFill="1" applyBorder="1" applyAlignment="1">
      <alignment vertical="center"/>
    </xf>
    <xf numFmtId="2" fontId="0" fillId="0" borderId="1" xfId="0" applyNumberFormat="1" applyBorder="1" applyAlignment="1">
      <alignment vertical="center"/>
    </xf>
    <xf numFmtId="171" fontId="7" fillId="2" borderId="1" xfId="0" applyNumberFormat="1" applyFont="1" applyFill="1" applyBorder="1" applyAlignment="1">
      <alignment horizontal="center" vertical="center"/>
    </xf>
    <xf numFmtId="0" fontId="0" fillId="0" borderId="0" xfId="0" applyAlignment="1">
      <alignment horizontal="center"/>
    </xf>
    <xf numFmtId="2" fontId="3" fillId="0" borderId="1" xfId="0" applyNumberFormat="1" applyFont="1" applyBorder="1" applyAlignment="1">
      <alignment horizontal="center" vertical="center"/>
    </xf>
    <xf numFmtId="0" fontId="3" fillId="0" borderId="1" xfId="0" applyFont="1" applyBorder="1" applyAlignment="1">
      <alignment horizontal="center" vertical="center"/>
    </xf>
    <xf numFmtId="0" fontId="5" fillId="0" borderId="0" xfId="0" applyFont="1" applyBorder="1" applyAlignment="1">
      <alignment horizontal="center" vertical="center"/>
    </xf>
    <xf numFmtId="0" fontId="0" fillId="0" borderId="0" xfId="0" applyBorder="1" applyAlignment="1">
      <alignment horizontal="center" vertical="center"/>
    </xf>
    <xf numFmtId="170" fontId="3" fillId="0" borderId="1" xfId="0" applyNumberFormat="1" applyFont="1" applyBorder="1" applyAlignment="1">
      <alignment vertical="center"/>
    </xf>
    <xf numFmtId="169" fontId="3" fillId="0" borderId="1" xfId="0" applyNumberFormat="1" applyFont="1" applyBorder="1" applyAlignment="1">
      <alignment vertical="center"/>
    </xf>
    <xf numFmtId="166" fontId="3" fillId="0" borderId="1" xfId="0" applyNumberFormat="1" applyFont="1" applyBorder="1" applyAlignment="1">
      <alignment vertical="center"/>
    </xf>
    <xf numFmtId="166" fontId="3" fillId="2" borderId="1" xfId="0" applyNumberFormat="1" applyFont="1" applyFill="1" applyBorder="1" applyAlignment="1">
      <alignment vertical="center"/>
    </xf>
    <xf numFmtId="173" fontId="3" fillId="0" borderId="1" xfId="0" applyNumberFormat="1" applyFont="1" applyBorder="1" applyAlignment="1">
      <alignment vertical="center"/>
    </xf>
    <xf numFmtId="166" fontId="3" fillId="0" borderId="1" xfId="0" applyNumberFormat="1" applyFont="1" applyBorder="1" applyAlignment="1">
      <alignment horizontal="center" vertical="center"/>
    </xf>
    <xf numFmtId="174" fontId="3" fillId="0" borderId="1" xfId="1" applyNumberFormat="1" applyFont="1" applyBorder="1" applyAlignment="1">
      <alignment vertical="center"/>
    </xf>
    <xf numFmtId="0" fontId="0" fillId="0" borderId="0" xfId="0" applyAlignment="1">
      <alignment horizontal="right" vertical="center"/>
    </xf>
    <xf numFmtId="169" fontId="3" fillId="0" borderId="1" xfId="0" applyNumberFormat="1" applyFont="1" applyBorder="1" applyAlignment="1">
      <alignment horizontal="center" vertical="center"/>
    </xf>
    <xf numFmtId="0" fontId="0" fillId="0" borderId="0" xfId="0" applyAlignment="1">
      <alignment vertical="top" wrapText="1"/>
    </xf>
    <xf numFmtId="0" fontId="0" fillId="2" borderId="1" xfId="0" applyFill="1" applyBorder="1" applyAlignment="1">
      <alignment horizontal="center" vertical="center"/>
    </xf>
    <xf numFmtId="0" fontId="0" fillId="2" borderId="1" xfId="0" applyFill="1" applyBorder="1" applyAlignment="1">
      <alignment horizontal="center" vertical="center" wrapText="1"/>
    </xf>
    <xf numFmtId="2" fontId="3" fillId="0" borderId="1" xfId="0" applyNumberFormat="1" applyFont="1" applyBorder="1" applyAlignment="1">
      <alignment horizontal="center" vertical="center"/>
    </xf>
    <xf numFmtId="0" fontId="3" fillId="0" borderId="4" xfId="0" applyFont="1" applyBorder="1" applyAlignment="1">
      <alignment horizontal="center" vertical="center"/>
    </xf>
    <xf numFmtId="0" fontId="3" fillId="0" borderId="2" xfId="0" applyFont="1" applyBorder="1" applyAlignment="1">
      <alignment vertical="center"/>
    </xf>
    <xf numFmtId="0" fontId="3" fillId="0" borderId="4" xfId="0" applyFont="1" applyBorder="1" applyAlignment="1">
      <alignment vertical="center"/>
    </xf>
    <xf numFmtId="2" fontId="3" fillId="0" borderId="1" xfId="0" applyNumberFormat="1" applyFont="1" applyBorder="1" applyAlignment="1">
      <alignment horizontal="center" vertical="center"/>
    </xf>
    <xf numFmtId="0" fontId="3" fillId="0" borderId="1" xfId="0" applyFont="1" applyBorder="1" applyAlignment="1">
      <alignment horizontal="center" vertical="center"/>
    </xf>
    <xf numFmtId="4" fontId="3" fillId="0" borderId="6" xfId="0" applyNumberFormat="1" applyFont="1" applyBorder="1" applyAlignment="1">
      <alignment vertical="center"/>
    </xf>
    <xf numFmtId="0" fontId="3" fillId="0" borderId="0" xfId="0" applyFont="1" applyAlignment="1">
      <alignment horizontal="center" vertical="center"/>
    </xf>
    <xf numFmtId="0" fontId="3" fillId="2" borderId="1" xfId="0" applyFont="1" applyFill="1" applyBorder="1" applyAlignment="1">
      <alignment horizontal="center" vertical="center"/>
    </xf>
    <xf numFmtId="0" fontId="0" fillId="2" borderId="1" xfId="0" applyFill="1" applyBorder="1" applyAlignment="1">
      <alignment horizontal="left" vertical="center"/>
    </xf>
    <xf numFmtId="2" fontId="3" fillId="2" borderId="1" xfId="0" applyNumberFormat="1" applyFont="1" applyFill="1" applyBorder="1" applyAlignment="1">
      <alignment horizontal="center" vertical="center"/>
    </xf>
    <xf numFmtId="2" fontId="10" fillId="0" borderId="1" xfId="0" applyNumberFormat="1" applyFont="1" applyBorder="1" applyAlignment="1">
      <alignment horizontal="center" vertical="center"/>
    </xf>
    <xf numFmtId="0" fontId="8" fillId="0" borderId="0" xfId="0" applyFont="1" applyAlignment="1">
      <alignment vertical="center"/>
    </xf>
    <xf numFmtId="0" fontId="11" fillId="0" borderId="0" xfId="0" applyFont="1" applyAlignment="1">
      <alignment horizontal="right" vertical="center"/>
    </xf>
    <xf numFmtId="2" fontId="3" fillId="2" borderId="1" xfId="0" applyNumberFormat="1" applyFont="1" applyFill="1" applyBorder="1" applyAlignment="1">
      <alignment vertical="center"/>
    </xf>
    <xf numFmtId="0" fontId="3" fillId="0" borderId="1" xfId="0" applyFont="1" applyBorder="1" applyAlignment="1">
      <alignment vertical="center"/>
    </xf>
    <xf numFmtId="0" fontId="0" fillId="2" borderId="2" xfId="0" applyFont="1" applyFill="1" applyBorder="1" applyAlignment="1">
      <alignment horizontal="center" vertical="center"/>
    </xf>
    <xf numFmtId="0" fontId="0" fillId="2" borderId="3" xfId="0" applyFont="1" applyFill="1" applyBorder="1" applyAlignment="1">
      <alignment horizontal="center" vertical="center"/>
    </xf>
    <xf numFmtId="169" fontId="0" fillId="2" borderId="3" xfId="0" applyNumberFormat="1" applyFont="1" applyFill="1" applyBorder="1" applyAlignment="1">
      <alignment vertical="center"/>
    </xf>
    <xf numFmtId="170" fontId="0" fillId="2" borderId="3" xfId="0" applyNumberFormat="1" applyFont="1" applyFill="1" applyBorder="1" applyAlignment="1">
      <alignment vertical="center"/>
    </xf>
    <xf numFmtId="166" fontId="0" fillId="2" borderId="4" xfId="0" applyNumberFormat="1" applyFont="1" applyFill="1" applyBorder="1" applyAlignment="1">
      <alignment horizontal="right" vertical="center"/>
    </xf>
    <xf numFmtId="166" fontId="0" fillId="2" borderId="1" xfId="0" applyNumberFormat="1" applyFont="1" applyFill="1" applyBorder="1" applyAlignment="1">
      <alignment vertical="center"/>
    </xf>
    <xf numFmtId="166" fontId="3" fillId="2" borderId="6" xfId="0" applyNumberFormat="1" applyFont="1" applyFill="1" applyBorder="1" applyAlignment="1">
      <alignment vertical="center"/>
    </xf>
    <xf numFmtId="169" fontId="3" fillId="0" borderId="5" xfId="0" applyNumberFormat="1" applyFont="1" applyBorder="1" applyAlignment="1">
      <alignment vertical="center"/>
    </xf>
    <xf numFmtId="166" fontId="3" fillId="0" borderId="5" xfId="0" applyNumberFormat="1" applyFont="1" applyBorder="1" applyAlignment="1">
      <alignment vertical="center"/>
    </xf>
    <xf numFmtId="3" fontId="3" fillId="0" borderId="1" xfId="0" applyNumberFormat="1" applyFont="1" applyBorder="1" applyAlignment="1">
      <alignment vertical="center"/>
    </xf>
    <xf numFmtId="4" fontId="3" fillId="0" borderId="1" xfId="0" applyNumberFormat="1" applyFont="1" applyBorder="1" applyAlignment="1">
      <alignment horizontal="center" vertical="center"/>
    </xf>
    <xf numFmtId="164" fontId="3" fillId="0" borderId="1" xfId="0" applyNumberFormat="1" applyFont="1" applyBorder="1" applyAlignment="1">
      <alignment vertical="center"/>
    </xf>
    <xf numFmtId="0" fontId="0" fillId="0" borderId="0" xfId="0" applyFont="1" applyAlignment="1">
      <alignment vertical="center"/>
    </xf>
    <xf numFmtId="164" fontId="3" fillId="0" borderId="5" xfId="0" applyNumberFormat="1" applyFont="1" applyBorder="1" applyAlignment="1">
      <alignment vertical="center"/>
    </xf>
    <xf numFmtId="3" fontId="3" fillId="0" borderId="5" xfId="0" applyNumberFormat="1" applyFont="1" applyBorder="1" applyAlignment="1">
      <alignment vertical="center"/>
    </xf>
    <xf numFmtId="0" fontId="3" fillId="0" borderId="0" xfId="0" applyFont="1" applyAlignment="1">
      <alignment vertical="top"/>
    </xf>
    <xf numFmtId="166" fontId="3" fillId="0" borderId="5" xfId="0" applyNumberFormat="1" applyFont="1" applyBorder="1" applyAlignment="1">
      <alignment horizontal="center" vertical="center"/>
    </xf>
    <xf numFmtId="0" fontId="3" fillId="0" borderId="0" xfId="0" applyFont="1" applyAlignment="1">
      <alignment horizontal="left" vertical="top" indent="2"/>
    </xf>
    <xf numFmtId="1" fontId="3" fillId="0" borderId="1" xfId="0" applyNumberFormat="1" applyFont="1" applyBorder="1" applyAlignment="1">
      <alignment horizontal="center" vertical="center"/>
    </xf>
    <xf numFmtId="166" fontId="0" fillId="0" borderId="0" xfId="0" applyNumberFormat="1" applyAlignment="1">
      <alignment vertical="center"/>
    </xf>
    <xf numFmtId="166" fontId="3" fillId="0" borderId="6" xfId="0" applyNumberFormat="1" applyFont="1" applyBorder="1" applyAlignment="1">
      <alignment vertical="center"/>
    </xf>
    <xf numFmtId="174" fontId="3" fillId="0" borderId="5" xfId="1" applyNumberFormat="1" applyFont="1" applyBorder="1" applyAlignment="1">
      <alignment vertical="center"/>
    </xf>
    <xf numFmtId="0" fontId="3" fillId="2" borderId="6" xfId="0" applyFont="1" applyFill="1" applyBorder="1" applyAlignment="1">
      <alignment horizontal="center" vertical="center"/>
    </xf>
    <xf numFmtId="4" fontId="3" fillId="2" borderId="6" xfId="0" applyNumberFormat="1" applyFont="1" applyFill="1" applyBorder="1" applyAlignment="1">
      <alignment vertical="center"/>
    </xf>
    <xf numFmtId="176" fontId="0" fillId="0" borderId="0" xfId="0" applyNumberFormat="1" applyAlignment="1">
      <alignment vertical="top"/>
    </xf>
    <xf numFmtId="3" fontId="3" fillId="0" borderId="1" xfId="1" applyNumberFormat="1" applyFont="1" applyBorder="1" applyAlignment="1">
      <alignment horizontal="center" vertical="center"/>
    </xf>
    <xf numFmtId="165" fontId="3" fillId="0" borderId="1" xfId="0" applyNumberFormat="1" applyFont="1" applyBorder="1" applyAlignment="1">
      <alignment vertical="center"/>
    </xf>
    <xf numFmtId="3" fontId="3" fillId="0" borderId="5" xfId="0" applyNumberFormat="1" applyFont="1" applyBorder="1" applyAlignment="1">
      <alignment horizontal="center" vertical="center"/>
    </xf>
    <xf numFmtId="0" fontId="0" fillId="2" borderId="1" xfId="0" applyFill="1" applyBorder="1" applyAlignment="1">
      <alignment horizontal="center" vertical="center"/>
    </xf>
    <xf numFmtId="0" fontId="0" fillId="2" borderId="1" xfId="0" applyFill="1" applyBorder="1" applyAlignment="1">
      <alignment horizontal="center" vertical="center"/>
    </xf>
    <xf numFmtId="2" fontId="3" fillId="0" borderId="1" xfId="0" applyNumberFormat="1" applyFont="1" applyBorder="1" applyAlignment="1">
      <alignment horizontal="center" vertical="center"/>
    </xf>
    <xf numFmtId="0" fontId="3" fillId="0" borderId="1" xfId="0" applyFont="1" applyBorder="1" applyAlignment="1">
      <alignment horizontal="center" vertical="center"/>
    </xf>
    <xf numFmtId="0" fontId="0" fillId="0" borderId="3" xfId="0" applyBorder="1" applyAlignment="1">
      <alignment vertical="center"/>
    </xf>
    <xf numFmtId="0" fontId="0" fillId="0" borderId="0" xfId="0" applyBorder="1" applyAlignment="1">
      <alignment vertical="center"/>
    </xf>
    <xf numFmtId="171" fontId="7" fillId="0" borderId="0" xfId="0" applyNumberFormat="1" applyFont="1" applyFill="1" applyBorder="1" applyAlignment="1">
      <alignment horizontal="center" vertical="center"/>
    </xf>
    <xf numFmtId="0" fontId="0" fillId="2" borderId="1" xfId="0" applyFill="1" applyBorder="1" applyAlignment="1">
      <alignment horizontal="center" vertical="center"/>
    </xf>
    <xf numFmtId="0" fontId="3" fillId="0" borderId="2" xfId="0" applyFont="1" applyBorder="1" applyAlignment="1">
      <alignment vertical="center"/>
    </xf>
    <xf numFmtId="0" fontId="3" fillId="0" borderId="1" xfId="0" applyFont="1" applyBorder="1" applyAlignment="1">
      <alignment horizontal="center" vertical="center"/>
    </xf>
    <xf numFmtId="0" fontId="3" fillId="0" borderId="1" xfId="0" applyFont="1" applyFill="1" applyBorder="1" applyAlignment="1">
      <alignment horizontal="center" vertical="center"/>
    </xf>
    <xf numFmtId="0" fontId="3" fillId="0" borderId="5" xfId="0" applyFont="1" applyFill="1" applyBorder="1" applyAlignment="1">
      <alignment horizontal="center" vertical="center"/>
    </xf>
    <xf numFmtId="0" fontId="0" fillId="0" borderId="0" xfId="0" applyFill="1" applyAlignment="1">
      <alignment horizontal="left" vertical="center"/>
    </xf>
    <xf numFmtId="0" fontId="0" fillId="2" borderId="1" xfId="0" applyFill="1" applyBorder="1" applyAlignment="1">
      <alignment horizontal="center" vertical="center"/>
    </xf>
    <xf numFmtId="0" fontId="3" fillId="0" borderId="1" xfId="0" applyFont="1" applyBorder="1" applyAlignment="1">
      <alignment horizontal="center" vertical="center"/>
    </xf>
    <xf numFmtId="168" fontId="3" fillId="0" borderId="6" xfId="0" applyNumberFormat="1" applyFont="1" applyBorder="1" applyAlignment="1">
      <alignment vertical="center"/>
    </xf>
    <xf numFmtId="0" fontId="0" fillId="2" borderId="2" xfId="0" applyFill="1" applyBorder="1" applyAlignment="1">
      <alignment vertical="center"/>
    </xf>
    <xf numFmtId="0" fontId="0" fillId="2" borderId="3" xfId="0" applyFill="1" applyBorder="1" applyAlignment="1">
      <alignment vertical="center"/>
    </xf>
    <xf numFmtId="0" fontId="0" fillId="2" borderId="3" xfId="0" applyFill="1" applyBorder="1" applyAlignment="1">
      <alignment horizontal="right" vertical="center"/>
    </xf>
    <xf numFmtId="0" fontId="14" fillId="0" borderId="1" xfId="3" applyFont="1" applyBorder="1" applyAlignment="1">
      <alignment vertical="center"/>
    </xf>
    <xf numFmtId="0" fontId="0" fillId="2" borderId="1" xfId="0" applyFill="1" applyBorder="1" applyAlignment="1">
      <alignment horizontal="center" vertical="center" wrapText="1"/>
    </xf>
    <xf numFmtId="0" fontId="0" fillId="2" borderId="1" xfId="0" applyFill="1" applyBorder="1" applyAlignment="1">
      <alignment horizontal="center" vertical="center"/>
    </xf>
    <xf numFmtId="0" fontId="3" fillId="0" borderId="5" xfId="0" applyFont="1" applyBorder="1" applyAlignment="1">
      <alignment horizontal="center" vertical="center"/>
    </xf>
    <xf numFmtId="0" fontId="3" fillId="0" borderId="6" xfId="0" applyFont="1" applyBorder="1" applyAlignment="1">
      <alignment horizontal="center" vertical="center"/>
    </xf>
    <xf numFmtId="0" fontId="3" fillId="0" borderId="7" xfId="0" applyFont="1" applyBorder="1" applyAlignment="1">
      <alignment vertical="center"/>
    </xf>
    <xf numFmtId="0" fontId="0" fillId="2" borderId="3" xfId="0" applyFont="1" applyFill="1" applyBorder="1" applyAlignment="1">
      <alignment vertical="center"/>
    </xf>
    <xf numFmtId="0" fontId="0" fillId="2" borderId="2" xfId="0" applyFont="1" applyFill="1" applyBorder="1" applyAlignment="1">
      <alignment vertical="center"/>
    </xf>
    <xf numFmtId="49" fontId="0" fillId="0" borderId="1" xfId="0" applyNumberFormat="1" applyBorder="1" applyAlignment="1">
      <alignment horizontal="center" vertical="center"/>
    </xf>
    <xf numFmtId="0" fontId="0" fillId="0" borderId="6" xfId="0" applyBorder="1" applyAlignment="1">
      <alignment horizontal="center" vertical="center"/>
    </xf>
    <xf numFmtId="4" fontId="0" fillId="0" borderId="6" xfId="0" applyNumberFormat="1" applyBorder="1" applyAlignment="1">
      <alignment vertical="center"/>
    </xf>
    <xf numFmtId="17" fontId="0" fillId="0" borderId="1" xfId="0" applyNumberFormat="1" applyBorder="1"/>
    <xf numFmtId="0" fontId="0" fillId="0" borderId="1" xfId="0" applyBorder="1"/>
    <xf numFmtId="174" fontId="0" fillId="0" borderId="1" xfId="1" applyNumberFormat="1" applyFont="1" applyBorder="1"/>
    <xf numFmtId="4" fontId="0" fillId="0" borderId="1" xfId="0" applyNumberFormat="1" applyBorder="1"/>
    <xf numFmtId="0" fontId="0" fillId="0" borderId="0" xfId="0" applyFill="1"/>
    <xf numFmtId="170" fontId="3" fillId="0" borderId="5" xfId="0" applyNumberFormat="1" applyFont="1" applyBorder="1" applyAlignment="1">
      <alignment vertical="center"/>
    </xf>
    <xf numFmtId="0" fontId="0" fillId="2" borderId="3" xfId="0" applyFont="1" applyFill="1" applyBorder="1" applyAlignment="1">
      <alignment horizontal="right" vertical="center"/>
    </xf>
    <xf numFmtId="2" fontId="3" fillId="0" borderId="5" xfId="0" applyNumberFormat="1" applyFont="1" applyBorder="1" applyAlignment="1">
      <alignment vertical="center"/>
    </xf>
    <xf numFmtId="173" fontId="3" fillId="0" borderId="5" xfId="0" applyNumberFormat="1" applyFont="1" applyBorder="1" applyAlignment="1">
      <alignment vertical="center"/>
    </xf>
    <xf numFmtId="0" fontId="0" fillId="2" borderId="4" xfId="0" applyFill="1" applyBorder="1" applyAlignment="1">
      <alignment horizontal="right" vertical="center"/>
    </xf>
    <xf numFmtId="166" fontId="0" fillId="2" borderId="1" xfId="0" applyNumberFormat="1" applyFill="1" applyBorder="1" applyAlignment="1">
      <alignment vertical="center"/>
    </xf>
    <xf numFmtId="174" fontId="0" fillId="2" borderId="1" xfId="1" applyNumberFormat="1" applyFont="1" applyFill="1" applyBorder="1" applyAlignment="1">
      <alignment vertical="center"/>
    </xf>
    <xf numFmtId="4" fontId="0" fillId="2" borderId="1" xfId="0" applyNumberFormat="1" applyFill="1" applyBorder="1" applyAlignment="1">
      <alignment vertical="center"/>
    </xf>
    <xf numFmtId="175" fontId="3" fillId="0" borderId="1" xfId="0" applyNumberFormat="1" applyFont="1" applyBorder="1" applyAlignment="1">
      <alignment horizontal="center" vertical="center"/>
    </xf>
    <xf numFmtId="175" fontId="3" fillId="0" borderId="1" xfId="0" applyNumberFormat="1" applyFont="1" applyBorder="1" applyAlignment="1">
      <alignment vertical="center"/>
    </xf>
    <xf numFmtId="166" fontId="3" fillId="0" borderId="1" xfId="0" applyNumberFormat="1" applyFont="1" applyFill="1" applyBorder="1" applyAlignment="1">
      <alignment horizontal="center" vertical="center"/>
    </xf>
    <xf numFmtId="166" fontId="3" fillId="0" borderId="1" xfId="0" applyNumberFormat="1" applyFont="1" applyFill="1" applyBorder="1" applyAlignment="1">
      <alignment vertical="center"/>
    </xf>
    <xf numFmtId="166" fontId="3" fillId="0" borderId="5" xfId="0" applyNumberFormat="1" applyFont="1" applyFill="1" applyBorder="1" applyAlignment="1">
      <alignment horizontal="center" vertical="center"/>
    </xf>
    <xf numFmtId="166" fontId="3" fillId="0" borderId="5" xfId="0" applyNumberFormat="1" applyFont="1" applyFill="1" applyBorder="1" applyAlignment="1">
      <alignment vertical="center"/>
    </xf>
    <xf numFmtId="0" fontId="3" fillId="0" borderId="9" xfId="0" applyFont="1" applyBorder="1" applyAlignment="1">
      <alignment vertical="center"/>
    </xf>
    <xf numFmtId="0" fontId="3" fillId="0" borderId="10" xfId="0" applyFont="1" applyBorder="1" applyAlignment="1">
      <alignment vertical="center"/>
    </xf>
    <xf numFmtId="3" fontId="3" fillId="0" borderId="6" xfId="0" applyNumberFormat="1" applyFont="1" applyBorder="1" applyAlignment="1">
      <alignment horizontal="center" vertical="center"/>
    </xf>
    <xf numFmtId="1" fontId="3" fillId="0" borderId="6" xfId="0" applyNumberFormat="1" applyFont="1" applyBorder="1" applyAlignment="1">
      <alignment horizontal="center" vertical="center"/>
    </xf>
    <xf numFmtId="1" fontId="3" fillId="0" borderId="5" xfId="0" applyNumberFormat="1" applyFont="1" applyBorder="1" applyAlignment="1">
      <alignment horizontal="center" vertical="center"/>
    </xf>
    <xf numFmtId="4" fontId="0" fillId="2" borderId="1" xfId="0" applyNumberFormat="1" applyFill="1" applyBorder="1" applyAlignment="1">
      <alignment vertical="center" wrapText="1"/>
    </xf>
    <xf numFmtId="4" fontId="3" fillId="2" borderId="1" xfId="0" applyNumberFormat="1" applyFont="1" applyFill="1" applyBorder="1" applyAlignment="1">
      <alignment vertical="center"/>
    </xf>
    <xf numFmtId="165" fontId="0" fillId="2" borderId="1" xfId="0" applyNumberFormat="1" applyFill="1" applyBorder="1" applyAlignment="1">
      <alignment vertical="center"/>
    </xf>
    <xf numFmtId="3" fontId="0" fillId="2" borderId="1" xfId="0" applyNumberFormat="1" applyFill="1" applyBorder="1" applyAlignment="1">
      <alignment horizontal="center" vertical="center"/>
    </xf>
    <xf numFmtId="0" fontId="0" fillId="2" borderId="1" xfId="0" applyFill="1" applyBorder="1" applyAlignment="1">
      <alignment horizontal="center" vertical="center" wrapText="1"/>
    </xf>
    <xf numFmtId="0" fontId="0" fillId="2" borderId="1" xfId="0" applyFill="1" applyBorder="1" applyAlignment="1">
      <alignment horizontal="center" vertical="center"/>
    </xf>
    <xf numFmtId="0" fontId="3" fillId="0" borderId="2" xfId="0" applyFont="1" applyBorder="1" applyAlignment="1">
      <alignment vertical="center"/>
    </xf>
    <xf numFmtId="0" fontId="3" fillId="0" borderId="4" xfId="0" applyFont="1" applyBorder="1" applyAlignment="1">
      <alignment vertical="center"/>
    </xf>
    <xf numFmtId="0" fontId="3" fillId="2" borderId="2" xfId="0" applyFont="1" applyFill="1" applyBorder="1" applyAlignment="1">
      <alignment vertical="center"/>
    </xf>
    <xf numFmtId="0" fontId="4" fillId="0" borderId="0" xfId="0" applyFont="1" applyFill="1" applyBorder="1" applyAlignment="1">
      <alignment vertical="center"/>
    </xf>
    <xf numFmtId="0" fontId="15" fillId="0" borderId="0" xfId="0" applyFont="1" applyAlignment="1">
      <alignment vertical="center"/>
    </xf>
    <xf numFmtId="9" fontId="3" fillId="0" borderId="1" xfId="1" applyFont="1" applyBorder="1" applyAlignment="1">
      <alignment vertical="center"/>
    </xf>
    <xf numFmtId="9" fontId="3" fillId="2" borderId="1" xfId="1" applyFont="1" applyFill="1" applyBorder="1" applyAlignment="1">
      <alignment vertical="center"/>
    </xf>
    <xf numFmtId="9" fontId="0" fillId="2" borderId="1" xfId="1" applyFont="1" applyFill="1" applyBorder="1" applyAlignment="1">
      <alignment vertical="center"/>
    </xf>
    <xf numFmtId="2" fontId="0" fillId="2" borderId="1" xfId="0" applyNumberFormat="1" applyFill="1" applyBorder="1" applyAlignment="1">
      <alignment vertical="center"/>
    </xf>
    <xf numFmtId="0" fontId="0" fillId="2" borderId="1" xfId="0" applyFill="1" applyBorder="1" applyAlignment="1">
      <alignment vertical="center"/>
    </xf>
    <xf numFmtId="0" fontId="0" fillId="2" borderId="1" xfId="0" applyFont="1" applyFill="1" applyBorder="1" applyAlignment="1">
      <alignment vertical="center"/>
    </xf>
    <xf numFmtId="0" fontId="0" fillId="0" borderId="2" xfId="0" applyBorder="1" applyAlignment="1">
      <alignment vertical="center"/>
    </xf>
    <xf numFmtId="0" fontId="0" fillId="0" borderId="3" xfId="0" applyBorder="1" applyAlignment="1">
      <alignment horizontal="right" vertical="center"/>
    </xf>
    <xf numFmtId="172" fontId="0" fillId="0" borderId="1" xfId="1" applyNumberFormat="1" applyFont="1" applyBorder="1" applyAlignment="1">
      <alignment vertical="center"/>
    </xf>
    <xf numFmtId="177" fontId="0" fillId="0" borderId="1" xfId="0" applyNumberFormat="1" applyBorder="1" applyAlignment="1">
      <alignment vertical="center"/>
    </xf>
    <xf numFmtId="0" fontId="0" fillId="0" borderId="2" xfId="0" applyBorder="1" applyAlignment="1">
      <alignment horizontal="right" vertical="center" wrapText="1"/>
    </xf>
    <xf numFmtId="0" fontId="0" fillId="0" borderId="3" xfId="0" applyBorder="1" applyAlignment="1">
      <alignment horizontal="right" vertical="center" wrapText="1"/>
    </xf>
    <xf numFmtId="165" fontId="0" fillId="0" borderId="1" xfId="2" applyFont="1" applyBorder="1" applyAlignment="1">
      <alignment vertical="top"/>
    </xf>
    <xf numFmtId="0" fontId="0" fillId="0" borderId="4" xfId="0" applyBorder="1" applyAlignment="1">
      <alignment horizontal="right" vertical="center"/>
    </xf>
    <xf numFmtId="4" fontId="3" fillId="0" borderId="6" xfId="0" applyNumberFormat="1" applyFont="1" applyFill="1" applyBorder="1" applyAlignment="1">
      <alignment vertical="center"/>
    </xf>
    <xf numFmtId="4" fontId="3" fillId="0" borderId="1" xfId="0" applyNumberFormat="1" applyFont="1" applyFill="1" applyBorder="1" applyAlignment="1">
      <alignment vertical="center"/>
    </xf>
    <xf numFmtId="166" fontId="3" fillId="0" borderId="1" xfId="0" applyNumberFormat="1" applyFont="1" applyFill="1" applyBorder="1" applyAlignment="1">
      <alignment horizontal="center" vertical="top"/>
    </xf>
    <xf numFmtId="166" fontId="3" fillId="0" borderId="1" xfId="0" applyNumberFormat="1" applyFont="1" applyFill="1" applyBorder="1" applyAlignment="1">
      <alignment vertical="top"/>
    </xf>
    <xf numFmtId="166" fontId="3" fillId="0" borderId="1" xfId="0" applyNumberFormat="1" applyFont="1" applyBorder="1" applyAlignment="1">
      <alignment vertical="top"/>
    </xf>
    <xf numFmtId="174" fontId="3" fillId="0" borderId="1" xfId="1" applyNumberFormat="1" applyFont="1" applyBorder="1" applyAlignment="1">
      <alignment vertical="top"/>
    </xf>
    <xf numFmtId="0" fontId="0" fillId="2" borderId="1" xfId="0" applyFill="1" applyBorder="1" applyAlignment="1">
      <alignment horizontal="center" vertical="center"/>
    </xf>
    <xf numFmtId="0" fontId="0" fillId="2" borderId="1" xfId="0" applyFill="1" applyBorder="1" applyAlignment="1">
      <alignment horizontal="center" vertical="center" wrapText="1"/>
    </xf>
    <xf numFmtId="2" fontId="3" fillId="0" borderId="1" xfId="0" applyNumberFormat="1" applyFont="1" applyBorder="1" applyAlignment="1">
      <alignment horizontal="center" vertical="center"/>
    </xf>
    <xf numFmtId="0" fontId="0" fillId="0" borderId="1" xfId="0" applyBorder="1" applyAlignment="1">
      <alignment horizontal="center" vertical="center"/>
    </xf>
    <xf numFmtId="0" fontId="3" fillId="0" borderId="11" xfId="0" applyFont="1" applyBorder="1" applyAlignment="1">
      <alignment horizontal="center" vertical="center"/>
    </xf>
    <xf numFmtId="2" fontId="3" fillId="0" borderId="1" xfId="0" applyNumberFormat="1" applyFont="1" applyBorder="1" applyAlignment="1">
      <alignment horizontal="center" vertical="center"/>
    </xf>
    <xf numFmtId="10" fontId="3" fillId="0" borderId="6" xfId="1" applyNumberFormat="1" applyFont="1" applyBorder="1" applyAlignment="1">
      <alignment vertical="center"/>
    </xf>
    <xf numFmtId="14" fontId="0" fillId="0" borderId="0" xfId="0" applyNumberFormat="1"/>
    <xf numFmtId="0" fontId="0" fillId="0" borderId="1" xfId="0" applyFill="1" applyBorder="1" applyAlignment="1">
      <alignment horizontal="center" vertical="center"/>
    </xf>
    <xf numFmtId="169" fontId="0" fillId="0" borderId="1" xfId="0" applyNumberFormat="1" applyFill="1" applyBorder="1" applyAlignment="1">
      <alignment vertical="center"/>
    </xf>
    <xf numFmtId="0" fontId="16" fillId="0" borderId="0" xfId="0" applyFont="1" applyAlignment="1"/>
    <xf numFmtId="49" fontId="0" fillId="2" borderId="1" xfId="0" applyNumberFormat="1" applyFont="1" applyFill="1" applyBorder="1" applyAlignment="1">
      <alignment vertical="center" wrapText="1"/>
    </xf>
    <xf numFmtId="0" fontId="0" fillId="2" borderId="1" xfId="0" applyFont="1" applyFill="1" applyBorder="1" applyAlignment="1">
      <alignment horizontal="center" vertical="center" wrapText="1"/>
    </xf>
    <xf numFmtId="0" fontId="0" fillId="2" borderId="1" xfId="0" applyFont="1" applyFill="1" applyBorder="1" applyAlignment="1">
      <alignment vertical="center" wrapText="1"/>
    </xf>
    <xf numFmtId="0" fontId="0" fillId="2" borderId="6" xfId="0" applyFont="1" applyFill="1" applyBorder="1" applyAlignment="1">
      <alignment vertical="center" wrapText="1"/>
    </xf>
    <xf numFmtId="49" fontId="2" fillId="0" borderId="1" xfId="0" applyNumberFormat="1" applyFont="1" applyBorder="1" applyAlignment="1">
      <alignment vertical="center"/>
    </xf>
    <xf numFmtId="49" fontId="2" fillId="0" borderId="1" xfId="0" applyNumberFormat="1" applyFont="1" applyBorder="1" applyAlignment="1">
      <alignment horizontal="center" vertical="center"/>
    </xf>
    <xf numFmtId="0" fontId="2" fillId="0" borderId="1" xfId="0" applyFont="1" applyFill="1" applyBorder="1" applyAlignment="1">
      <alignment vertical="center"/>
    </xf>
    <xf numFmtId="0" fontId="2" fillId="0" borderId="6" xfId="0" applyFont="1" applyBorder="1" applyAlignment="1">
      <alignment horizontal="center" vertical="center"/>
    </xf>
    <xf numFmtId="4" fontId="2" fillId="0" borderId="6" xfId="0" applyNumberFormat="1" applyFont="1" applyBorder="1" applyAlignment="1">
      <alignment vertical="center"/>
    </xf>
    <xf numFmtId="17" fontId="2" fillId="0" borderId="1" xfId="0" applyNumberFormat="1" applyFont="1" applyBorder="1"/>
    <xf numFmtId="0" fontId="2" fillId="0" borderId="1" xfId="0" applyFont="1" applyBorder="1"/>
    <xf numFmtId="174" fontId="2" fillId="0" borderId="1" xfId="1" applyNumberFormat="1" applyFont="1" applyBorder="1"/>
    <xf numFmtId="4" fontId="2" fillId="0" borderId="1" xfId="0" applyNumberFormat="1" applyFont="1" applyBorder="1"/>
    <xf numFmtId="49" fontId="0" fillId="0" borderId="1" xfId="0" applyNumberFormat="1" applyFill="1" applyBorder="1" applyAlignment="1">
      <alignment vertical="center"/>
    </xf>
    <xf numFmtId="49" fontId="2" fillId="0" borderId="1" xfId="0" applyNumberFormat="1" applyFont="1" applyFill="1" applyBorder="1" applyAlignment="1">
      <alignment vertical="center"/>
    </xf>
    <xf numFmtId="0" fontId="0" fillId="0" borderId="6" xfId="0" applyFill="1" applyBorder="1" applyAlignment="1">
      <alignment horizontal="center" vertical="center"/>
    </xf>
    <xf numFmtId="4" fontId="0" fillId="0" borderId="6" xfId="0" applyNumberFormat="1" applyFill="1" applyBorder="1" applyAlignment="1">
      <alignment vertical="center"/>
    </xf>
    <xf numFmtId="17" fontId="0" fillId="0" borderId="1" xfId="0" applyNumberFormat="1" applyFill="1" applyBorder="1"/>
    <xf numFmtId="174" fontId="0" fillId="0" borderId="1" xfId="1" applyNumberFormat="1" applyFont="1" applyFill="1" applyBorder="1"/>
    <xf numFmtId="4" fontId="0" fillId="0" borderId="1" xfId="0" applyNumberFormat="1" applyFill="1" applyBorder="1"/>
    <xf numFmtId="49" fontId="0" fillId="0" borderId="1" xfId="0" applyNumberFormat="1" applyFill="1" applyBorder="1" applyAlignment="1">
      <alignment horizontal="center" vertical="center"/>
    </xf>
    <xf numFmtId="4" fontId="0" fillId="0" borderId="6" xfId="0" applyNumberFormat="1" applyFont="1" applyBorder="1" applyAlignment="1">
      <alignment vertical="center"/>
    </xf>
    <xf numFmtId="4" fontId="0" fillId="0" borderId="1" xfId="0" applyNumberFormat="1" applyFont="1" applyBorder="1" applyAlignment="1">
      <alignment vertical="center"/>
    </xf>
    <xf numFmtId="0" fontId="3" fillId="0" borderId="1" xfId="0" applyFont="1" applyBorder="1" applyAlignment="1">
      <alignment vertical="center"/>
    </xf>
    <xf numFmtId="0" fontId="0" fillId="2" borderId="1" xfId="0" applyFill="1" applyBorder="1" applyAlignment="1">
      <alignment horizontal="center" vertical="center" wrapText="1"/>
    </xf>
    <xf numFmtId="0" fontId="3" fillId="0" borderId="2" xfId="0" applyFont="1" applyBorder="1" applyAlignment="1">
      <alignment vertical="center"/>
    </xf>
    <xf numFmtId="0" fontId="3" fillId="0" borderId="4" xfId="0" applyFont="1" applyBorder="1" applyAlignment="1">
      <alignment vertical="center"/>
    </xf>
    <xf numFmtId="2" fontId="3" fillId="0" borderId="1" xfId="0" applyNumberFormat="1" applyFont="1" applyBorder="1" applyAlignment="1">
      <alignment horizontal="center" vertical="center"/>
    </xf>
    <xf numFmtId="0" fontId="3" fillId="0" borderId="1" xfId="0" applyFont="1" applyBorder="1" applyAlignment="1">
      <alignment horizontal="center" vertical="center"/>
    </xf>
    <xf numFmtId="2" fontId="3" fillId="0" borderId="1" xfId="0" applyNumberFormat="1" applyFont="1" applyFill="1" applyBorder="1" applyAlignment="1">
      <alignment vertical="center"/>
    </xf>
    <xf numFmtId="166" fontId="3" fillId="0" borderId="6" xfId="0" applyNumberFormat="1" applyFont="1" applyFill="1" applyBorder="1" applyAlignment="1">
      <alignment horizontal="center" vertical="center"/>
    </xf>
    <xf numFmtId="166" fontId="3" fillId="0" borderId="6" xfId="0" applyNumberFormat="1" applyFont="1" applyFill="1" applyBorder="1" applyAlignment="1">
      <alignment vertical="center"/>
    </xf>
    <xf numFmtId="174" fontId="3" fillId="0" borderId="6" xfId="1" applyNumberFormat="1" applyFont="1" applyFill="1" applyBorder="1" applyAlignment="1">
      <alignment vertical="center"/>
    </xf>
    <xf numFmtId="0" fontId="3" fillId="2" borderId="3" xfId="0" applyFont="1" applyFill="1" applyBorder="1" applyAlignment="1">
      <alignment vertical="top"/>
    </xf>
    <xf numFmtId="0" fontId="3" fillId="2" borderId="2" xfId="0" applyFont="1" applyFill="1" applyBorder="1" applyAlignment="1">
      <alignment horizontal="center" vertical="center"/>
    </xf>
    <xf numFmtId="0" fontId="0" fillId="2" borderId="3" xfId="0" applyFont="1" applyFill="1" applyBorder="1" applyAlignment="1">
      <alignment horizontal="right" vertical="top"/>
    </xf>
    <xf numFmtId="0" fontId="3" fillId="2" borderId="2" xfId="0" applyFont="1" applyFill="1" applyBorder="1" applyAlignment="1">
      <alignment vertical="center"/>
    </xf>
    <xf numFmtId="0" fontId="3" fillId="0" borderId="1" xfId="0" applyFont="1" applyFill="1" applyBorder="1" applyAlignment="1">
      <alignment vertical="center"/>
    </xf>
    <xf numFmtId="0" fontId="10" fillId="0" borderId="1" xfId="0" applyFont="1" applyFill="1" applyBorder="1" applyAlignment="1">
      <alignment vertical="center"/>
    </xf>
    <xf numFmtId="165" fontId="3" fillId="2" borderId="1" xfId="0" applyNumberFormat="1" applyFont="1" applyFill="1" applyBorder="1" applyAlignment="1">
      <alignment vertical="center"/>
    </xf>
    <xf numFmtId="3" fontId="3" fillId="2" borderId="1" xfId="1" applyNumberFormat="1" applyFont="1" applyFill="1" applyBorder="1" applyAlignment="1">
      <alignment horizontal="center" vertical="center"/>
    </xf>
    <xf numFmtId="169" fontId="17" fillId="0" borderId="1" xfId="0" applyNumberFormat="1" applyFont="1" applyFill="1" applyBorder="1" applyAlignment="1">
      <alignment vertical="center"/>
    </xf>
    <xf numFmtId="2" fontId="0" fillId="0" borderId="0" xfId="0" applyNumberFormat="1" applyAlignment="1">
      <alignment vertical="center"/>
    </xf>
    <xf numFmtId="2" fontId="0" fillId="0" borderId="0" xfId="0" applyNumberFormat="1" applyAlignment="1">
      <alignment vertical="top"/>
    </xf>
    <xf numFmtId="4" fontId="0" fillId="2" borderId="3" xfId="0" applyNumberFormat="1" applyFill="1" applyBorder="1" applyAlignment="1">
      <alignment vertical="center"/>
    </xf>
    <xf numFmtId="0" fontId="3" fillId="0" borderId="0" xfId="0" applyFont="1" applyFill="1" applyAlignment="1">
      <alignment vertical="top"/>
    </xf>
    <xf numFmtId="0" fontId="3" fillId="0" borderId="0" xfId="0" applyFont="1" applyFill="1" applyAlignment="1">
      <alignment horizontal="left" vertical="top" indent="2"/>
    </xf>
    <xf numFmtId="4" fontId="0" fillId="0" borderId="0" xfId="0" applyNumberFormat="1" applyFill="1"/>
    <xf numFmtId="0" fontId="3" fillId="2" borderId="2" xfId="0" applyFont="1" applyFill="1" applyBorder="1" applyAlignment="1">
      <alignment vertical="center"/>
    </xf>
    <xf numFmtId="169" fontId="3" fillId="0" borderId="1" xfId="0" applyNumberFormat="1" applyFont="1" applyFill="1" applyBorder="1" applyAlignment="1">
      <alignment vertical="center"/>
    </xf>
    <xf numFmtId="170" fontId="3" fillId="0" borderId="1" xfId="0" applyNumberFormat="1" applyFont="1" applyFill="1" applyBorder="1" applyAlignment="1">
      <alignment vertical="center"/>
    </xf>
    <xf numFmtId="0" fontId="0" fillId="2" borderId="1" xfId="0" applyFill="1" applyBorder="1" applyAlignment="1">
      <alignment horizontal="center" vertical="center" wrapText="1"/>
    </xf>
    <xf numFmtId="0" fontId="0" fillId="0" borderId="0" xfId="0" applyAlignment="1">
      <alignment vertical="center" wrapText="1"/>
    </xf>
    <xf numFmtId="0" fontId="3" fillId="0" borderId="1" xfId="0" applyFont="1" applyBorder="1"/>
    <xf numFmtId="0" fontId="0" fillId="4" borderId="1" xfId="0" applyNumberFormat="1" applyFill="1" applyBorder="1" applyAlignment="1">
      <alignment vertical="center"/>
    </xf>
    <xf numFmtId="0" fontId="0" fillId="4" borderId="1" xfId="0" applyNumberFormat="1" applyFill="1" applyBorder="1" applyAlignment="1">
      <alignment vertical="top"/>
    </xf>
    <xf numFmtId="49" fontId="0" fillId="4" borderId="1" xfId="0" applyNumberFormat="1" applyFill="1" applyBorder="1" applyAlignment="1">
      <alignment vertical="center"/>
    </xf>
    <xf numFmtId="49" fontId="0" fillId="4" borderId="1" xfId="0" applyNumberFormat="1" applyFill="1" applyBorder="1" applyAlignment="1">
      <alignment vertical="top"/>
    </xf>
    <xf numFmtId="0" fontId="0" fillId="4" borderId="1" xfId="0" applyFill="1" applyBorder="1" applyAlignment="1">
      <alignment vertical="center"/>
    </xf>
    <xf numFmtId="2" fontId="0" fillId="4" borderId="1" xfId="0" applyNumberFormat="1" applyFill="1" applyBorder="1" applyAlignment="1">
      <alignment vertical="center"/>
    </xf>
    <xf numFmtId="0" fontId="0" fillId="4" borderId="1" xfId="0" applyFill="1" applyBorder="1"/>
    <xf numFmtId="0" fontId="0" fillId="4" borderId="1" xfId="0" applyFont="1" applyFill="1" applyBorder="1" applyAlignment="1">
      <alignment vertical="center"/>
    </xf>
    <xf numFmtId="49" fontId="0" fillId="4" borderId="1" xfId="0" applyNumberFormat="1" applyFont="1" applyFill="1" applyBorder="1" applyAlignment="1">
      <alignment vertical="center"/>
    </xf>
    <xf numFmtId="0" fontId="0" fillId="4" borderId="1" xfId="0" applyFont="1" applyFill="1" applyBorder="1"/>
    <xf numFmtId="17" fontId="7" fillId="0" borderId="0" xfId="0" applyNumberFormat="1" applyFont="1" applyAlignment="1">
      <alignment vertical="center"/>
    </xf>
    <xf numFmtId="0" fontId="0" fillId="2" borderId="1" xfId="0" applyFill="1" applyBorder="1" applyAlignment="1">
      <alignment horizontal="center" vertical="center" wrapText="1"/>
    </xf>
    <xf numFmtId="0" fontId="0" fillId="4" borderId="0" xfId="0" applyFill="1" applyAlignment="1">
      <alignment horizontal="center"/>
    </xf>
    <xf numFmtId="0" fontId="0" fillId="4" borderId="0" xfId="0" applyFill="1"/>
    <xf numFmtId="0" fontId="0" fillId="5" borderId="0" xfId="0" applyFill="1" applyAlignment="1">
      <alignment vertical="top"/>
    </xf>
    <xf numFmtId="167" fontId="0" fillId="5" borderId="0" xfId="0" applyNumberFormat="1" applyFill="1" applyAlignment="1">
      <alignment horizontal="left" vertical="center"/>
    </xf>
    <xf numFmtId="0" fontId="0" fillId="5" borderId="0" xfId="0" applyFill="1" applyAlignment="1">
      <alignment vertical="center"/>
    </xf>
    <xf numFmtId="0" fontId="0" fillId="5" borderId="1" xfId="0" applyFill="1" applyBorder="1" applyAlignment="1">
      <alignment vertical="center"/>
    </xf>
    <xf numFmtId="174" fontId="3" fillId="0" borderId="1" xfId="1" applyNumberFormat="1" applyFont="1" applyBorder="1" applyAlignment="1">
      <alignment horizontal="center" vertical="center"/>
    </xf>
    <xf numFmtId="10" fontId="0" fillId="2" borderId="1" xfId="1" applyNumberFormat="1" applyFont="1" applyFill="1" applyBorder="1" applyAlignment="1">
      <alignment horizontal="center" vertical="center"/>
    </xf>
    <xf numFmtId="10" fontId="3" fillId="2" borderId="1" xfId="1" applyNumberFormat="1" applyFont="1" applyFill="1" applyBorder="1" applyAlignment="1">
      <alignment horizontal="center" vertical="center"/>
    </xf>
    <xf numFmtId="0" fontId="7" fillId="2" borderId="1" xfId="0" applyFont="1" applyFill="1" applyBorder="1" applyAlignment="1">
      <alignment horizontal="center" vertical="center"/>
    </xf>
    <xf numFmtId="0" fontId="0" fillId="5" borderId="1" xfId="0" applyFill="1" applyBorder="1" applyAlignment="1">
      <alignment horizontal="center" vertical="center"/>
    </xf>
    <xf numFmtId="4" fontId="0" fillId="0" borderId="0" xfId="0" applyNumberFormat="1" applyAlignment="1">
      <alignment vertical="center"/>
    </xf>
    <xf numFmtId="165" fontId="0" fillId="0" borderId="0" xfId="2" applyFont="1" applyAlignment="1">
      <alignment vertical="center"/>
    </xf>
    <xf numFmtId="165" fontId="3" fillId="7" borderId="1" xfId="0" applyNumberFormat="1" applyFont="1" applyFill="1" applyBorder="1" applyAlignment="1">
      <alignment vertical="center"/>
    </xf>
    <xf numFmtId="3" fontId="3" fillId="7" borderId="1" xfId="1" applyNumberFormat="1" applyFont="1" applyFill="1" applyBorder="1" applyAlignment="1">
      <alignment horizontal="center" vertical="center"/>
    </xf>
    <xf numFmtId="0" fontId="0" fillId="5" borderId="0" xfId="0" applyFill="1" applyBorder="1" applyAlignment="1">
      <alignment vertical="center"/>
    </xf>
    <xf numFmtId="0" fontId="0" fillId="5" borderId="0" xfId="0" applyFill="1" applyBorder="1" applyAlignment="1">
      <alignment horizontal="center" vertical="center"/>
    </xf>
    <xf numFmtId="10" fontId="3" fillId="2" borderId="1" xfId="0" applyNumberFormat="1" applyFont="1" applyFill="1" applyBorder="1" applyAlignment="1">
      <alignment horizontal="center" vertical="center"/>
    </xf>
    <xf numFmtId="10" fontId="3" fillId="2" borderId="1" xfId="1" applyNumberFormat="1" applyFont="1" applyFill="1" applyBorder="1" applyAlignment="1">
      <alignment vertical="center"/>
    </xf>
    <xf numFmtId="10" fontId="3" fillId="0" borderId="1" xfId="1" applyNumberFormat="1" applyFont="1" applyBorder="1" applyAlignment="1">
      <alignment vertical="center"/>
    </xf>
    <xf numFmtId="10" fontId="3" fillId="7" borderId="1" xfId="1" applyNumberFormat="1" applyFont="1" applyFill="1" applyBorder="1" applyAlignment="1">
      <alignment vertical="center"/>
    </xf>
    <xf numFmtId="10" fontId="0" fillId="2" borderId="1" xfId="0" applyNumberFormat="1" applyFill="1" applyBorder="1" applyAlignment="1">
      <alignment vertical="center"/>
    </xf>
    <xf numFmtId="165" fontId="0" fillId="0" borderId="1" xfId="0" applyNumberFormat="1" applyBorder="1" applyAlignment="1">
      <alignment vertical="center"/>
    </xf>
    <xf numFmtId="0" fontId="0" fillId="0" borderId="1" xfId="0" applyFill="1" applyBorder="1" applyAlignment="1">
      <alignment vertical="center"/>
    </xf>
    <xf numFmtId="0" fontId="0" fillId="2" borderId="3" xfId="0" applyFont="1" applyFill="1" applyBorder="1" applyAlignment="1">
      <alignment vertical="center"/>
    </xf>
    <xf numFmtId="0" fontId="0" fillId="2" borderId="2" xfId="0" applyFont="1" applyFill="1" applyBorder="1" applyAlignment="1">
      <alignment vertical="center"/>
    </xf>
    <xf numFmtId="0" fontId="0" fillId="0" borderId="1" xfId="0" applyBorder="1" applyAlignment="1">
      <alignment horizontal="center" vertical="center"/>
    </xf>
    <xf numFmtId="0" fontId="0" fillId="0" borderId="1" xfId="0" applyBorder="1" applyAlignment="1">
      <alignment vertical="center"/>
    </xf>
    <xf numFmtId="0" fontId="3" fillId="0" borderId="1" xfId="0" applyFont="1" applyBorder="1" applyAlignment="1">
      <alignment horizontal="center" vertical="center"/>
    </xf>
    <xf numFmtId="166" fontId="3" fillId="0" borderId="0" xfId="0" applyNumberFormat="1" applyFont="1" applyAlignment="1">
      <alignment vertical="top"/>
    </xf>
    <xf numFmtId="0" fontId="0" fillId="4" borderId="1" xfId="0" applyFill="1" applyBorder="1" applyAlignment="1">
      <alignment horizontal="center" vertical="center"/>
    </xf>
    <xf numFmtId="0" fontId="18" fillId="4" borderId="1" xfId="0" applyFont="1" applyFill="1" applyBorder="1" applyAlignment="1">
      <alignment vertical="center" wrapText="1"/>
    </xf>
    <xf numFmtId="4" fontId="18" fillId="4" borderId="2" xfId="0" applyNumberFormat="1" applyFont="1" applyFill="1" applyBorder="1" applyAlignment="1">
      <alignment horizontal="right" vertical="center" wrapText="1"/>
    </xf>
    <xf numFmtId="0" fontId="3" fillId="0" borderId="2" xfId="0" applyFont="1" applyBorder="1" applyAlignment="1">
      <alignment vertical="center"/>
    </xf>
    <xf numFmtId="0" fontId="3" fillId="0" borderId="4" xfId="0" applyFont="1" applyBorder="1" applyAlignment="1">
      <alignment vertical="center"/>
    </xf>
    <xf numFmtId="2" fontId="3" fillId="0" borderId="1" xfId="0" applyNumberFormat="1" applyFont="1" applyBorder="1" applyAlignment="1">
      <alignment horizontal="center" vertical="center"/>
    </xf>
    <xf numFmtId="0" fontId="3" fillId="0" borderId="1" xfId="0" applyFont="1" applyBorder="1" applyAlignment="1">
      <alignment horizontal="center" vertical="center"/>
    </xf>
    <xf numFmtId="0" fontId="3" fillId="2" borderId="2" xfId="0" applyFont="1" applyFill="1" applyBorder="1" applyAlignment="1">
      <alignment vertical="center"/>
    </xf>
    <xf numFmtId="0" fontId="0" fillId="2" borderId="1" xfId="0" applyFill="1" applyBorder="1" applyAlignment="1">
      <alignment horizontal="center" vertical="center"/>
    </xf>
    <xf numFmtId="2" fontId="3" fillId="0" borderId="1" xfId="0" applyNumberFormat="1" applyFont="1" applyBorder="1" applyAlignment="1">
      <alignment horizontal="center" vertical="center"/>
    </xf>
    <xf numFmtId="0" fontId="3" fillId="0" borderId="6" xfId="0" applyFont="1" applyFill="1" applyBorder="1" applyAlignment="1">
      <alignment horizontal="center" vertical="center"/>
    </xf>
    <xf numFmtId="0" fontId="3" fillId="0" borderId="1" xfId="0" applyFont="1" applyBorder="1" applyAlignment="1">
      <alignment vertical="center"/>
    </xf>
    <xf numFmtId="0" fontId="3" fillId="0" borderId="2" xfId="0" applyFont="1" applyBorder="1" applyAlignment="1">
      <alignment vertical="center"/>
    </xf>
    <xf numFmtId="0" fontId="3" fillId="0" borderId="4" xfId="0" applyFont="1" applyBorder="1" applyAlignment="1">
      <alignment vertical="center"/>
    </xf>
    <xf numFmtId="0" fontId="3" fillId="2" borderId="2" xfId="0" applyFont="1" applyFill="1" applyBorder="1" applyAlignment="1">
      <alignment vertical="center"/>
    </xf>
    <xf numFmtId="0" fontId="3" fillId="2" borderId="4" xfId="0" applyFont="1" applyFill="1" applyBorder="1" applyAlignment="1">
      <alignment vertical="center"/>
    </xf>
    <xf numFmtId="175" fontId="0" fillId="0" borderId="0" xfId="0" applyNumberFormat="1" applyAlignment="1">
      <alignment vertical="center"/>
    </xf>
    <xf numFmtId="0" fontId="8" fillId="0" borderId="0" xfId="0" applyFont="1" applyAlignment="1">
      <alignment horizontal="center" vertical="center"/>
    </xf>
    <xf numFmtId="0" fontId="8" fillId="0" borderId="0" xfId="0" applyFont="1" applyFill="1" applyAlignment="1">
      <alignment horizontal="center" vertical="center"/>
    </xf>
    <xf numFmtId="0" fontId="0" fillId="2" borderId="1" xfId="0" applyFill="1" applyBorder="1" applyAlignment="1">
      <alignment horizontal="center" vertical="center"/>
    </xf>
    <xf numFmtId="0" fontId="3" fillId="0" borderId="2" xfId="0" applyFont="1" applyBorder="1" applyAlignment="1">
      <alignment vertical="center"/>
    </xf>
    <xf numFmtId="0" fontId="3" fillId="0" borderId="4" xfId="0" applyFont="1" applyBorder="1" applyAlignment="1">
      <alignment vertical="center"/>
    </xf>
    <xf numFmtId="2" fontId="3" fillId="0" borderId="1" xfId="0" applyNumberFormat="1" applyFont="1" applyBorder="1" applyAlignment="1">
      <alignment horizontal="center" vertical="center"/>
    </xf>
    <xf numFmtId="165" fontId="0" fillId="0" borderId="0" xfId="0" applyNumberFormat="1" applyAlignment="1">
      <alignment vertical="center"/>
    </xf>
    <xf numFmtId="9" fontId="0" fillId="0" borderId="0" xfId="1" applyFont="1" applyAlignment="1">
      <alignment vertical="center"/>
    </xf>
    <xf numFmtId="0" fontId="6" fillId="0" borderId="0" xfId="0" applyFont="1" applyAlignment="1">
      <alignment horizontal="center" vertical="center"/>
    </xf>
    <xf numFmtId="0" fontId="0" fillId="0" borderId="1" xfId="0" applyBorder="1" applyAlignment="1">
      <alignment vertical="center"/>
    </xf>
    <xf numFmtId="0" fontId="0" fillId="0" borderId="0" xfId="0" applyAlignment="1">
      <alignment vertical="center" wrapText="1"/>
    </xf>
    <xf numFmtId="10" fontId="2" fillId="0" borderId="1" xfId="0" applyNumberFormat="1" applyFont="1" applyBorder="1" applyAlignment="1">
      <alignment vertical="center"/>
    </xf>
    <xf numFmtId="0" fontId="2" fillId="2" borderId="1" xfId="0" applyFont="1" applyFill="1" applyBorder="1" applyAlignment="1">
      <alignment horizontal="center" vertical="center"/>
    </xf>
    <xf numFmtId="2" fontId="0" fillId="0" borderId="0" xfId="0" applyNumberFormat="1" applyAlignment="1">
      <alignment horizontal="left" vertical="center"/>
    </xf>
    <xf numFmtId="0" fontId="0" fillId="5" borderId="0" xfId="0" applyFill="1" applyAlignment="1">
      <alignment horizontal="left" vertical="center"/>
    </xf>
    <xf numFmtId="2" fontId="3" fillId="0" borderId="1" xfId="0" applyNumberFormat="1" applyFont="1" applyBorder="1" applyAlignment="1">
      <alignment horizontal="center" vertical="center"/>
    </xf>
    <xf numFmtId="0" fontId="3" fillId="2" borderId="2" xfId="0" applyFont="1" applyFill="1" applyBorder="1" applyAlignment="1">
      <alignment vertical="center"/>
    </xf>
    <xf numFmtId="0" fontId="3" fillId="0" borderId="1" xfId="0" applyFont="1" applyBorder="1" applyAlignment="1">
      <alignment horizontal="center" vertical="center"/>
    </xf>
    <xf numFmtId="0" fontId="3" fillId="2" borderId="2" xfId="0" applyFont="1" applyFill="1" applyBorder="1" applyAlignment="1">
      <alignment vertical="center"/>
    </xf>
    <xf numFmtId="2" fontId="0" fillId="0" borderId="0" xfId="0" applyNumberFormat="1" applyAlignment="1">
      <alignment horizontal="left" vertical="top"/>
    </xf>
    <xf numFmtId="0" fontId="0" fillId="5" borderId="0" xfId="0" applyFill="1" applyAlignment="1">
      <alignment horizontal="left" vertical="top"/>
    </xf>
    <xf numFmtId="178" fontId="0" fillId="0" borderId="0" xfId="0" applyNumberFormat="1" applyAlignment="1">
      <alignment vertical="center"/>
    </xf>
    <xf numFmtId="43" fontId="0" fillId="0" borderId="0" xfId="0" applyNumberFormat="1" applyAlignment="1">
      <alignment vertical="center"/>
    </xf>
    <xf numFmtId="0" fontId="5" fillId="0" borderId="0" xfId="0" applyFont="1" applyAlignment="1">
      <alignment horizontal="center" vertical="center"/>
    </xf>
    <xf numFmtId="0" fontId="9" fillId="0" borderId="0" xfId="0" applyFont="1" applyAlignment="1">
      <alignment vertical="center"/>
    </xf>
    <xf numFmtId="0" fontId="5" fillId="0" borderId="0" xfId="0" applyFont="1" applyAlignment="1">
      <alignment vertical="center"/>
    </xf>
    <xf numFmtId="0" fontId="5" fillId="4" borderId="0" xfId="0" applyFont="1" applyFill="1" applyAlignment="1">
      <alignment vertical="center"/>
    </xf>
    <xf numFmtId="0" fontId="7" fillId="4" borderId="0" xfId="0" applyFont="1" applyFill="1" applyAlignment="1">
      <alignment vertical="center"/>
    </xf>
    <xf numFmtId="0" fontId="0" fillId="0" borderId="0" xfId="0" applyFont="1" applyAlignment="1">
      <alignment horizontal="center" vertical="center"/>
    </xf>
    <xf numFmtId="0" fontId="2" fillId="0" borderId="0" xfId="0" applyFont="1" applyAlignment="1">
      <alignment horizontal="center" vertical="center"/>
    </xf>
    <xf numFmtId="165" fontId="2" fillId="0" borderId="0" xfId="0" applyNumberFormat="1" applyFont="1" applyAlignment="1">
      <alignment vertical="center"/>
    </xf>
    <xf numFmtId="0" fontId="2" fillId="0" borderId="0" xfId="0" applyFont="1" applyAlignment="1">
      <alignment vertical="center"/>
    </xf>
    <xf numFmtId="0" fontId="0" fillId="4" borderId="0" xfId="0" applyFont="1" applyFill="1" applyAlignment="1">
      <alignment vertical="center"/>
    </xf>
    <xf numFmtId="0" fontId="0" fillId="0" borderId="0" xfId="0" applyFont="1" applyAlignment="1">
      <alignment horizontal="right" vertical="center"/>
    </xf>
    <xf numFmtId="0" fontId="0" fillId="0" borderId="0" xfId="0" quotePrefix="1" applyFont="1" applyAlignment="1">
      <alignment horizontal="center" vertical="center"/>
    </xf>
    <xf numFmtId="49" fontId="0" fillId="0" borderId="0" xfId="0" applyNumberFormat="1" applyFont="1" applyAlignment="1">
      <alignment vertical="center"/>
    </xf>
    <xf numFmtId="172" fontId="0" fillId="0" borderId="0" xfId="1" applyNumberFormat="1" applyFont="1" applyAlignment="1">
      <alignment vertical="center"/>
    </xf>
    <xf numFmtId="171" fontId="0" fillId="0" borderId="0" xfId="0" applyNumberFormat="1" applyFont="1" applyAlignment="1">
      <alignment vertical="center"/>
    </xf>
    <xf numFmtId="165" fontId="0" fillId="0" borderId="0" xfId="0" applyNumberFormat="1" applyFont="1" applyAlignment="1">
      <alignment vertical="center"/>
    </xf>
    <xf numFmtId="1" fontId="0" fillId="0" borderId="0" xfId="0" applyNumberFormat="1" applyAlignment="1">
      <alignment vertical="center"/>
    </xf>
    <xf numFmtId="10" fontId="0" fillId="0" borderId="0" xfId="1" applyNumberFormat="1" applyFont="1" applyAlignment="1">
      <alignment vertical="center"/>
    </xf>
    <xf numFmtId="0" fontId="0" fillId="4" borderId="0" xfId="0" applyFill="1" applyAlignment="1">
      <alignment vertical="center"/>
    </xf>
    <xf numFmtId="0" fontId="19" fillId="0" borderId="0" xfId="0" applyFont="1" applyAlignment="1">
      <alignment vertical="center"/>
    </xf>
    <xf numFmtId="165" fontId="2" fillId="0" borderId="0" xfId="2" applyFont="1" applyAlignment="1">
      <alignment vertical="center"/>
    </xf>
    <xf numFmtId="176" fontId="0" fillId="0" borderId="0" xfId="0" applyNumberFormat="1" applyAlignment="1">
      <alignment vertical="center"/>
    </xf>
    <xf numFmtId="14" fontId="0" fillId="0" borderId="0" xfId="0" applyNumberFormat="1" applyAlignment="1">
      <alignment vertical="center"/>
    </xf>
    <xf numFmtId="0" fontId="0" fillId="0" borderId="0" xfId="0" applyNumberFormat="1" applyAlignment="1">
      <alignment vertical="center"/>
    </xf>
    <xf numFmtId="170" fontId="0" fillId="0" borderId="0" xfId="0" applyNumberFormat="1" applyAlignment="1">
      <alignment vertical="center"/>
    </xf>
    <xf numFmtId="2" fontId="0" fillId="6" borderId="0" xfId="0" applyNumberFormat="1" applyFill="1" applyAlignment="1">
      <alignment vertical="center"/>
    </xf>
    <xf numFmtId="9" fontId="0" fillId="0" borderId="0" xfId="0" applyNumberFormat="1" applyAlignment="1">
      <alignment vertical="center"/>
    </xf>
    <xf numFmtId="166" fontId="0" fillId="0" borderId="0" xfId="2" applyNumberFormat="1" applyFont="1" applyAlignment="1">
      <alignment vertical="center"/>
    </xf>
    <xf numFmtId="0" fontId="0" fillId="0" borderId="0" xfId="0" quotePrefix="1" applyAlignment="1">
      <alignment horizontal="center" vertical="center"/>
    </xf>
    <xf numFmtId="0" fontId="0" fillId="0" borderId="0" xfId="0" applyAlignment="1">
      <alignment horizontal="left" vertical="center"/>
    </xf>
    <xf numFmtId="165" fontId="1" fillId="0" borderId="0" xfId="2" applyFont="1" applyAlignment="1">
      <alignment vertical="center"/>
    </xf>
    <xf numFmtId="0" fontId="12" fillId="0" borderId="0" xfId="0" applyFont="1" applyAlignment="1">
      <alignment horizontal="center" vertical="center"/>
    </xf>
    <xf numFmtId="0" fontId="0" fillId="6" borderId="0" xfId="0" applyFont="1" applyFill="1" applyAlignment="1">
      <alignment vertical="center"/>
    </xf>
    <xf numFmtId="171" fontId="0" fillId="0" borderId="0" xfId="0" applyNumberFormat="1" applyAlignment="1">
      <alignment vertical="center"/>
    </xf>
    <xf numFmtId="172" fontId="0" fillId="0" borderId="0" xfId="0" applyNumberFormat="1" applyAlignment="1">
      <alignment vertical="center"/>
    </xf>
    <xf numFmtId="0" fontId="23" fillId="0" borderId="0" xfId="0" applyFont="1" applyAlignment="1">
      <alignment horizontal="left" vertical="top"/>
    </xf>
    <xf numFmtId="0" fontId="0" fillId="2" borderId="1" xfId="0" applyFill="1" applyBorder="1" applyAlignment="1">
      <alignment horizontal="center" vertical="center" wrapText="1"/>
    </xf>
    <xf numFmtId="0" fontId="6" fillId="0" borderId="0" xfId="0" applyFont="1" applyAlignment="1">
      <alignment horizontal="center" vertical="center"/>
    </xf>
    <xf numFmtId="0" fontId="0" fillId="0" borderId="0" xfId="0" applyAlignment="1">
      <alignment vertical="top" wrapText="1"/>
    </xf>
    <xf numFmtId="0" fontId="0" fillId="0" borderId="0" xfId="0" applyAlignment="1">
      <alignment vertical="center" wrapText="1"/>
    </xf>
    <xf numFmtId="0" fontId="0" fillId="2" borderId="1" xfId="0" applyFill="1" applyBorder="1" applyAlignment="1">
      <alignment horizontal="center" vertical="center" wrapText="1"/>
    </xf>
    <xf numFmtId="0" fontId="3" fillId="0" borderId="2" xfId="0" applyFont="1" applyFill="1" applyBorder="1" applyAlignment="1">
      <alignment vertical="center"/>
    </xf>
    <xf numFmtId="0" fontId="0" fillId="2" borderId="3" xfId="0" applyFont="1" applyFill="1" applyBorder="1" applyAlignment="1">
      <alignment vertical="center"/>
    </xf>
    <xf numFmtId="0" fontId="3" fillId="0" borderId="0" xfId="0" applyFont="1" applyAlignment="1">
      <alignment horizontal="left" vertical="center" wrapText="1"/>
    </xf>
    <xf numFmtId="10" fontId="3" fillId="0" borderId="1" xfId="1" applyNumberFormat="1" applyFont="1" applyFill="1" applyBorder="1" applyAlignment="1">
      <alignment horizontal="center" vertical="center"/>
    </xf>
    <xf numFmtId="0" fontId="3" fillId="6" borderId="1" xfId="0" applyFont="1" applyFill="1" applyBorder="1" applyAlignment="1">
      <alignment horizontal="center" vertical="center"/>
    </xf>
    <xf numFmtId="0" fontId="3" fillId="6" borderId="2" xfId="0" applyFont="1" applyFill="1" applyBorder="1" applyAlignment="1">
      <alignment vertical="center"/>
    </xf>
    <xf numFmtId="169" fontId="3" fillId="6" borderId="1" xfId="0" applyNumberFormat="1" applyFont="1" applyFill="1" applyBorder="1" applyAlignment="1">
      <alignment vertical="center"/>
    </xf>
    <xf numFmtId="170" fontId="3" fillId="6" borderId="1" xfId="0" applyNumberFormat="1" applyFont="1" applyFill="1" applyBorder="1" applyAlignment="1">
      <alignment vertical="center"/>
    </xf>
    <xf numFmtId="166" fontId="3" fillId="6" borderId="1" xfId="0" applyNumberFormat="1" applyFont="1" applyFill="1" applyBorder="1" applyAlignment="1">
      <alignment vertical="center"/>
    </xf>
    <xf numFmtId="10" fontId="3" fillId="6" borderId="1" xfId="1" applyNumberFormat="1" applyFont="1" applyFill="1" applyBorder="1" applyAlignment="1">
      <alignment horizontal="center" vertical="center"/>
    </xf>
    <xf numFmtId="4" fontId="18" fillId="4" borderId="2" xfId="4" applyNumberFormat="1" applyFont="1" applyFill="1" applyBorder="1" applyAlignment="1">
      <alignment horizontal="right" vertical="center" wrapText="1"/>
    </xf>
    <xf numFmtId="17" fontId="0" fillId="0" borderId="0" xfId="0" applyNumberFormat="1" applyAlignment="1">
      <alignment vertical="center"/>
    </xf>
    <xf numFmtId="2" fontId="3" fillId="0" borderId="1" xfId="0" applyNumberFormat="1" applyFont="1" applyBorder="1" applyAlignment="1">
      <alignment horizontal="center" vertical="center"/>
    </xf>
    <xf numFmtId="0" fontId="24" fillId="0" borderId="0" xfId="0" applyFont="1" applyAlignment="1">
      <alignment horizontal="left" vertical="center"/>
    </xf>
    <xf numFmtId="0" fontId="25" fillId="0" borderId="0" xfId="0" applyFont="1" applyAlignment="1">
      <alignment horizontal="left"/>
    </xf>
    <xf numFmtId="0" fontId="27" fillId="0" borderId="17" xfId="0" applyFont="1" applyBorder="1" applyAlignment="1">
      <alignment horizontal="center" vertical="center"/>
    </xf>
    <xf numFmtId="0" fontId="27" fillId="0" borderId="14" xfId="0" applyFont="1" applyBorder="1" applyAlignment="1">
      <alignment horizontal="center" vertical="center"/>
    </xf>
    <xf numFmtId="0" fontId="25" fillId="0" borderId="18" xfId="0" applyFont="1" applyBorder="1" applyAlignment="1">
      <alignment vertical="center"/>
    </xf>
    <xf numFmtId="0" fontId="25" fillId="0" borderId="19" xfId="0" applyFont="1" applyBorder="1" applyAlignment="1">
      <alignment horizontal="center" vertical="center"/>
    </xf>
    <xf numFmtId="2" fontId="25" fillId="0" borderId="20" xfId="0" applyNumberFormat="1" applyFont="1" applyBorder="1" applyAlignment="1">
      <alignment horizontal="center" vertical="center"/>
    </xf>
    <xf numFmtId="2" fontId="25" fillId="0" borderId="21" xfId="0" applyNumberFormat="1" applyFont="1" applyBorder="1" applyAlignment="1">
      <alignment horizontal="center" vertical="center"/>
    </xf>
    <xf numFmtId="0" fontId="25" fillId="0" borderId="22" xfId="0" applyFont="1" applyBorder="1" applyAlignment="1">
      <alignment vertical="center"/>
    </xf>
    <xf numFmtId="179" fontId="25" fillId="0" borderId="20" xfId="0" applyNumberFormat="1" applyFont="1" applyBorder="1" applyAlignment="1">
      <alignment horizontal="center" vertical="center"/>
    </xf>
    <xf numFmtId="2" fontId="25" fillId="0" borderId="0" xfId="0" applyNumberFormat="1" applyFont="1" applyAlignment="1">
      <alignment horizontal="center" vertical="center"/>
    </xf>
    <xf numFmtId="0" fontId="25" fillId="0" borderId="20" xfId="0" applyFont="1" applyBorder="1" applyAlignment="1">
      <alignment horizontal="center" vertical="center"/>
    </xf>
    <xf numFmtId="0" fontId="25" fillId="0" borderId="23" xfId="0" applyFont="1" applyBorder="1" applyAlignment="1">
      <alignment vertical="center"/>
    </xf>
    <xf numFmtId="0" fontId="24" fillId="0" borderId="24" xfId="0" applyFont="1" applyBorder="1" applyAlignment="1">
      <alignment horizontal="right" vertical="center"/>
    </xf>
    <xf numFmtId="2" fontId="24" fillId="0" borderId="20" xfId="0" applyNumberFormat="1" applyFont="1" applyBorder="1" applyAlignment="1">
      <alignment horizontal="center" vertical="center"/>
    </xf>
    <xf numFmtId="2" fontId="24" fillId="0" borderId="25" xfId="0" applyNumberFormat="1" applyFont="1" applyBorder="1" applyAlignment="1">
      <alignment horizontal="center" vertical="center"/>
    </xf>
    <xf numFmtId="0" fontId="25" fillId="0" borderId="21" xfId="0" applyFont="1" applyBorder="1" applyAlignment="1">
      <alignment vertical="center"/>
    </xf>
    <xf numFmtId="0" fontId="25" fillId="0" borderId="25" xfId="0" applyFont="1" applyBorder="1" applyAlignment="1">
      <alignment vertical="center"/>
    </xf>
    <xf numFmtId="0" fontId="27" fillId="0" borderId="0" xfId="0" applyFont="1" applyAlignment="1">
      <alignment horizontal="center" vertical="center"/>
    </xf>
    <xf numFmtId="0" fontId="25" fillId="0" borderId="26" xfId="0" applyFont="1" applyBorder="1" applyAlignment="1">
      <alignment horizontal="center" vertical="center"/>
    </xf>
    <xf numFmtId="0" fontId="25" fillId="0" borderId="0" xfId="0" applyFont="1" applyAlignment="1">
      <alignment vertical="center"/>
    </xf>
    <xf numFmtId="0" fontId="25" fillId="0" borderId="27" xfId="0" applyFont="1" applyBorder="1" applyAlignment="1">
      <alignment horizontal="center" vertical="center"/>
    </xf>
    <xf numFmtId="0" fontId="24" fillId="0" borderId="28" xfId="0" applyFont="1" applyBorder="1" applyAlignment="1">
      <alignment horizontal="right" vertical="center"/>
    </xf>
    <xf numFmtId="2" fontId="24" fillId="0" borderId="0" xfId="0" applyNumberFormat="1" applyFont="1" applyAlignment="1">
      <alignment horizontal="center" vertical="center"/>
    </xf>
    <xf numFmtId="2" fontId="26" fillId="9" borderId="24" xfId="0" applyNumberFormat="1" applyFont="1" applyFill="1" applyBorder="1" applyAlignment="1">
      <alignment horizontal="center" vertical="center"/>
    </xf>
    <xf numFmtId="2" fontId="26" fillId="9" borderId="14" xfId="0" applyNumberFormat="1" applyFont="1" applyFill="1" applyBorder="1" applyAlignment="1">
      <alignment horizontal="center" vertical="center"/>
    </xf>
    <xf numFmtId="4" fontId="28" fillId="0" borderId="2" xfId="4" applyNumberFormat="1" applyFont="1" applyFill="1" applyBorder="1" applyAlignment="1">
      <alignment horizontal="right" vertical="center" wrapText="1"/>
    </xf>
    <xf numFmtId="4" fontId="29" fillId="0" borderId="1" xfId="0" applyNumberFormat="1" applyFont="1" applyFill="1" applyBorder="1" applyAlignment="1">
      <alignment horizontal="right" vertical="center" wrapText="1"/>
    </xf>
    <xf numFmtId="2" fontId="0" fillId="0" borderId="1" xfId="1" applyNumberFormat="1" applyFont="1" applyBorder="1" applyAlignment="1">
      <alignment vertical="center"/>
    </xf>
    <xf numFmtId="2" fontId="2" fillId="8" borderId="1" xfId="0" applyNumberFormat="1" applyFont="1" applyFill="1" applyBorder="1" applyAlignment="1">
      <alignment vertical="center"/>
    </xf>
    <xf numFmtId="0" fontId="0" fillId="2" borderId="1" xfId="0" applyFill="1" applyBorder="1" applyAlignment="1">
      <alignment horizontal="center" vertical="center" wrapText="1"/>
    </xf>
    <xf numFmtId="0" fontId="3" fillId="0" borderId="2" xfId="0" applyFont="1" applyBorder="1" applyAlignment="1">
      <alignment vertical="center"/>
    </xf>
    <xf numFmtId="0" fontId="3" fillId="0" borderId="4" xfId="0" applyFont="1" applyBorder="1" applyAlignment="1">
      <alignment vertical="center"/>
    </xf>
    <xf numFmtId="0" fontId="0" fillId="0" borderId="0" xfId="0" applyAlignment="1">
      <alignment vertical="top" wrapText="1"/>
    </xf>
    <xf numFmtId="0" fontId="3" fillId="0" borderId="1" xfId="0" applyFont="1" applyBorder="1" applyAlignment="1">
      <alignment vertical="center"/>
    </xf>
    <xf numFmtId="0" fontId="0" fillId="2" borderId="1" xfId="0" applyFill="1" applyBorder="1" applyAlignment="1">
      <alignment horizontal="center" vertical="center" wrapText="1"/>
    </xf>
    <xf numFmtId="0" fontId="0" fillId="2" borderId="1" xfId="0" applyFill="1" applyBorder="1" applyAlignment="1">
      <alignment horizontal="center" vertical="center"/>
    </xf>
    <xf numFmtId="0" fontId="0" fillId="2" borderId="2" xfId="0" applyFill="1" applyBorder="1" applyAlignment="1">
      <alignment horizontal="center" vertical="center"/>
    </xf>
    <xf numFmtId="0" fontId="0" fillId="2" borderId="2" xfId="0" applyFill="1" applyBorder="1" applyAlignment="1">
      <alignment horizontal="center" vertical="center" wrapText="1"/>
    </xf>
    <xf numFmtId="0" fontId="0" fillId="2" borderId="4" xfId="0" applyFill="1" applyBorder="1" applyAlignment="1">
      <alignment horizontal="center" vertical="center" wrapText="1"/>
    </xf>
    <xf numFmtId="0" fontId="3" fillId="0" borderId="2" xfId="0" applyFont="1" applyFill="1" applyBorder="1" applyAlignment="1">
      <alignment vertical="center"/>
    </xf>
    <xf numFmtId="0" fontId="3" fillId="0" borderId="2" xfId="0" applyFont="1" applyBorder="1" applyAlignment="1">
      <alignment vertical="center"/>
    </xf>
    <xf numFmtId="0" fontId="3" fillId="0" borderId="4" xfId="0" applyFont="1" applyBorder="1" applyAlignment="1">
      <alignment vertical="center"/>
    </xf>
    <xf numFmtId="2" fontId="3" fillId="0" borderId="1" xfId="0" applyNumberFormat="1" applyFont="1" applyBorder="1" applyAlignment="1">
      <alignment horizontal="center" vertical="center"/>
    </xf>
    <xf numFmtId="0" fontId="3" fillId="0" borderId="1" xfId="0" applyFont="1" applyBorder="1" applyAlignment="1">
      <alignment horizontal="center" vertical="center"/>
    </xf>
    <xf numFmtId="0" fontId="3" fillId="2" borderId="2" xfId="0" applyFont="1" applyFill="1" applyBorder="1" applyAlignment="1">
      <alignment vertical="center"/>
    </xf>
    <xf numFmtId="0" fontId="3" fillId="2" borderId="4" xfId="0" applyFont="1" applyFill="1" applyBorder="1" applyAlignment="1">
      <alignment vertical="center"/>
    </xf>
    <xf numFmtId="0" fontId="0" fillId="0" borderId="1" xfId="0" applyBorder="1" applyAlignment="1">
      <alignment vertical="center"/>
    </xf>
    <xf numFmtId="0" fontId="3" fillId="2" borderId="2" xfId="0" applyFont="1" applyFill="1" applyBorder="1" applyAlignment="1">
      <alignment horizontal="left" vertical="center" wrapText="1"/>
    </xf>
    <xf numFmtId="0" fontId="3" fillId="0" borderId="1" xfId="0" applyFont="1" applyBorder="1" applyAlignment="1">
      <alignment vertical="center" wrapText="1"/>
    </xf>
    <xf numFmtId="0" fontId="3" fillId="0" borderId="2" xfId="0" applyFont="1" applyFill="1" applyBorder="1" applyAlignment="1">
      <alignment vertical="center"/>
    </xf>
    <xf numFmtId="0" fontId="3" fillId="0" borderId="2" xfId="0" applyFont="1" applyFill="1" applyBorder="1" applyAlignment="1">
      <alignment vertical="center"/>
    </xf>
    <xf numFmtId="0" fontId="3" fillId="0" borderId="4" xfId="0" applyFont="1" applyFill="1" applyBorder="1" applyAlignment="1">
      <alignment vertical="center"/>
    </xf>
    <xf numFmtId="0" fontId="2" fillId="0" borderId="0" xfId="0" applyFont="1" applyFill="1" applyAlignment="1">
      <alignment horizontal="right" vertical="top"/>
    </xf>
    <xf numFmtId="0" fontId="2" fillId="0" borderId="0" xfId="0" applyFont="1" applyFill="1" applyAlignment="1">
      <alignment horizontal="right" vertical="center"/>
    </xf>
    <xf numFmtId="0" fontId="0" fillId="0" borderId="0" xfId="0" applyFill="1" applyAlignment="1">
      <alignment vertical="top"/>
    </xf>
    <xf numFmtId="2" fontId="0" fillId="0" borderId="0" xfId="0" applyNumberFormat="1" applyFill="1" applyAlignment="1">
      <alignment horizontal="right" vertical="top"/>
    </xf>
    <xf numFmtId="167" fontId="0" fillId="0" borderId="0" xfId="0" applyNumberFormat="1" applyFill="1" applyAlignment="1">
      <alignment horizontal="left" vertical="center"/>
    </xf>
    <xf numFmtId="174" fontId="3" fillId="0" borderId="1" xfId="1" applyNumberFormat="1" applyFont="1" applyFill="1" applyBorder="1" applyAlignment="1">
      <alignment horizontal="center" vertical="center"/>
    </xf>
    <xf numFmtId="0" fontId="3" fillId="10" borderId="1" xfId="0" applyFont="1" applyFill="1" applyBorder="1" applyAlignment="1">
      <alignment horizontal="center" vertical="center"/>
    </xf>
    <xf numFmtId="0" fontId="3" fillId="10" borderId="2" xfId="0" applyFont="1" applyFill="1" applyBorder="1" applyAlignment="1">
      <alignment vertical="center"/>
    </xf>
    <xf numFmtId="0" fontId="3" fillId="10" borderId="4" xfId="0" applyFont="1" applyFill="1" applyBorder="1" applyAlignment="1">
      <alignment vertical="center"/>
    </xf>
    <xf numFmtId="4" fontId="3" fillId="10" borderId="1" xfId="0" applyNumberFormat="1" applyFont="1" applyFill="1" applyBorder="1" applyAlignment="1">
      <alignment vertical="center"/>
    </xf>
    <xf numFmtId="174" fontId="3" fillId="10" borderId="1" xfId="1" applyNumberFormat="1" applyFont="1" applyFill="1" applyBorder="1" applyAlignment="1">
      <alignment horizontal="center" vertical="center"/>
    </xf>
    <xf numFmtId="4" fontId="36" fillId="11" borderId="1" xfId="0" applyNumberFormat="1" applyFont="1" applyFill="1" applyBorder="1" applyAlignment="1">
      <alignment horizontal="right" vertical="center" wrapText="1"/>
    </xf>
    <xf numFmtId="4" fontId="34" fillId="0" borderId="1" xfId="0" applyNumberFormat="1" applyFont="1" applyFill="1" applyBorder="1"/>
    <xf numFmtId="4" fontId="35" fillId="0" borderId="1" xfId="0" applyNumberFormat="1" applyFont="1" applyFill="1" applyBorder="1" applyAlignment="1">
      <alignment horizontal="right" vertical="center"/>
    </xf>
    <xf numFmtId="0" fontId="3" fillId="0" borderId="3" xfId="0" applyFont="1" applyFill="1" applyBorder="1" applyAlignment="1">
      <alignment vertical="center"/>
    </xf>
    <xf numFmtId="0" fontId="3" fillId="10" borderId="1" xfId="0" applyFont="1" applyFill="1" applyBorder="1" applyAlignment="1">
      <alignment vertical="center"/>
    </xf>
    <xf numFmtId="4" fontId="34" fillId="10" borderId="1" xfId="0" applyNumberFormat="1" applyFont="1" applyFill="1" applyBorder="1"/>
    <xf numFmtId="4" fontId="35" fillId="10" borderId="1" xfId="0" applyNumberFormat="1" applyFont="1" applyFill="1" applyBorder="1" applyAlignment="1">
      <alignment horizontal="right" vertical="center"/>
    </xf>
    <xf numFmtId="2" fontId="0" fillId="0" borderId="0" xfId="0" applyNumberFormat="1" applyFill="1" applyAlignment="1">
      <alignment vertical="top"/>
    </xf>
    <xf numFmtId="0" fontId="6" fillId="0" borderId="0" xfId="0" applyFont="1" applyAlignment="1">
      <alignment horizontal="center" vertical="center"/>
    </xf>
    <xf numFmtId="0" fontId="0" fillId="0" borderId="0" xfId="0" applyAlignment="1">
      <alignment vertical="top" wrapText="1"/>
    </xf>
    <xf numFmtId="0" fontId="0" fillId="0" borderId="0" xfId="0" applyAlignment="1">
      <alignment vertical="center" wrapText="1"/>
    </xf>
    <xf numFmtId="0" fontId="3" fillId="0" borderId="1" xfId="0" applyFont="1" applyBorder="1" applyAlignment="1">
      <alignment vertical="center"/>
    </xf>
    <xf numFmtId="0" fontId="0" fillId="2" borderId="7" xfId="0" applyFill="1" applyBorder="1" applyAlignment="1">
      <alignment horizontal="center" vertical="center"/>
    </xf>
    <xf numFmtId="0" fontId="0" fillId="2" borderId="13" xfId="0" applyFill="1" applyBorder="1" applyAlignment="1">
      <alignment horizontal="center" vertical="center"/>
    </xf>
    <xf numFmtId="0" fontId="0" fillId="2" borderId="8" xfId="0" applyFill="1" applyBorder="1" applyAlignment="1">
      <alignment horizontal="center" vertical="center"/>
    </xf>
    <xf numFmtId="0" fontId="0" fillId="2" borderId="9" xfId="0" applyFill="1" applyBorder="1" applyAlignment="1">
      <alignment horizontal="center" vertical="center"/>
    </xf>
    <xf numFmtId="0" fontId="0" fillId="2" borderId="12" xfId="0" applyFill="1" applyBorder="1" applyAlignment="1">
      <alignment horizontal="center" vertical="center"/>
    </xf>
    <xf numFmtId="0" fontId="0" fillId="2" borderId="10" xfId="0" applyFill="1" applyBorder="1" applyAlignment="1">
      <alignment horizontal="center" vertical="center"/>
    </xf>
    <xf numFmtId="0" fontId="3" fillId="0" borderId="2" xfId="0" applyFont="1" applyBorder="1" applyAlignment="1">
      <alignment vertical="center" wrapText="1"/>
    </xf>
    <xf numFmtId="0" fontId="3" fillId="0" borderId="3" xfId="0" applyFont="1" applyBorder="1" applyAlignment="1">
      <alignment vertical="center" wrapText="1"/>
    </xf>
    <xf numFmtId="0" fontId="3" fillId="0" borderId="4" xfId="0" applyFont="1" applyBorder="1" applyAlignment="1">
      <alignment vertical="center" wrapText="1"/>
    </xf>
    <xf numFmtId="0" fontId="0" fillId="2" borderId="5" xfId="0" applyFill="1" applyBorder="1" applyAlignment="1">
      <alignment horizontal="center" vertical="center"/>
    </xf>
    <xf numFmtId="0" fontId="0" fillId="2" borderId="6" xfId="0" applyFill="1" applyBorder="1" applyAlignment="1">
      <alignment horizontal="center" vertical="center"/>
    </xf>
    <xf numFmtId="0" fontId="0" fillId="2" borderId="1" xfId="0" applyFill="1" applyBorder="1" applyAlignment="1">
      <alignment horizontal="center" vertical="center" wrapText="1"/>
    </xf>
    <xf numFmtId="0" fontId="0" fillId="2" borderId="1" xfId="0" applyFill="1" applyBorder="1" applyAlignment="1">
      <alignment horizontal="center" vertical="center"/>
    </xf>
    <xf numFmtId="0" fontId="0" fillId="0" borderId="0" xfId="0" applyAlignment="1">
      <alignment horizontal="justify" vertical="center" wrapText="1"/>
    </xf>
    <xf numFmtId="0" fontId="0" fillId="2" borderId="2" xfId="0" applyFill="1" applyBorder="1" applyAlignment="1">
      <alignment vertical="center" wrapText="1"/>
    </xf>
    <xf numFmtId="0" fontId="0" fillId="2" borderId="4" xfId="0" applyFill="1" applyBorder="1" applyAlignment="1">
      <alignment vertical="center" wrapText="1"/>
    </xf>
    <xf numFmtId="0" fontId="0" fillId="2" borderId="2" xfId="0" applyFill="1" applyBorder="1" applyAlignment="1">
      <alignment horizontal="center" vertical="center"/>
    </xf>
    <xf numFmtId="0" fontId="0" fillId="2" borderId="4" xfId="0" applyFill="1" applyBorder="1" applyAlignment="1">
      <alignment horizontal="center" vertical="center"/>
    </xf>
    <xf numFmtId="10" fontId="0" fillId="5" borderId="0" xfId="1" applyNumberFormat="1" applyFont="1" applyFill="1" applyAlignment="1">
      <alignment horizontal="left" vertical="top"/>
    </xf>
    <xf numFmtId="0" fontId="0" fillId="0" borderId="0" xfId="0" applyAlignment="1">
      <alignment horizontal="left" vertical="top" wrapText="1"/>
    </xf>
    <xf numFmtId="0" fontId="3" fillId="0" borderId="7" xfId="0" applyFont="1" applyFill="1" applyBorder="1" applyAlignment="1">
      <alignment vertical="center" wrapText="1"/>
    </xf>
    <xf numFmtId="0" fontId="3" fillId="0" borderId="8" xfId="0" applyFont="1" applyFill="1" applyBorder="1" applyAlignment="1">
      <alignment vertical="center" wrapText="1"/>
    </xf>
    <xf numFmtId="0" fontId="0" fillId="2" borderId="2" xfId="0" applyFill="1" applyBorder="1" applyAlignment="1">
      <alignment horizontal="center" vertical="center" wrapText="1"/>
    </xf>
    <xf numFmtId="0" fontId="0" fillId="2" borderId="4" xfId="0" applyFill="1" applyBorder="1" applyAlignment="1">
      <alignment horizontal="center" vertical="center" wrapText="1"/>
    </xf>
    <xf numFmtId="0" fontId="3" fillId="0" borderId="2" xfId="0" applyFont="1" applyFill="1" applyBorder="1" applyAlignment="1">
      <alignment vertical="center" wrapText="1"/>
    </xf>
    <xf numFmtId="0" fontId="3" fillId="0" borderId="4" xfId="0" applyFont="1" applyFill="1" applyBorder="1" applyAlignment="1">
      <alignment vertical="center" wrapText="1"/>
    </xf>
    <xf numFmtId="0" fontId="3" fillId="0" borderId="9" xfId="0" applyFont="1" applyFill="1" applyBorder="1" applyAlignment="1">
      <alignment vertical="center" wrapText="1"/>
    </xf>
    <xf numFmtId="0" fontId="3" fillId="0" borderId="10" xfId="0" applyFont="1" applyFill="1" applyBorder="1" applyAlignment="1">
      <alignment vertical="center" wrapText="1"/>
    </xf>
    <xf numFmtId="0" fontId="3" fillId="0" borderId="2" xfId="0" applyFont="1" applyFill="1" applyBorder="1" applyAlignment="1">
      <alignment vertical="top" wrapText="1"/>
    </xf>
    <xf numFmtId="0" fontId="3" fillId="0" borderId="4" xfId="0" applyFont="1" applyFill="1" applyBorder="1" applyAlignment="1">
      <alignment vertical="top" wrapText="1"/>
    </xf>
    <xf numFmtId="0" fontId="3" fillId="0" borderId="2" xfId="0" applyFont="1" applyFill="1" applyBorder="1" applyAlignment="1">
      <alignment vertical="center"/>
    </xf>
    <xf numFmtId="0" fontId="3" fillId="0" borderId="4" xfId="0" applyFont="1" applyFill="1" applyBorder="1" applyAlignment="1">
      <alignment vertical="center"/>
    </xf>
    <xf numFmtId="0" fontId="3" fillId="0" borderId="2" xfId="0" applyFont="1" applyFill="1" applyBorder="1" applyAlignment="1">
      <alignment horizontal="left" vertical="center"/>
    </xf>
    <xf numFmtId="0" fontId="3" fillId="0" borderId="4" xfId="0" applyFont="1" applyFill="1" applyBorder="1" applyAlignment="1">
      <alignment horizontal="left" vertical="center"/>
    </xf>
    <xf numFmtId="0" fontId="0" fillId="2" borderId="3" xfId="0" applyFont="1" applyFill="1" applyBorder="1" applyAlignment="1">
      <alignment vertical="center"/>
    </xf>
    <xf numFmtId="0" fontId="3" fillId="0" borderId="2" xfId="0" applyFont="1" applyBorder="1" applyAlignment="1">
      <alignment vertical="center"/>
    </xf>
    <xf numFmtId="0" fontId="3" fillId="0" borderId="4" xfId="0" applyFont="1" applyBorder="1" applyAlignment="1">
      <alignment vertical="center"/>
    </xf>
    <xf numFmtId="0" fontId="3" fillId="0" borderId="0" xfId="0" applyFont="1" applyAlignment="1">
      <alignment horizontal="left" vertical="center" wrapText="1"/>
    </xf>
    <xf numFmtId="0" fontId="3" fillId="0" borderId="7" xfId="0" applyFont="1" applyBorder="1" applyAlignment="1">
      <alignment vertical="center"/>
    </xf>
    <xf numFmtId="0" fontId="3" fillId="0" borderId="8" xfId="0" applyFont="1" applyBorder="1" applyAlignment="1">
      <alignment vertical="center"/>
    </xf>
    <xf numFmtId="0" fontId="3" fillId="0" borderId="0" xfId="0" applyFont="1" applyAlignment="1">
      <alignment horizontal="justify" vertical="top" wrapText="1"/>
    </xf>
    <xf numFmtId="4" fontId="3" fillId="0" borderId="2" xfId="0" applyNumberFormat="1" applyFont="1" applyBorder="1" applyAlignment="1">
      <alignment vertical="center"/>
    </xf>
    <xf numFmtId="4" fontId="3" fillId="0" borderId="4" xfId="0" applyNumberFormat="1" applyFont="1" applyBorder="1" applyAlignment="1">
      <alignment vertical="center"/>
    </xf>
    <xf numFmtId="0" fontId="6" fillId="8" borderId="1" xfId="0" applyFont="1" applyFill="1" applyBorder="1" applyAlignment="1">
      <alignment horizontal="center" vertical="center"/>
    </xf>
    <xf numFmtId="0" fontId="0" fillId="0" borderId="0" xfId="0" applyAlignment="1">
      <alignment horizontal="left" vertical="center" wrapText="1"/>
    </xf>
    <xf numFmtId="0" fontId="2" fillId="2" borderId="1" xfId="0" applyFont="1" applyFill="1" applyBorder="1" applyAlignment="1">
      <alignment horizontal="center" vertical="center"/>
    </xf>
    <xf numFmtId="0" fontId="2" fillId="8" borderId="1" xfId="0" applyFont="1" applyFill="1" applyBorder="1" applyAlignment="1">
      <alignment horizontal="right" vertical="center"/>
    </xf>
    <xf numFmtId="0" fontId="22" fillId="0" borderId="0" xfId="0" applyFont="1" applyAlignment="1">
      <alignment horizontal="justify" vertical="center" wrapText="1"/>
    </xf>
    <xf numFmtId="2" fontId="3" fillId="0" borderId="1" xfId="0" applyNumberFormat="1" applyFont="1" applyBorder="1" applyAlignment="1">
      <alignment horizontal="center" vertical="center"/>
    </xf>
    <xf numFmtId="2" fontId="0" fillId="2" borderId="1" xfId="0" applyNumberFormat="1" applyFill="1" applyBorder="1" applyAlignment="1">
      <alignment horizontal="center" vertical="center"/>
    </xf>
    <xf numFmtId="0" fontId="3" fillId="0" borderId="1" xfId="0" applyFont="1" applyBorder="1" applyAlignment="1">
      <alignment horizontal="center" vertical="center"/>
    </xf>
    <xf numFmtId="9" fontId="3" fillId="0" borderId="1" xfId="1" applyFont="1" applyBorder="1" applyAlignment="1">
      <alignment vertical="center"/>
    </xf>
    <xf numFmtId="9" fontId="0" fillId="2" borderId="1" xfId="1" applyFont="1" applyFill="1" applyBorder="1" applyAlignment="1">
      <alignment vertical="center"/>
    </xf>
    <xf numFmtId="0" fontId="0" fillId="2" borderId="3" xfId="0" applyFill="1" applyBorder="1" applyAlignment="1">
      <alignment horizontal="center" vertical="center"/>
    </xf>
    <xf numFmtId="0" fontId="3" fillId="2" borderId="2" xfId="0" applyFont="1" applyFill="1" applyBorder="1" applyAlignment="1">
      <alignment vertical="center"/>
    </xf>
    <xf numFmtId="0" fontId="3" fillId="2" borderId="4" xfId="0" applyFont="1" applyFill="1" applyBorder="1" applyAlignment="1">
      <alignment vertical="center"/>
    </xf>
    <xf numFmtId="0" fontId="10" fillId="0" borderId="2" xfId="0" applyFont="1" applyBorder="1" applyAlignment="1">
      <alignment horizontal="left" vertical="center" indent="2"/>
    </xf>
    <xf numFmtId="0" fontId="10" fillId="0" borderId="4" xfId="0" applyFont="1" applyBorder="1" applyAlignment="1">
      <alignment horizontal="left" vertical="center" indent="2"/>
    </xf>
    <xf numFmtId="0" fontId="0" fillId="2" borderId="2" xfId="0" applyFont="1" applyFill="1" applyBorder="1" applyAlignment="1">
      <alignment vertical="center"/>
    </xf>
    <xf numFmtId="0" fontId="0" fillId="2" borderId="4" xfId="0" applyFont="1" applyFill="1" applyBorder="1" applyAlignment="1">
      <alignment vertical="center"/>
    </xf>
    <xf numFmtId="0" fontId="3" fillId="0" borderId="0" xfId="0" applyFont="1" applyAlignment="1">
      <alignment vertical="top" wrapText="1"/>
    </xf>
    <xf numFmtId="0" fontId="3" fillId="0" borderId="2" xfId="0" applyFont="1" applyBorder="1" applyAlignment="1">
      <alignment horizontal="left" vertical="center"/>
    </xf>
    <xf numFmtId="0" fontId="3" fillId="0" borderId="3" xfId="0" applyFont="1" applyBorder="1" applyAlignment="1">
      <alignment horizontal="left" vertical="center"/>
    </xf>
    <xf numFmtId="0" fontId="3" fillId="0" borderId="4" xfId="0" applyFont="1" applyBorder="1" applyAlignment="1">
      <alignment horizontal="left" vertical="center"/>
    </xf>
    <xf numFmtId="0" fontId="7" fillId="2" borderId="2" xfId="0" applyFont="1" applyFill="1" applyBorder="1" applyAlignment="1">
      <alignment horizontal="center" vertical="center"/>
    </xf>
    <xf numFmtId="0" fontId="7" fillId="2" borderId="3" xfId="0" applyFont="1" applyFill="1" applyBorder="1" applyAlignment="1">
      <alignment horizontal="center" vertical="center"/>
    </xf>
    <xf numFmtId="0" fontId="7" fillId="2" borderId="4" xfId="0" applyFont="1" applyFill="1" applyBorder="1" applyAlignment="1">
      <alignment horizontal="center" vertical="center"/>
    </xf>
    <xf numFmtId="0" fontId="0" fillId="0" borderId="2" xfId="0" applyBorder="1" applyAlignment="1">
      <alignment horizontal="right" vertical="center" wrapText="1"/>
    </xf>
    <xf numFmtId="0" fontId="0" fillId="0" borderId="3" xfId="0" applyBorder="1" applyAlignment="1">
      <alignment horizontal="right" vertical="center" wrapText="1"/>
    </xf>
    <xf numFmtId="0" fontId="5" fillId="0" borderId="12" xfId="0" applyFont="1" applyBorder="1" applyAlignment="1">
      <alignment horizontal="center" vertical="center"/>
    </xf>
    <xf numFmtId="0" fontId="7" fillId="2" borderId="1" xfId="0" applyFont="1" applyFill="1" applyBorder="1" applyAlignment="1">
      <alignment horizontal="center" vertical="center"/>
    </xf>
    <xf numFmtId="0" fontId="0" fillId="0" borderId="1" xfId="0" applyBorder="1" applyAlignment="1">
      <alignment horizontal="center" vertical="center"/>
    </xf>
    <xf numFmtId="0" fontId="0" fillId="0" borderId="1" xfId="0" applyBorder="1" applyAlignment="1">
      <alignment vertical="center"/>
    </xf>
    <xf numFmtId="0" fontId="5" fillId="0" borderId="0" xfId="0" applyFont="1" applyAlignment="1">
      <alignment horizontal="center" vertical="center"/>
    </xf>
    <xf numFmtId="0" fontId="0" fillId="0" borderId="1" xfId="0" applyBorder="1" applyAlignment="1">
      <alignment vertical="center" wrapText="1"/>
    </xf>
    <xf numFmtId="17" fontId="7" fillId="0" borderId="0" xfId="0" applyNumberFormat="1" applyFont="1" applyAlignment="1">
      <alignment horizontal="center" vertical="center"/>
    </xf>
    <xf numFmtId="0" fontId="13" fillId="0" borderId="0" xfId="3" applyAlignment="1">
      <alignment horizontal="center" wrapText="1"/>
    </xf>
    <xf numFmtId="0" fontId="25" fillId="0" borderId="29" xfId="4" applyFont="1" applyBorder="1" applyAlignment="1">
      <alignment horizontal="left" vertical="center" wrapText="1"/>
    </xf>
    <xf numFmtId="0" fontId="25" fillId="0" borderId="30" xfId="4" applyFont="1" applyBorder="1" applyAlignment="1">
      <alignment horizontal="left" vertical="center" wrapText="1"/>
    </xf>
    <xf numFmtId="0" fontId="25" fillId="0" borderId="31" xfId="4" applyFont="1" applyBorder="1" applyAlignment="1">
      <alignment horizontal="left" vertical="center" wrapText="1"/>
    </xf>
    <xf numFmtId="0" fontId="25" fillId="0" borderId="32" xfId="4" applyFont="1" applyBorder="1" applyAlignment="1">
      <alignment horizontal="left" vertical="center" wrapText="1"/>
    </xf>
    <xf numFmtId="0" fontId="26" fillId="9" borderId="14" xfId="0" applyFont="1" applyFill="1" applyBorder="1" applyAlignment="1">
      <alignment horizontal="center" vertical="center"/>
    </xf>
    <xf numFmtId="0" fontId="26" fillId="9" borderId="15" xfId="0" applyFont="1" applyFill="1" applyBorder="1" applyAlignment="1">
      <alignment horizontal="center" vertical="center"/>
    </xf>
    <xf numFmtId="0" fontId="26" fillId="9" borderId="16" xfId="0" applyFont="1" applyFill="1" applyBorder="1" applyAlignment="1">
      <alignment horizontal="center" vertical="center"/>
    </xf>
    <xf numFmtId="0" fontId="27" fillId="0" borderId="15" xfId="0" applyFont="1" applyBorder="1" applyAlignment="1">
      <alignment horizontal="center" vertical="center"/>
    </xf>
    <xf numFmtId="0" fontId="27" fillId="0" borderId="17" xfId="0" applyFont="1" applyBorder="1" applyAlignment="1">
      <alignment horizontal="center" vertical="center"/>
    </xf>
    <xf numFmtId="0" fontId="27" fillId="0" borderId="18" xfId="0" applyFont="1" applyBorder="1" applyAlignment="1">
      <alignment horizontal="center" vertical="center"/>
    </xf>
    <xf numFmtId="0" fontId="27" fillId="0" borderId="26" xfId="0" applyFont="1" applyBorder="1" applyAlignment="1">
      <alignment horizontal="center" vertical="center"/>
    </xf>
    <xf numFmtId="0" fontId="26" fillId="9" borderId="12" xfId="0" applyFont="1" applyFill="1" applyBorder="1" applyAlignment="1">
      <alignment horizontal="right" vertical="center"/>
    </xf>
    <xf numFmtId="0" fontId="0" fillId="0" borderId="0" xfId="0" applyFill="1" applyAlignment="1">
      <alignment vertical="top" wrapText="1"/>
    </xf>
    <xf numFmtId="0" fontId="0" fillId="2" borderId="2" xfId="0" applyFont="1" applyFill="1" applyBorder="1" applyAlignment="1">
      <alignment horizontal="center" vertical="top"/>
    </xf>
    <xf numFmtId="0" fontId="0" fillId="2" borderId="3" xfId="0" applyFont="1" applyFill="1" applyBorder="1" applyAlignment="1">
      <alignment horizontal="center" vertical="top"/>
    </xf>
    <xf numFmtId="0" fontId="0" fillId="2" borderId="4" xfId="0" applyFont="1" applyFill="1" applyBorder="1" applyAlignment="1">
      <alignment horizontal="center" vertical="top"/>
    </xf>
    <xf numFmtId="9" fontId="0" fillId="2" borderId="1" xfId="1" applyFont="1" applyFill="1" applyBorder="1" applyAlignment="1">
      <alignment horizontal="center" vertical="center"/>
    </xf>
  </cellXfs>
  <cellStyles count="18">
    <cellStyle name="Hiperlink" xfId="3" builtinId="8"/>
    <cellStyle name="Hiperlink 2" xfId="8"/>
    <cellStyle name="Moeda" xfId="2" builtinId="4"/>
    <cellStyle name="Moeda 2" xfId="9"/>
    <cellStyle name="Normal" xfId="0" builtinId="0"/>
    <cellStyle name="Normal 2" xfId="6"/>
    <cellStyle name="Normal 2 2" xfId="11"/>
    <cellStyle name="Normal 2 3" xfId="10"/>
    <cellStyle name="Normal 3" xfId="4"/>
    <cellStyle name="Normal 3 2" xfId="12"/>
    <cellStyle name="Normal 4" xfId="7"/>
    <cellStyle name="Porcentagem" xfId="1" builtinId="5"/>
    <cellStyle name="Porcentagem 2" xfId="5"/>
    <cellStyle name="Porcentagem 3" xfId="13"/>
    <cellStyle name="Vírgula 2" xfId="15"/>
    <cellStyle name="Vírgula 2 2" xfId="16"/>
    <cellStyle name="Vírgula 3" xfId="17"/>
    <cellStyle name="Vírgula 4" xfId="14"/>
  </cellStyles>
  <dxfs count="5">
    <dxf>
      <fill>
        <patternFill>
          <bgColor theme="9" tint="0.59996337778862885"/>
        </patternFill>
      </fill>
    </dxf>
    <dxf>
      <fill>
        <patternFill>
          <bgColor theme="9" tint="0.59996337778862885"/>
        </patternFill>
      </fill>
    </dxf>
    <dxf>
      <fill>
        <patternFill>
          <bgColor theme="9" tint="0.59996337778862885"/>
        </patternFill>
      </fill>
    </dxf>
    <dxf>
      <fill>
        <patternFill>
          <bgColor theme="9" tint="0.59996337778862885"/>
        </patternFill>
      </fill>
    </dxf>
    <dxf>
      <fill>
        <patternFill>
          <bgColor theme="1" tint="0.499984740745262"/>
        </patternFill>
      </fill>
      <border>
        <top style="thin">
          <color theme="0"/>
        </top>
        <bottom style="thin">
          <color theme="0"/>
        </bottom>
      </border>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2.xml"/><Relationship Id="rId18" Type="http://schemas.openxmlformats.org/officeDocument/2006/relationships/worksheet" Target="worksheets/sheet17.xml"/><Relationship Id="rId26" Type="http://schemas.openxmlformats.org/officeDocument/2006/relationships/worksheet" Target="worksheets/sheet25.xml"/><Relationship Id="rId3" Type="http://schemas.openxmlformats.org/officeDocument/2006/relationships/worksheet" Target="worksheets/sheet3.xml"/><Relationship Id="rId21" Type="http://schemas.openxmlformats.org/officeDocument/2006/relationships/worksheet" Target="worksheets/sheet20.xml"/><Relationship Id="rId7" Type="http://schemas.openxmlformats.org/officeDocument/2006/relationships/worksheet" Target="worksheets/sheet6.xml"/><Relationship Id="rId12" Type="http://schemas.openxmlformats.org/officeDocument/2006/relationships/worksheet" Target="worksheets/sheet11.xml"/><Relationship Id="rId17" Type="http://schemas.openxmlformats.org/officeDocument/2006/relationships/worksheet" Target="worksheets/sheet16.xml"/><Relationship Id="rId25" Type="http://schemas.openxmlformats.org/officeDocument/2006/relationships/worksheet" Target="worksheets/sheet24.xml"/><Relationship Id="rId33"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worksheet" Target="worksheets/sheet15.xml"/><Relationship Id="rId20" Type="http://schemas.openxmlformats.org/officeDocument/2006/relationships/worksheet" Target="worksheets/sheet19.xml"/><Relationship Id="rId29" Type="http://schemas.openxmlformats.org/officeDocument/2006/relationships/worksheet" Target="worksheets/sheet28.xml"/><Relationship Id="rId1" Type="http://schemas.openxmlformats.org/officeDocument/2006/relationships/worksheet" Target="worksheets/sheet1.xml"/><Relationship Id="rId6" Type="http://schemas.openxmlformats.org/officeDocument/2006/relationships/worksheet" Target="worksheets/sheet5.xml"/><Relationship Id="rId11" Type="http://schemas.openxmlformats.org/officeDocument/2006/relationships/worksheet" Target="worksheets/sheet10.xml"/><Relationship Id="rId24" Type="http://schemas.openxmlformats.org/officeDocument/2006/relationships/worksheet" Target="worksheets/sheet23.xml"/><Relationship Id="rId32" Type="http://schemas.openxmlformats.org/officeDocument/2006/relationships/sharedStrings" Target="sharedStrings.xml"/><Relationship Id="rId5" Type="http://schemas.openxmlformats.org/officeDocument/2006/relationships/worksheet" Target="worksheets/sheet4.xml"/><Relationship Id="rId15" Type="http://schemas.openxmlformats.org/officeDocument/2006/relationships/worksheet" Target="worksheets/sheet14.xml"/><Relationship Id="rId23" Type="http://schemas.openxmlformats.org/officeDocument/2006/relationships/worksheet" Target="worksheets/sheet22.xml"/><Relationship Id="rId28" Type="http://schemas.openxmlformats.org/officeDocument/2006/relationships/worksheet" Target="worksheets/sheet27.xml"/><Relationship Id="rId10" Type="http://schemas.openxmlformats.org/officeDocument/2006/relationships/worksheet" Target="worksheets/sheet9.xml"/><Relationship Id="rId19" Type="http://schemas.openxmlformats.org/officeDocument/2006/relationships/worksheet" Target="worksheets/sheet18.xml"/><Relationship Id="rId31" Type="http://schemas.openxmlformats.org/officeDocument/2006/relationships/styles" Target="styles.xml"/><Relationship Id="rId4" Type="http://schemas.openxmlformats.org/officeDocument/2006/relationships/chartsheet" Target="chartsheets/sheet1.xml"/><Relationship Id="rId9" Type="http://schemas.openxmlformats.org/officeDocument/2006/relationships/worksheet" Target="worksheets/sheet8.xml"/><Relationship Id="rId14" Type="http://schemas.openxmlformats.org/officeDocument/2006/relationships/worksheet" Target="worksheets/sheet13.xml"/><Relationship Id="rId22" Type="http://schemas.openxmlformats.org/officeDocument/2006/relationships/worksheet" Target="worksheets/sheet21.xml"/><Relationship Id="rId27" Type="http://schemas.openxmlformats.org/officeDocument/2006/relationships/worksheet" Target="worksheets/sheet26.xml"/><Relationship Id="rId30" Type="http://schemas.openxmlformats.org/officeDocument/2006/relationships/theme" Target="theme/theme1.xml"/><Relationship Id="rId8" Type="http://schemas.openxmlformats.org/officeDocument/2006/relationships/worksheet" Target="worksheets/sheet7.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pt-BR"/>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ysClr val="windowText" lastClr="000000"/>
                </a:solidFill>
                <a:latin typeface="+mn-lt"/>
                <a:ea typeface="+mn-ea"/>
                <a:cs typeface="+mn-cs"/>
              </a:defRPr>
            </a:pPr>
            <a:r>
              <a:rPr lang="pt-BR" sz="1400" b="1" i="0" u="none" strike="noStrike" baseline="0">
                <a:effectLst/>
              </a:rPr>
              <a:t>Projeto Executivo de Engenharia para Implantação do Aeródromo no município de Ribas do Rio Pardo/MS - Cronograma Físico</a:t>
            </a:r>
            <a:endParaRPr lang="pt-BR" sz="1400">
              <a:solidFill>
                <a:sysClr val="windowText" lastClr="000000"/>
              </a:solidFill>
            </a:endParaRPr>
          </a:p>
        </c:rich>
      </c:tx>
      <c:layout>
        <c:manualLayout>
          <c:xMode val="edge"/>
          <c:yMode val="edge"/>
          <c:x val="0.25661938573467791"/>
          <c:y val="1.0626368451057994E-2"/>
        </c:manualLayout>
      </c:layout>
      <c:overlay val="0"/>
      <c:spPr>
        <a:noFill/>
        <a:ln>
          <a:noFill/>
        </a:ln>
        <a:effectLst/>
      </c:spPr>
      <c:txPr>
        <a:bodyPr rot="0" spcFirstLastPara="1" vertOverflow="ellipsis" vert="horz" wrap="square" anchor="ctr" anchorCtr="1"/>
        <a:lstStyle/>
        <a:p>
          <a:pPr>
            <a:defRPr sz="1400" b="0" i="0" u="none" strike="noStrike" kern="1200" spc="0" baseline="0">
              <a:solidFill>
                <a:sysClr val="windowText" lastClr="000000"/>
              </a:solidFill>
              <a:latin typeface="+mn-lt"/>
              <a:ea typeface="+mn-ea"/>
              <a:cs typeface="+mn-cs"/>
            </a:defRPr>
          </a:pPr>
          <a:endParaRPr lang="pt-BR"/>
        </a:p>
      </c:txPr>
    </c:title>
    <c:autoTitleDeleted val="0"/>
    <c:plotArea>
      <c:layout>
        <c:manualLayout>
          <c:layoutTarget val="inner"/>
          <c:xMode val="edge"/>
          <c:yMode val="edge"/>
          <c:x val="0.27981537044711519"/>
          <c:y val="6.6000501248991303E-2"/>
          <c:w val="0.70625692211008839"/>
          <c:h val="0.91926965950347417"/>
        </c:manualLayout>
      </c:layout>
      <c:barChart>
        <c:barDir val="bar"/>
        <c:grouping val="stacked"/>
        <c:varyColors val="0"/>
        <c:ser>
          <c:idx val="1"/>
          <c:order val="0"/>
          <c:spPr>
            <a:noFill/>
            <a:ln>
              <a:noFill/>
            </a:ln>
            <a:effectLst/>
          </c:spPr>
          <c:invertIfNegative val="0"/>
          <c:cat>
            <c:strRef>
              <c:f>'Crono fisico'!$C$13:$C$74</c:f>
              <c:strCache>
                <c:ptCount val="62"/>
                <c:pt idx="0">
                  <c:v>PROJETO EXECUTIVO</c:v>
                </c:pt>
                <c:pt idx="1">
                  <c:v>FASE PRELIMINAR</c:v>
                </c:pt>
                <c:pt idx="2">
                  <c:v>Coleta e análise dos dados existentes</c:v>
                </c:pt>
                <c:pt idx="3">
                  <c:v>Componente Ambiental do Projeto - Fase Preliminar</c:v>
                </c:pt>
                <c:pt idx="4">
                  <c:v>Componente Ambiental do Projeto - Fase Preliminar: investigação de campo</c:v>
                </c:pt>
                <c:pt idx="5">
                  <c:v>Componente Ambiental do Projeto - Fase Preliminar: trabalho de escritório (análises e formulações)</c:v>
                </c:pt>
                <c:pt idx="6">
                  <c:v>Estudos Geológicos</c:v>
                </c:pt>
                <c:pt idx="7">
                  <c:v>Estudos Hidrológicos</c:v>
                </c:pt>
                <c:pt idx="8">
                  <c:v>Estudos de Traçado</c:v>
                </c:pt>
                <c:pt idx="9">
                  <c:v>Estudos Topográficos</c:v>
                </c:pt>
                <c:pt idx="10">
                  <c:v>Estudos Topográficos: serviços de campo</c:v>
                </c:pt>
                <c:pt idx="11">
                  <c:v>Estudos Topográficos: trabalho de escritório</c:v>
                </c:pt>
                <c:pt idx="12">
                  <c:v>Entrega do Relatório da Fase Preliminar</c:v>
                </c:pt>
                <c:pt idx="13">
                  <c:v>Análise do Relatório da Fase Preliminar</c:v>
                </c:pt>
                <c:pt idx="14">
                  <c:v>Correções do Relatório da Fase Preliminar</c:v>
                </c:pt>
                <c:pt idx="15">
                  <c:v>Aprovação do Relatório da Fase Preliminar</c:v>
                </c:pt>
                <c:pt idx="16">
                  <c:v>FASE DE PROJETO BÁSICO</c:v>
                </c:pt>
                <c:pt idx="17">
                  <c:v>Estudos Geotécnicos - Fase de Projeto Básico</c:v>
                </c:pt>
                <c:pt idx="18">
                  <c:v>Estudos Geotécnicos: sondagens de subleito, cortes, caixas de empréstimo e jazidas de solo</c:v>
                </c:pt>
                <c:pt idx="19">
                  <c:v>Estudos Geotécnicos: ensaios de laboratório</c:v>
                </c:pt>
                <c:pt idx="20">
                  <c:v>Estudos Geotécnicos - Fase de Projeto Básico: trabalho de escritório (análises e formulações)</c:v>
                </c:pt>
                <c:pt idx="21">
                  <c:v>Componente Ambiental do Projeto - Fase de Projeto Básico</c:v>
                </c:pt>
                <c:pt idx="22">
                  <c:v>Projeto Geométrico Básico</c:v>
                </c:pt>
                <c:pt idx="23">
                  <c:v>Projeto Básico de Terraplenagem</c:v>
                </c:pt>
                <c:pt idx="24">
                  <c:v>Projeto Básico de Drenagem e Obras de Arte Correntes</c:v>
                </c:pt>
                <c:pt idx="25">
                  <c:v>Projeto Básico de Pavimentação</c:v>
                </c:pt>
                <c:pt idx="26">
                  <c:v>Projeto Básico de Sinalização</c:v>
                </c:pt>
                <c:pt idx="27">
                  <c:v>Projeto Básico de Obras Complementares</c:v>
                </c:pt>
                <c:pt idx="28">
                  <c:v>Projeto Básico do Canteiro de Obras e Acampamento do Pessoal</c:v>
                </c:pt>
                <c:pt idx="29">
                  <c:v>Projeto Básico de Regularização de Jazidas</c:v>
                </c:pt>
                <c:pt idx="30">
                  <c:v>Orçamento Básico da Obra</c:v>
                </c:pt>
                <c:pt idx="31">
                  <c:v>Entrega do Relatório da Fase de Projeto Básico</c:v>
                </c:pt>
                <c:pt idx="32">
                  <c:v>Análise do Relatório da Fase de Projeto Básico</c:v>
                </c:pt>
                <c:pt idx="33">
                  <c:v>Correções do Relatório da Fase de Projeto Básico</c:v>
                </c:pt>
                <c:pt idx="34">
                  <c:v>Aprovação do Relatório da Fase de Projeto Básico</c:v>
                </c:pt>
                <c:pt idx="35">
                  <c:v>FASE DE PROJETO EXECUTIVO</c:v>
                </c:pt>
                <c:pt idx="36">
                  <c:v>Estudos Geotécnicos - Fase de Projeto Executivo</c:v>
                </c:pt>
                <c:pt idx="37">
                  <c:v>Componente Ambiental do Projeto - Fase de Projeto Executivo</c:v>
                </c:pt>
                <c:pt idx="38">
                  <c:v>Projeto Geométrico</c:v>
                </c:pt>
                <c:pt idx="39">
                  <c:v>Projeto de Terraplenagem</c:v>
                </c:pt>
                <c:pt idx="40">
                  <c:v>Projeto de Drenagem e Obras de Arte Correntes</c:v>
                </c:pt>
                <c:pt idx="41">
                  <c:v>Projeto de Pavimentação</c:v>
                </c:pt>
                <c:pt idx="42">
                  <c:v>Projeto de Sinalização</c:v>
                </c:pt>
                <c:pt idx="43">
                  <c:v>Projeto de Obras Complementares</c:v>
                </c:pt>
                <c:pt idx="44">
                  <c:v>Projeto do Canteiro de Obras e Acampamento do Pessoal</c:v>
                </c:pt>
                <c:pt idx="45">
                  <c:v>Projeto de Regularização de Jazidas</c:v>
                </c:pt>
                <c:pt idx="46">
                  <c:v>Orçamento da Obra</c:v>
                </c:pt>
                <c:pt idx="47">
                  <c:v>Plano de Execução da Obra</c:v>
                </c:pt>
                <c:pt idx="48">
                  <c:v>Entrega do Relatório da Fase de Projeto Executivo</c:v>
                </c:pt>
                <c:pt idx="49">
                  <c:v>Análise do Relatório da Fase de Projeto Executivo</c:v>
                </c:pt>
                <c:pt idx="50">
                  <c:v>Correções do Relatório da Fase de Projeto Executivo</c:v>
                </c:pt>
                <c:pt idx="51">
                  <c:v>Aprovação do Relatório da Fase de Projeto Executivo</c:v>
                </c:pt>
                <c:pt idx="52">
                  <c:v>LICENCIAMENTO AMBIENTAL</c:v>
                </c:pt>
                <c:pt idx="53">
                  <c:v>Proposta Técnica Ambiental (PTA)</c:v>
                </c:pt>
                <c:pt idx="54">
                  <c:v>Estudo de Sondagem do Solo (ESS)</c:v>
                </c:pt>
                <c:pt idx="55">
                  <c:v>Plano Básico Ambiental (PBA)</c:v>
                </c:pt>
                <c:pt idx="56">
                  <c:v>Formulário de Atividades de Infraestrutura (IMASUL)</c:v>
                </c:pt>
                <c:pt idx="57">
                  <c:v>RELATÓRIO FINAL DO PBZPA</c:v>
                </c:pt>
                <c:pt idx="58">
                  <c:v>Plano Básico de Zona de Proteção de Aeródromo</c:v>
                </c:pt>
                <c:pt idx="59">
                  <c:v>Entrega do PBZPA</c:v>
                </c:pt>
                <c:pt idx="60">
                  <c:v>Correções do PBZPA</c:v>
                </c:pt>
                <c:pt idx="61">
                  <c:v>Aprovação do PBZPA</c:v>
                </c:pt>
              </c:strCache>
            </c:strRef>
          </c:cat>
          <c:val>
            <c:numRef>
              <c:f>'Crono fisico'!$E$13:$E$74</c:f>
              <c:numCache>
                <c:formatCode>0.00</c:formatCode>
                <c:ptCount val="62"/>
                <c:pt idx="0">
                  <c:v>1</c:v>
                </c:pt>
                <c:pt idx="1">
                  <c:v>1</c:v>
                </c:pt>
                <c:pt idx="2">
                  <c:v>1</c:v>
                </c:pt>
                <c:pt idx="3">
                  <c:v>3</c:v>
                </c:pt>
                <c:pt idx="4">
                  <c:v>3</c:v>
                </c:pt>
                <c:pt idx="5">
                  <c:v>6</c:v>
                </c:pt>
                <c:pt idx="6">
                  <c:v>3</c:v>
                </c:pt>
                <c:pt idx="7">
                  <c:v>5</c:v>
                </c:pt>
                <c:pt idx="8">
                  <c:v>7</c:v>
                </c:pt>
                <c:pt idx="9">
                  <c:v>3</c:v>
                </c:pt>
                <c:pt idx="10">
                  <c:v>3</c:v>
                </c:pt>
                <c:pt idx="11">
                  <c:v>7</c:v>
                </c:pt>
                <c:pt idx="12">
                  <c:v>10</c:v>
                </c:pt>
                <c:pt idx="13">
                  <c:v>20</c:v>
                </c:pt>
                <c:pt idx="14">
                  <c:v>35</c:v>
                </c:pt>
                <c:pt idx="15">
                  <c:v>48</c:v>
                </c:pt>
                <c:pt idx="16">
                  <c:v>3</c:v>
                </c:pt>
                <c:pt idx="17">
                  <c:v>3</c:v>
                </c:pt>
                <c:pt idx="18">
                  <c:v>3</c:v>
                </c:pt>
                <c:pt idx="19">
                  <c:v>8.8333333333333339</c:v>
                </c:pt>
                <c:pt idx="20">
                  <c:v>58</c:v>
                </c:pt>
                <c:pt idx="21">
                  <c:v>61</c:v>
                </c:pt>
                <c:pt idx="22">
                  <c:v>61</c:v>
                </c:pt>
                <c:pt idx="23">
                  <c:v>63</c:v>
                </c:pt>
                <c:pt idx="24">
                  <c:v>68</c:v>
                </c:pt>
                <c:pt idx="25">
                  <c:v>73</c:v>
                </c:pt>
                <c:pt idx="26">
                  <c:v>76</c:v>
                </c:pt>
                <c:pt idx="27">
                  <c:v>68</c:v>
                </c:pt>
                <c:pt idx="28">
                  <c:v>71</c:v>
                </c:pt>
                <c:pt idx="29">
                  <c:v>73</c:v>
                </c:pt>
                <c:pt idx="30">
                  <c:v>73</c:v>
                </c:pt>
                <c:pt idx="31">
                  <c:v>75</c:v>
                </c:pt>
                <c:pt idx="32">
                  <c:v>76</c:v>
                </c:pt>
                <c:pt idx="33">
                  <c:v>96</c:v>
                </c:pt>
                <c:pt idx="34">
                  <c:v>111</c:v>
                </c:pt>
                <c:pt idx="35">
                  <c:v>118</c:v>
                </c:pt>
                <c:pt idx="36">
                  <c:v>118</c:v>
                </c:pt>
                <c:pt idx="37">
                  <c:v>119</c:v>
                </c:pt>
                <c:pt idx="38">
                  <c:v>119</c:v>
                </c:pt>
                <c:pt idx="39">
                  <c:v>121</c:v>
                </c:pt>
                <c:pt idx="40">
                  <c:v>123</c:v>
                </c:pt>
                <c:pt idx="41">
                  <c:v>125</c:v>
                </c:pt>
                <c:pt idx="42">
                  <c:v>126</c:v>
                </c:pt>
                <c:pt idx="43">
                  <c:v>125</c:v>
                </c:pt>
                <c:pt idx="44">
                  <c:v>126</c:v>
                </c:pt>
                <c:pt idx="45">
                  <c:v>126</c:v>
                </c:pt>
                <c:pt idx="46">
                  <c:v>126</c:v>
                </c:pt>
                <c:pt idx="47">
                  <c:v>126</c:v>
                </c:pt>
                <c:pt idx="48">
                  <c:v>131</c:v>
                </c:pt>
                <c:pt idx="49">
                  <c:v>150</c:v>
                </c:pt>
                <c:pt idx="50">
                  <c:v>164</c:v>
                </c:pt>
                <c:pt idx="51">
                  <c:v>183</c:v>
                </c:pt>
                <c:pt idx="52">
                  <c:v>195</c:v>
                </c:pt>
                <c:pt idx="53">
                  <c:v>196</c:v>
                </c:pt>
                <c:pt idx="54">
                  <c:v>195</c:v>
                </c:pt>
                <c:pt idx="55">
                  <c:v>196</c:v>
                </c:pt>
                <c:pt idx="56">
                  <c:v>202</c:v>
                </c:pt>
                <c:pt idx="57">
                  <c:v>118</c:v>
                </c:pt>
                <c:pt idx="58">
                  <c:v>118</c:v>
                </c:pt>
                <c:pt idx="59">
                  <c:v>163</c:v>
                </c:pt>
                <c:pt idx="60">
                  <c:v>182</c:v>
                </c:pt>
                <c:pt idx="61">
                  <c:v>196</c:v>
                </c:pt>
              </c:numCache>
            </c:numRef>
          </c:val>
          <c:extLst>
            <c:ext xmlns:c16="http://schemas.microsoft.com/office/drawing/2014/chart" uri="{C3380CC4-5D6E-409C-BE32-E72D297353CC}">
              <c16:uniqueId val="{00000001-C95A-4090-8177-77BA49AB960F}"/>
            </c:ext>
          </c:extLst>
        </c:ser>
        <c:ser>
          <c:idx val="3"/>
          <c:order val="1"/>
          <c:tx>
            <c:strRef>
              <c:f>'Crono fisico'!$G$12</c:f>
              <c:strCache>
                <c:ptCount val="1"/>
                <c:pt idx="0">
                  <c:v>DURAÇÃO (DIAS)</c:v>
                </c:pt>
              </c:strCache>
            </c:strRef>
          </c:tx>
          <c:spPr>
            <a:solidFill>
              <a:schemeClr val="accent5"/>
            </a:solidFill>
            <a:ln>
              <a:noFill/>
            </a:ln>
            <a:effectLst/>
          </c:spPr>
          <c:invertIfNegative val="0"/>
          <c:cat>
            <c:strRef>
              <c:f>'Crono fisico'!$C$13:$C$74</c:f>
              <c:strCache>
                <c:ptCount val="62"/>
                <c:pt idx="0">
                  <c:v>PROJETO EXECUTIVO</c:v>
                </c:pt>
                <c:pt idx="1">
                  <c:v>FASE PRELIMINAR</c:v>
                </c:pt>
                <c:pt idx="2">
                  <c:v>Coleta e análise dos dados existentes</c:v>
                </c:pt>
                <c:pt idx="3">
                  <c:v>Componente Ambiental do Projeto - Fase Preliminar</c:v>
                </c:pt>
                <c:pt idx="4">
                  <c:v>Componente Ambiental do Projeto - Fase Preliminar: investigação de campo</c:v>
                </c:pt>
                <c:pt idx="5">
                  <c:v>Componente Ambiental do Projeto - Fase Preliminar: trabalho de escritório (análises e formulações)</c:v>
                </c:pt>
                <c:pt idx="6">
                  <c:v>Estudos Geológicos</c:v>
                </c:pt>
                <c:pt idx="7">
                  <c:v>Estudos Hidrológicos</c:v>
                </c:pt>
                <c:pt idx="8">
                  <c:v>Estudos de Traçado</c:v>
                </c:pt>
                <c:pt idx="9">
                  <c:v>Estudos Topográficos</c:v>
                </c:pt>
                <c:pt idx="10">
                  <c:v>Estudos Topográficos: serviços de campo</c:v>
                </c:pt>
                <c:pt idx="11">
                  <c:v>Estudos Topográficos: trabalho de escritório</c:v>
                </c:pt>
                <c:pt idx="12">
                  <c:v>Entrega do Relatório da Fase Preliminar</c:v>
                </c:pt>
                <c:pt idx="13">
                  <c:v>Análise do Relatório da Fase Preliminar</c:v>
                </c:pt>
                <c:pt idx="14">
                  <c:v>Correções do Relatório da Fase Preliminar</c:v>
                </c:pt>
                <c:pt idx="15">
                  <c:v>Aprovação do Relatório da Fase Preliminar</c:v>
                </c:pt>
                <c:pt idx="16">
                  <c:v>FASE DE PROJETO BÁSICO</c:v>
                </c:pt>
                <c:pt idx="17">
                  <c:v>Estudos Geotécnicos - Fase de Projeto Básico</c:v>
                </c:pt>
                <c:pt idx="18">
                  <c:v>Estudos Geotécnicos: sondagens de subleito, cortes, caixas de empréstimo e jazidas de solo</c:v>
                </c:pt>
                <c:pt idx="19">
                  <c:v>Estudos Geotécnicos: ensaios de laboratório</c:v>
                </c:pt>
                <c:pt idx="20">
                  <c:v>Estudos Geotécnicos - Fase de Projeto Básico: trabalho de escritório (análises e formulações)</c:v>
                </c:pt>
                <c:pt idx="21">
                  <c:v>Componente Ambiental do Projeto - Fase de Projeto Básico</c:v>
                </c:pt>
                <c:pt idx="22">
                  <c:v>Projeto Geométrico Básico</c:v>
                </c:pt>
                <c:pt idx="23">
                  <c:v>Projeto Básico de Terraplenagem</c:v>
                </c:pt>
                <c:pt idx="24">
                  <c:v>Projeto Básico de Drenagem e Obras de Arte Correntes</c:v>
                </c:pt>
                <c:pt idx="25">
                  <c:v>Projeto Básico de Pavimentação</c:v>
                </c:pt>
                <c:pt idx="26">
                  <c:v>Projeto Básico de Sinalização</c:v>
                </c:pt>
                <c:pt idx="27">
                  <c:v>Projeto Básico de Obras Complementares</c:v>
                </c:pt>
                <c:pt idx="28">
                  <c:v>Projeto Básico do Canteiro de Obras e Acampamento do Pessoal</c:v>
                </c:pt>
                <c:pt idx="29">
                  <c:v>Projeto Básico de Regularização de Jazidas</c:v>
                </c:pt>
                <c:pt idx="30">
                  <c:v>Orçamento Básico da Obra</c:v>
                </c:pt>
                <c:pt idx="31">
                  <c:v>Entrega do Relatório da Fase de Projeto Básico</c:v>
                </c:pt>
                <c:pt idx="32">
                  <c:v>Análise do Relatório da Fase de Projeto Básico</c:v>
                </c:pt>
                <c:pt idx="33">
                  <c:v>Correções do Relatório da Fase de Projeto Básico</c:v>
                </c:pt>
                <c:pt idx="34">
                  <c:v>Aprovação do Relatório da Fase de Projeto Básico</c:v>
                </c:pt>
                <c:pt idx="35">
                  <c:v>FASE DE PROJETO EXECUTIVO</c:v>
                </c:pt>
                <c:pt idx="36">
                  <c:v>Estudos Geotécnicos - Fase de Projeto Executivo</c:v>
                </c:pt>
                <c:pt idx="37">
                  <c:v>Componente Ambiental do Projeto - Fase de Projeto Executivo</c:v>
                </c:pt>
                <c:pt idx="38">
                  <c:v>Projeto Geométrico</c:v>
                </c:pt>
                <c:pt idx="39">
                  <c:v>Projeto de Terraplenagem</c:v>
                </c:pt>
                <c:pt idx="40">
                  <c:v>Projeto de Drenagem e Obras de Arte Correntes</c:v>
                </c:pt>
                <c:pt idx="41">
                  <c:v>Projeto de Pavimentação</c:v>
                </c:pt>
                <c:pt idx="42">
                  <c:v>Projeto de Sinalização</c:v>
                </c:pt>
                <c:pt idx="43">
                  <c:v>Projeto de Obras Complementares</c:v>
                </c:pt>
                <c:pt idx="44">
                  <c:v>Projeto do Canteiro de Obras e Acampamento do Pessoal</c:v>
                </c:pt>
                <c:pt idx="45">
                  <c:v>Projeto de Regularização de Jazidas</c:v>
                </c:pt>
                <c:pt idx="46">
                  <c:v>Orçamento da Obra</c:v>
                </c:pt>
                <c:pt idx="47">
                  <c:v>Plano de Execução da Obra</c:v>
                </c:pt>
                <c:pt idx="48">
                  <c:v>Entrega do Relatório da Fase de Projeto Executivo</c:v>
                </c:pt>
                <c:pt idx="49">
                  <c:v>Análise do Relatório da Fase de Projeto Executivo</c:v>
                </c:pt>
                <c:pt idx="50">
                  <c:v>Correções do Relatório da Fase de Projeto Executivo</c:v>
                </c:pt>
                <c:pt idx="51">
                  <c:v>Aprovação do Relatório da Fase de Projeto Executivo</c:v>
                </c:pt>
                <c:pt idx="52">
                  <c:v>LICENCIAMENTO AMBIENTAL</c:v>
                </c:pt>
                <c:pt idx="53">
                  <c:v>Proposta Técnica Ambiental (PTA)</c:v>
                </c:pt>
                <c:pt idx="54">
                  <c:v>Estudo de Sondagem do Solo (ESS)</c:v>
                </c:pt>
                <c:pt idx="55">
                  <c:v>Plano Básico Ambiental (PBA)</c:v>
                </c:pt>
                <c:pt idx="56">
                  <c:v>Formulário de Atividades de Infraestrutura (IMASUL)</c:v>
                </c:pt>
                <c:pt idx="57">
                  <c:v>RELATÓRIO FINAL DO PBZPA</c:v>
                </c:pt>
                <c:pt idx="58">
                  <c:v>Plano Básico de Zona de Proteção de Aeródromo</c:v>
                </c:pt>
                <c:pt idx="59">
                  <c:v>Entrega do PBZPA</c:v>
                </c:pt>
                <c:pt idx="60">
                  <c:v>Correções do PBZPA</c:v>
                </c:pt>
                <c:pt idx="61">
                  <c:v>Aprovação do PBZPA</c:v>
                </c:pt>
              </c:strCache>
            </c:strRef>
          </c:cat>
          <c:val>
            <c:numRef>
              <c:f>'Crono fisico'!$G$13:$G$74</c:f>
              <c:numCache>
                <c:formatCode>0.00</c:formatCode>
                <c:ptCount val="62"/>
                <c:pt idx="0">
                  <c:v>366</c:v>
                </c:pt>
                <c:pt idx="1">
                  <c:v>57</c:v>
                </c:pt>
                <c:pt idx="2">
                  <c:v>2</c:v>
                </c:pt>
                <c:pt idx="3">
                  <c:v>6</c:v>
                </c:pt>
                <c:pt idx="4">
                  <c:v>3</c:v>
                </c:pt>
                <c:pt idx="5">
                  <c:v>3</c:v>
                </c:pt>
                <c:pt idx="6">
                  <c:v>2</c:v>
                </c:pt>
                <c:pt idx="7">
                  <c:v>2</c:v>
                </c:pt>
                <c:pt idx="8">
                  <c:v>2</c:v>
                </c:pt>
                <c:pt idx="9">
                  <c:v>7</c:v>
                </c:pt>
                <c:pt idx="10">
                  <c:v>4</c:v>
                </c:pt>
                <c:pt idx="11">
                  <c:v>3</c:v>
                </c:pt>
                <c:pt idx="12">
                  <c:v>10</c:v>
                </c:pt>
                <c:pt idx="13">
                  <c:v>15</c:v>
                </c:pt>
                <c:pt idx="14">
                  <c:v>13</c:v>
                </c:pt>
                <c:pt idx="15">
                  <c:v>10</c:v>
                </c:pt>
                <c:pt idx="16">
                  <c:v>115</c:v>
                </c:pt>
                <c:pt idx="17">
                  <c:v>59</c:v>
                </c:pt>
                <c:pt idx="18">
                  <c:v>5.8333333333333339</c:v>
                </c:pt>
                <c:pt idx="19">
                  <c:v>9</c:v>
                </c:pt>
                <c:pt idx="20">
                  <c:v>4</c:v>
                </c:pt>
                <c:pt idx="21">
                  <c:v>1</c:v>
                </c:pt>
                <c:pt idx="22">
                  <c:v>3</c:v>
                </c:pt>
                <c:pt idx="23">
                  <c:v>6</c:v>
                </c:pt>
                <c:pt idx="24">
                  <c:v>6</c:v>
                </c:pt>
                <c:pt idx="25">
                  <c:v>4</c:v>
                </c:pt>
                <c:pt idx="26">
                  <c:v>1</c:v>
                </c:pt>
                <c:pt idx="27">
                  <c:v>4</c:v>
                </c:pt>
                <c:pt idx="28">
                  <c:v>3</c:v>
                </c:pt>
                <c:pt idx="29">
                  <c:v>1</c:v>
                </c:pt>
                <c:pt idx="30">
                  <c:v>3</c:v>
                </c:pt>
                <c:pt idx="31">
                  <c:v>1</c:v>
                </c:pt>
                <c:pt idx="32">
                  <c:v>20</c:v>
                </c:pt>
                <c:pt idx="33">
                  <c:v>15</c:v>
                </c:pt>
                <c:pt idx="34">
                  <c:v>7</c:v>
                </c:pt>
                <c:pt idx="35">
                  <c:v>79</c:v>
                </c:pt>
                <c:pt idx="36">
                  <c:v>2</c:v>
                </c:pt>
                <c:pt idx="37">
                  <c:v>1</c:v>
                </c:pt>
                <c:pt idx="38">
                  <c:v>3</c:v>
                </c:pt>
                <c:pt idx="39">
                  <c:v>3</c:v>
                </c:pt>
                <c:pt idx="40">
                  <c:v>3</c:v>
                </c:pt>
                <c:pt idx="41">
                  <c:v>2</c:v>
                </c:pt>
                <c:pt idx="42">
                  <c:v>4</c:v>
                </c:pt>
                <c:pt idx="43">
                  <c:v>2</c:v>
                </c:pt>
                <c:pt idx="44">
                  <c:v>1</c:v>
                </c:pt>
                <c:pt idx="45">
                  <c:v>1</c:v>
                </c:pt>
                <c:pt idx="46">
                  <c:v>1</c:v>
                </c:pt>
                <c:pt idx="47">
                  <c:v>6</c:v>
                </c:pt>
                <c:pt idx="48">
                  <c:v>20</c:v>
                </c:pt>
                <c:pt idx="49">
                  <c:v>15</c:v>
                </c:pt>
                <c:pt idx="50">
                  <c:v>20</c:v>
                </c:pt>
                <c:pt idx="51">
                  <c:v>14</c:v>
                </c:pt>
                <c:pt idx="52">
                  <c:v>9</c:v>
                </c:pt>
                <c:pt idx="53">
                  <c:v>3</c:v>
                </c:pt>
                <c:pt idx="54">
                  <c:v>1</c:v>
                </c:pt>
                <c:pt idx="55">
                  <c:v>7</c:v>
                </c:pt>
                <c:pt idx="56">
                  <c:v>2</c:v>
                </c:pt>
                <c:pt idx="57">
                  <c:v>249</c:v>
                </c:pt>
                <c:pt idx="58">
                  <c:v>46</c:v>
                </c:pt>
                <c:pt idx="59">
                  <c:v>20</c:v>
                </c:pt>
                <c:pt idx="60">
                  <c:v>15</c:v>
                </c:pt>
                <c:pt idx="61">
                  <c:v>171</c:v>
                </c:pt>
              </c:numCache>
            </c:numRef>
          </c:val>
          <c:extLst>
            <c:ext xmlns:c16="http://schemas.microsoft.com/office/drawing/2014/chart" uri="{C3380CC4-5D6E-409C-BE32-E72D297353CC}">
              <c16:uniqueId val="{00000003-C95A-4090-8177-77BA49AB960F}"/>
            </c:ext>
          </c:extLst>
        </c:ser>
        <c:dLbls>
          <c:showLegendKey val="0"/>
          <c:showVal val="0"/>
          <c:showCatName val="0"/>
          <c:showSerName val="0"/>
          <c:showPercent val="0"/>
          <c:showBubbleSize val="0"/>
        </c:dLbls>
        <c:gapWidth val="150"/>
        <c:overlap val="100"/>
        <c:axId val="663899768"/>
        <c:axId val="663897472"/>
      </c:barChart>
      <c:catAx>
        <c:axId val="663899768"/>
        <c:scaling>
          <c:orientation val="maxMin"/>
        </c:scaling>
        <c:delete val="0"/>
        <c:axPos val="l"/>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800" b="0" i="0" u="none" strike="noStrike" kern="1200" baseline="0">
                <a:solidFill>
                  <a:sysClr val="windowText" lastClr="000000"/>
                </a:solidFill>
                <a:latin typeface="+mn-lt"/>
                <a:ea typeface="+mn-ea"/>
                <a:cs typeface="+mn-cs"/>
              </a:defRPr>
            </a:pPr>
            <a:endParaRPr lang="pt-BR"/>
          </a:p>
        </c:txPr>
        <c:crossAx val="663897472"/>
        <c:crossesAt val="0"/>
        <c:auto val="1"/>
        <c:lblAlgn val="ctr"/>
        <c:lblOffset val="100"/>
        <c:noMultiLvlLbl val="0"/>
      </c:catAx>
      <c:valAx>
        <c:axId val="663897472"/>
        <c:scaling>
          <c:orientation val="minMax"/>
          <c:max val="365"/>
          <c:min val="0"/>
        </c:scaling>
        <c:delete val="0"/>
        <c:axPos val="t"/>
        <c:majorGridlines>
          <c:spPr>
            <a:ln w="9525" cap="flat" cmpd="sng" algn="ctr">
              <a:solidFill>
                <a:schemeClr val="tx1"/>
              </a:solidFill>
              <a:round/>
            </a:ln>
            <a:effectLst/>
          </c:spPr>
        </c:majorGridlines>
        <c:minorGridlines>
          <c:spPr>
            <a:ln w="9525" cap="flat" cmpd="sng" algn="ctr">
              <a:solidFill>
                <a:schemeClr val="bg1">
                  <a:lumMod val="85000"/>
                </a:schemeClr>
              </a:solidFill>
              <a:round/>
            </a:ln>
            <a:effectLst/>
          </c:spPr>
        </c:minorGridlines>
        <c:numFmt formatCode="0" sourceLinked="0"/>
        <c:majorTickMark val="out"/>
        <c:minorTickMark val="none"/>
        <c:tickLblPos val="nextTo"/>
        <c:spPr>
          <a:noFill/>
          <a:ln>
            <a:solidFill>
              <a:schemeClr val="tx1"/>
            </a:solidFill>
          </a:ln>
          <a:effectLst/>
        </c:spPr>
        <c:txPr>
          <a:bodyPr rot="-60000000" spcFirstLastPara="1" vertOverflow="ellipsis" vert="horz" wrap="square" anchor="ctr" anchorCtr="1"/>
          <a:lstStyle/>
          <a:p>
            <a:pPr>
              <a:defRPr sz="800" b="0" i="0" u="none" strike="noStrike" kern="1200" baseline="0">
                <a:solidFill>
                  <a:schemeClr val="tx1">
                    <a:lumMod val="65000"/>
                    <a:lumOff val="35000"/>
                  </a:schemeClr>
                </a:solidFill>
                <a:latin typeface="+mn-lt"/>
                <a:ea typeface="+mn-ea"/>
                <a:cs typeface="+mn-cs"/>
              </a:defRPr>
            </a:pPr>
            <a:endParaRPr lang="pt-BR"/>
          </a:p>
        </c:txPr>
        <c:crossAx val="663899768"/>
        <c:crosses val="autoZero"/>
        <c:crossBetween val="between"/>
        <c:majorUnit val="30"/>
        <c:minorUnit val="5"/>
      </c:valAx>
      <c:spPr>
        <a:noFill/>
        <a:ln>
          <a:noFill/>
        </a:ln>
        <a:effectLst/>
      </c:spPr>
    </c:plotArea>
    <c:plotVisOnly val="1"/>
    <c:dispBlanksAs val="gap"/>
    <c:showDLblsOverMax val="0"/>
  </c:chart>
  <c:spPr>
    <a:solidFill>
      <a:schemeClr val="bg1"/>
    </a:solidFill>
    <a:ln w="9525" cap="flat" cmpd="sng" algn="ctr">
      <a:noFill/>
      <a:round/>
    </a:ln>
    <a:effectLst/>
  </c:spPr>
  <c:txPr>
    <a:bodyPr/>
    <a:lstStyle/>
    <a:p>
      <a:pPr>
        <a:defRPr/>
      </a:pPr>
      <a:endParaRPr lang="pt-BR"/>
    </a:p>
  </c:txPr>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9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chartsheets/sheet1.xml><?xml version="1.0" encoding="utf-8"?>
<chartsheet xmlns="http://schemas.openxmlformats.org/spreadsheetml/2006/main" xmlns:r="http://schemas.openxmlformats.org/officeDocument/2006/relationships">
  <sheetPr codeName="Gráf4"/>
  <sheetViews>
    <sheetView zoomScale="115" workbookViewId="0"/>
  </sheetViews>
  <pageMargins left="0.78740157480314965" right="0.78740157480314965" top="0.86614173228346458" bottom="0.78740157480314965" header="0.19685039370078741" footer="0.19685039370078741"/>
  <pageSetup paperSize="8" orientation="landscape" r:id="rId1"/>
  <headerFooter>
    <oddHeader>&amp;L&amp;G&amp;R&amp;G</oddHeader>
    <oddFooter xml:space="preserve">&amp;C&amp;10Av. Des. José Nunes da Cunha, Bloco 14, Parque dos Poderes, Campo Grande (MS), CEP 79031-310
PABX: (67) 3318-5300/ Gab: 5538 – Fax (67) 3318-5386 – gabinete@seinfra.ms.gov.br
</oddFooter>
  </headerFooter>
  <drawing r:id="rId2"/>
  <legacyDrawingHF r:id="rId3"/>
</chartsheet>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1" Type="http://schemas.openxmlformats.org/officeDocument/2006/relationships/chart" Target="../charts/chart1.xml"/></Relationships>
</file>

<file path=xl/drawings/_rels/drawing5.xml.rels><?xml version="1.0" encoding="UTF-8" standalone="yes"?>
<Relationships xmlns="http://schemas.openxmlformats.org/package/2006/relationships"><Relationship Id="rId2" Type="http://schemas.openxmlformats.org/officeDocument/2006/relationships/image" Target="../media/image6.png"/><Relationship Id="rId1" Type="http://schemas.openxmlformats.org/officeDocument/2006/relationships/image" Target="../media/image1.png"/></Relationships>
</file>

<file path=xl/drawings/_rels/drawing6.xml.rels><?xml version="1.0" encoding="UTF-8" standalone="yes"?>
<Relationships xmlns="http://schemas.openxmlformats.org/package/2006/relationships"><Relationship Id="rId2" Type="http://schemas.openxmlformats.org/officeDocument/2006/relationships/image" Target="../media/image7.png"/><Relationship Id="rId1" Type="http://schemas.openxmlformats.org/officeDocument/2006/relationships/image" Target="../media/image1.png"/></Relationships>
</file>

<file path=xl/drawings/_rels/drawing7.xml.rels><?xml version="1.0" encoding="UTF-8" standalone="yes"?>
<Relationships xmlns="http://schemas.openxmlformats.org/package/2006/relationships"><Relationship Id="rId2" Type="http://schemas.openxmlformats.org/officeDocument/2006/relationships/image" Target="../media/image8.png"/><Relationship Id="rId1" Type="http://schemas.openxmlformats.org/officeDocument/2006/relationships/image" Target="../media/image1.png"/></Relationships>
</file>

<file path=xl/drawings/_rels/drawing8.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9.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9.png"/></Relationships>
</file>

<file path=xl/drawings/_rels/drawing10.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9.png"/></Relationships>
</file>

<file path=xl/drawings/_rels/drawing1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9.png"/></Relationships>
</file>

<file path=xl/drawings/_rels/drawing12.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9.png"/></Relationships>
</file>

<file path=xl/drawings/_rels/drawing13.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9.png"/></Relationships>
</file>

<file path=xl/drawings/_rels/drawing14.xml.rels><?xml version="1.0" encoding="UTF-8" standalone="yes"?>
<Relationships xmlns="http://schemas.openxmlformats.org/package/2006/relationships"><Relationship Id="rId2" Type="http://schemas.openxmlformats.org/officeDocument/2006/relationships/image" Target="../media/image9.png"/><Relationship Id="rId1" Type="http://schemas.openxmlformats.org/officeDocument/2006/relationships/image" Target="../media/image10.png"/></Relationships>
</file>

<file path=xl/drawings/_rels/drawing15.xml.rels><?xml version="1.0" encoding="UTF-8" standalone="yes"?>
<Relationships xmlns="http://schemas.openxmlformats.org/package/2006/relationships"><Relationship Id="rId2" Type="http://schemas.openxmlformats.org/officeDocument/2006/relationships/image" Target="../media/image9.png"/><Relationship Id="rId1" Type="http://schemas.openxmlformats.org/officeDocument/2006/relationships/image" Target="../media/image2.png"/></Relationships>
</file>

<file path=xl/drawings/_rels/drawing16.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9.png"/></Relationships>
</file>

<file path=xl/drawings/_rels/drawing17.xml.rels><?xml version="1.0" encoding="UTF-8" standalone="yes"?>
<Relationships xmlns="http://schemas.openxmlformats.org/package/2006/relationships"><Relationship Id="rId2" Type="http://schemas.openxmlformats.org/officeDocument/2006/relationships/image" Target="../media/image11.png"/><Relationship Id="rId1" Type="http://schemas.openxmlformats.org/officeDocument/2006/relationships/image" Target="../media/image9.png"/></Relationships>
</file>

<file path=xl/drawings/_rels/drawing18.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9.png"/></Relationships>
</file>

<file path=xl/drawings/_rels/drawing19.xml.rels><?xml version="1.0" encoding="UTF-8" standalone="yes"?>
<Relationships xmlns="http://schemas.openxmlformats.org/package/2006/relationships"><Relationship Id="rId3" Type="http://schemas.openxmlformats.org/officeDocument/2006/relationships/image" Target="../media/image12.png"/><Relationship Id="rId2" Type="http://schemas.openxmlformats.org/officeDocument/2006/relationships/image" Target="../media/image2.png"/><Relationship Id="rId1" Type="http://schemas.openxmlformats.org/officeDocument/2006/relationships/image" Target="../media/image1.png"/></Relationships>
</file>

<file path=xl/drawings/_rels/drawing20.xml.rels><?xml version="1.0" encoding="UTF-8" standalone="yes"?>
<Relationships xmlns="http://schemas.openxmlformats.org/package/2006/relationships"><Relationship Id="rId2" Type="http://schemas.openxmlformats.org/officeDocument/2006/relationships/image" Target="../media/image8.png"/><Relationship Id="rId1" Type="http://schemas.openxmlformats.org/officeDocument/2006/relationships/image" Target="../media/image1.png"/></Relationships>
</file>

<file path=xl/drawings/_rels/vmlDrawing1.vml.rels><?xml version="1.0" encoding="UTF-8" standalone="yes"?>
<Relationships xmlns="http://schemas.openxmlformats.org/package/2006/relationships"><Relationship Id="rId2" Type="http://schemas.openxmlformats.org/officeDocument/2006/relationships/image" Target="../media/image5.png"/><Relationship Id="rId1" Type="http://schemas.openxmlformats.org/officeDocument/2006/relationships/image" Target="../media/image4.png"/></Relationships>
</file>

<file path=xl/drawings/drawing1.xml><?xml version="1.0" encoding="utf-8"?>
<xdr:wsDr xmlns:xdr="http://schemas.openxmlformats.org/drawingml/2006/spreadsheetDrawing" xmlns:a="http://schemas.openxmlformats.org/drawingml/2006/main">
  <xdr:twoCellAnchor>
    <xdr:from>
      <xdr:col>1</xdr:col>
      <xdr:colOff>9525</xdr:colOff>
      <xdr:row>0</xdr:row>
      <xdr:rowOff>0</xdr:rowOff>
    </xdr:from>
    <xdr:to>
      <xdr:col>5</xdr:col>
      <xdr:colOff>104775</xdr:colOff>
      <xdr:row>2</xdr:row>
      <xdr:rowOff>180975</xdr:rowOff>
    </xdr:to>
    <xdr:pic>
      <xdr:nvPicPr>
        <xdr:cNvPr id="4" name="Imagem 2"/>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23825" y="0"/>
          <a:ext cx="2743200" cy="733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8</xdr:col>
      <xdr:colOff>200025</xdr:colOff>
      <xdr:row>0</xdr:row>
      <xdr:rowOff>9525</xdr:rowOff>
    </xdr:from>
    <xdr:to>
      <xdr:col>9</xdr:col>
      <xdr:colOff>933450</xdr:colOff>
      <xdr:row>4</xdr:row>
      <xdr:rowOff>5022</xdr:rowOff>
    </xdr:to>
    <xdr:pic>
      <xdr:nvPicPr>
        <xdr:cNvPr id="5" name="Imagem 3"/>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7629525" y="9525"/>
          <a:ext cx="1419225" cy="92894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xml><?xml version="1.0" encoding="utf-8"?>
<xdr:wsDr xmlns:xdr="http://schemas.openxmlformats.org/drawingml/2006/spreadsheetDrawing" xmlns:a="http://schemas.openxmlformats.org/drawingml/2006/main">
  <xdr:twoCellAnchor>
    <xdr:from>
      <xdr:col>1</xdr:col>
      <xdr:colOff>47625</xdr:colOff>
      <xdr:row>0</xdr:row>
      <xdr:rowOff>0</xdr:rowOff>
    </xdr:from>
    <xdr:to>
      <xdr:col>4</xdr:col>
      <xdr:colOff>400050</xdr:colOff>
      <xdr:row>2</xdr:row>
      <xdr:rowOff>180975</xdr:rowOff>
    </xdr:to>
    <xdr:pic>
      <xdr:nvPicPr>
        <xdr:cNvPr id="4" name="Imagem 2"/>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61925" y="0"/>
          <a:ext cx="2743200" cy="733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12</xdr:col>
      <xdr:colOff>638175</xdr:colOff>
      <xdr:row>0</xdr:row>
      <xdr:rowOff>57150</xdr:rowOff>
    </xdr:from>
    <xdr:to>
      <xdr:col>13</xdr:col>
      <xdr:colOff>1095375</xdr:colOff>
      <xdr:row>3</xdr:row>
      <xdr:rowOff>152400</xdr:rowOff>
    </xdr:to>
    <xdr:pic>
      <xdr:nvPicPr>
        <xdr:cNvPr id="5" name="Imagem 3"/>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9191625" y="57150"/>
          <a:ext cx="15716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xml><?xml version="1.0" encoding="utf-8"?>
<xdr:wsDr xmlns:xdr="http://schemas.openxmlformats.org/drawingml/2006/spreadsheetDrawing" xmlns:a="http://schemas.openxmlformats.org/drawingml/2006/main">
  <xdr:twoCellAnchor>
    <xdr:from>
      <xdr:col>1</xdr:col>
      <xdr:colOff>0</xdr:colOff>
      <xdr:row>1</xdr:row>
      <xdr:rowOff>1</xdr:rowOff>
    </xdr:from>
    <xdr:to>
      <xdr:col>3</xdr:col>
      <xdr:colOff>1600200</xdr:colOff>
      <xdr:row>2</xdr:row>
      <xdr:rowOff>248479</xdr:rowOff>
    </xdr:to>
    <xdr:pic>
      <xdr:nvPicPr>
        <xdr:cNvPr id="4" name="Imagem 2"/>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15957" y="115958"/>
          <a:ext cx="2743200" cy="68745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16384</xdr:col>
      <xdr:colOff>1428750</xdr:colOff>
      <xdr:row>1</xdr:row>
      <xdr:rowOff>57150</xdr:rowOff>
    </xdr:from>
    <xdr:to>
      <xdr:col>16384</xdr:col>
      <xdr:colOff>3000375</xdr:colOff>
      <xdr:row>3</xdr:row>
      <xdr:rowOff>19050</xdr:rowOff>
    </xdr:to>
    <xdr:pic>
      <xdr:nvPicPr>
        <xdr:cNvPr id="5" name="Imagem 3"/>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9144000" y="171450"/>
          <a:ext cx="15716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5</xdr:col>
      <xdr:colOff>838200</xdr:colOff>
      <xdr:row>1</xdr:row>
      <xdr:rowOff>0</xdr:rowOff>
    </xdr:from>
    <xdr:to>
      <xdr:col>6</xdr:col>
      <xdr:colOff>1000125</xdr:colOff>
      <xdr:row>2</xdr:row>
      <xdr:rowOff>306456</xdr:rowOff>
    </xdr:to>
    <xdr:pic>
      <xdr:nvPicPr>
        <xdr:cNvPr id="6" name="Imagem 3"/>
        <xdr:cNvPicPr>
          <a:picLocks noChangeAspect="1" noChangeArrowheads="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6354417" y="115957"/>
          <a:ext cx="1255230" cy="74543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4.xml><?xml version="1.0" encoding="utf-8"?>
<xdr:wsDr xmlns:xdr="http://schemas.openxmlformats.org/drawingml/2006/spreadsheetDrawing" xmlns:a="http://schemas.openxmlformats.org/drawingml/2006/main">
  <xdr:absoluteAnchor>
    <xdr:pos x="0" y="0"/>
    <xdr:ext cx="13566913" cy="9069457"/>
    <xdr:graphicFrame macro="">
      <xdr:nvGraphicFramePr>
        <xdr:cNvPr id="2" name="Gráfico 1"/>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absoluteAnchor>
</xdr:wsDr>
</file>

<file path=xl/drawings/drawing5.xml><?xml version="1.0" encoding="utf-8"?>
<xdr:wsDr xmlns:xdr="http://schemas.openxmlformats.org/drawingml/2006/spreadsheetDrawing" xmlns:a="http://schemas.openxmlformats.org/drawingml/2006/main">
  <xdr:twoCellAnchor>
    <xdr:from>
      <xdr:col>1</xdr:col>
      <xdr:colOff>0</xdr:colOff>
      <xdr:row>0</xdr:row>
      <xdr:rowOff>0</xdr:rowOff>
    </xdr:from>
    <xdr:to>
      <xdr:col>3</xdr:col>
      <xdr:colOff>0</xdr:colOff>
      <xdr:row>2</xdr:row>
      <xdr:rowOff>180975</xdr:rowOff>
    </xdr:to>
    <xdr:pic>
      <xdr:nvPicPr>
        <xdr:cNvPr id="2" name="Imagem 2"/>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14300" y="0"/>
          <a:ext cx="3781425" cy="733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16</xdr:col>
      <xdr:colOff>189940</xdr:colOff>
      <xdr:row>0</xdr:row>
      <xdr:rowOff>104775</xdr:rowOff>
    </xdr:from>
    <xdr:to>
      <xdr:col>17</xdr:col>
      <xdr:colOff>751915</xdr:colOff>
      <xdr:row>4</xdr:row>
      <xdr:rowOff>9525</xdr:rowOff>
    </xdr:to>
    <xdr:pic>
      <xdr:nvPicPr>
        <xdr:cNvPr id="3" name="Imagem 3"/>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16572940" y="104775"/>
          <a:ext cx="140970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6.xml><?xml version="1.0" encoding="utf-8"?>
<xdr:wsDr xmlns:xdr="http://schemas.openxmlformats.org/drawingml/2006/spreadsheetDrawing" xmlns:a="http://schemas.openxmlformats.org/drawingml/2006/main">
  <xdr:twoCellAnchor>
    <xdr:from>
      <xdr:col>1</xdr:col>
      <xdr:colOff>0</xdr:colOff>
      <xdr:row>0</xdr:row>
      <xdr:rowOff>0</xdr:rowOff>
    </xdr:from>
    <xdr:to>
      <xdr:col>3</xdr:col>
      <xdr:colOff>1600200</xdr:colOff>
      <xdr:row>2</xdr:row>
      <xdr:rowOff>180975</xdr:rowOff>
    </xdr:to>
    <xdr:pic>
      <xdr:nvPicPr>
        <xdr:cNvPr id="5" name="Imagem 2"/>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14300" y="0"/>
          <a:ext cx="2743200" cy="733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13</xdr:col>
      <xdr:colOff>652096</xdr:colOff>
      <xdr:row>1</xdr:row>
      <xdr:rowOff>51289</xdr:rowOff>
    </xdr:from>
    <xdr:to>
      <xdr:col>16</xdr:col>
      <xdr:colOff>679206</xdr:colOff>
      <xdr:row>3</xdr:row>
      <xdr:rowOff>11723</xdr:rowOff>
    </xdr:to>
    <xdr:pic>
      <xdr:nvPicPr>
        <xdr:cNvPr id="6" name="Imagem 3"/>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11158904" y="168520"/>
          <a:ext cx="1360610" cy="8396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7.xml><?xml version="1.0" encoding="utf-8"?>
<xdr:wsDr xmlns:xdr="http://schemas.openxmlformats.org/drawingml/2006/spreadsheetDrawing" xmlns:a="http://schemas.openxmlformats.org/drawingml/2006/main">
  <xdr:twoCellAnchor>
    <xdr:from>
      <xdr:col>1</xdr:col>
      <xdr:colOff>0</xdr:colOff>
      <xdr:row>1</xdr:row>
      <xdr:rowOff>0</xdr:rowOff>
    </xdr:from>
    <xdr:to>
      <xdr:col>3</xdr:col>
      <xdr:colOff>1600200</xdr:colOff>
      <xdr:row>2</xdr:row>
      <xdr:rowOff>295275</xdr:rowOff>
    </xdr:to>
    <xdr:pic>
      <xdr:nvPicPr>
        <xdr:cNvPr id="4" name="Imagem 2"/>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14300" y="114300"/>
          <a:ext cx="2743200" cy="733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11</xdr:col>
      <xdr:colOff>0</xdr:colOff>
      <xdr:row>1</xdr:row>
      <xdr:rowOff>0</xdr:rowOff>
    </xdr:from>
    <xdr:to>
      <xdr:col>12</xdr:col>
      <xdr:colOff>590550</xdr:colOff>
      <xdr:row>2</xdr:row>
      <xdr:rowOff>400050</xdr:rowOff>
    </xdr:to>
    <xdr:pic>
      <xdr:nvPicPr>
        <xdr:cNvPr id="5" name="Imagem 3"/>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7639050" y="114300"/>
          <a:ext cx="15716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8.xml><?xml version="1.0" encoding="utf-8"?>
<xdr:wsDr xmlns:xdr="http://schemas.openxmlformats.org/drawingml/2006/spreadsheetDrawing" xmlns:a="http://schemas.openxmlformats.org/drawingml/2006/main">
  <xdr:twoCellAnchor>
    <xdr:from>
      <xdr:col>1</xdr:col>
      <xdr:colOff>0</xdr:colOff>
      <xdr:row>1</xdr:row>
      <xdr:rowOff>0</xdr:rowOff>
    </xdr:from>
    <xdr:to>
      <xdr:col>3</xdr:col>
      <xdr:colOff>1600200</xdr:colOff>
      <xdr:row>2</xdr:row>
      <xdr:rowOff>295275</xdr:rowOff>
    </xdr:to>
    <xdr:pic>
      <xdr:nvPicPr>
        <xdr:cNvPr id="4" name="Imagem 2"/>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14300" y="114300"/>
          <a:ext cx="2743200" cy="733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7</xdr:col>
      <xdr:colOff>447675</xdr:colOff>
      <xdr:row>1</xdr:row>
      <xdr:rowOff>19050</xdr:rowOff>
    </xdr:from>
    <xdr:to>
      <xdr:col>8</xdr:col>
      <xdr:colOff>1038225</xdr:colOff>
      <xdr:row>2</xdr:row>
      <xdr:rowOff>419100</xdr:rowOff>
    </xdr:to>
    <xdr:pic>
      <xdr:nvPicPr>
        <xdr:cNvPr id="5" name="Imagem 3"/>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5695950" y="133350"/>
          <a:ext cx="15716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9.xml><?xml version="1.0" encoding="utf-8"?>
<xdr:wsDr xmlns:xdr="http://schemas.openxmlformats.org/drawingml/2006/spreadsheetDrawing" xmlns:a="http://schemas.openxmlformats.org/drawingml/2006/main">
  <xdr:twoCellAnchor editAs="oneCell">
    <xdr:from>
      <xdr:col>1</xdr:col>
      <xdr:colOff>0</xdr:colOff>
      <xdr:row>1</xdr:row>
      <xdr:rowOff>0</xdr:rowOff>
    </xdr:from>
    <xdr:to>
      <xdr:col>3</xdr:col>
      <xdr:colOff>1600438</xdr:colOff>
      <xdr:row>2</xdr:row>
      <xdr:rowOff>293433</xdr:rowOff>
    </xdr:to>
    <xdr:pic>
      <xdr:nvPicPr>
        <xdr:cNvPr id="7" name="Imagem 6"/>
        <xdr:cNvPicPr>
          <a:picLocks noChangeAspect="1"/>
        </xdr:cNvPicPr>
      </xdr:nvPicPr>
      <xdr:blipFill>
        <a:blip xmlns:r="http://schemas.openxmlformats.org/officeDocument/2006/relationships" r:embed="rId1"/>
        <a:stretch>
          <a:fillRect/>
        </a:stretch>
      </xdr:blipFill>
      <xdr:spPr>
        <a:xfrm>
          <a:off x="114300" y="114300"/>
          <a:ext cx="2743438" cy="731583"/>
        </a:xfrm>
        <a:prstGeom prst="rect">
          <a:avLst/>
        </a:prstGeom>
      </xdr:spPr>
    </xdr:pic>
    <xdr:clientData/>
  </xdr:twoCellAnchor>
  <xdr:twoCellAnchor>
    <xdr:from>
      <xdr:col>8</xdr:col>
      <xdr:colOff>0</xdr:colOff>
      <xdr:row>1</xdr:row>
      <xdr:rowOff>0</xdr:rowOff>
    </xdr:from>
    <xdr:to>
      <xdr:col>9</xdr:col>
      <xdr:colOff>990600</xdr:colOff>
      <xdr:row>2</xdr:row>
      <xdr:rowOff>400050</xdr:rowOff>
    </xdr:to>
    <xdr:pic>
      <xdr:nvPicPr>
        <xdr:cNvPr id="8" name="Imagem 3"/>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6734175" y="114300"/>
          <a:ext cx="15716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10.xml><?xml version="1.0" encoding="utf-8"?>
<xdr:wsDr xmlns:xdr="http://schemas.openxmlformats.org/drawingml/2006/spreadsheetDrawing" xmlns:a="http://schemas.openxmlformats.org/drawingml/2006/main">
  <xdr:twoCellAnchor editAs="oneCell">
    <xdr:from>
      <xdr:col>1</xdr:col>
      <xdr:colOff>0</xdr:colOff>
      <xdr:row>0</xdr:row>
      <xdr:rowOff>0</xdr:rowOff>
    </xdr:from>
    <xdr:to>
      <xdr:col>3</xdr:col>
      <xdr:colOff>1600438</xdr:colOff>
      <xdr:row>2</xdr:row>
      <xdr:rowOff>179133</xdr:rowOff>
    </xdr:to>
    <xdr:pic>
      <xdr:nvPicPr>
        <xdr:cNvPr id="5" name="Imagem 4"/>
        <xdr:cNvPicPr>
          <a:picLocks noChangeAspect="1"/>
        </xdr:cNvPicPr>
      </xdr:nvPicPr>
      <xdr:blipFill>
        <a:blip xmlns:r="http://schemas.openxmlformats.org/officeDocument/2006/relationships" r:embed="rId1"/>
        <a:stretch>
          <a:fillRect/>
        </a:stretch>
      </xdr:blipFill>
      <xdr:spPr>
        <a:xfrm>
          <a:off x="114300" y="0"/>
          <a:ext cx="2743438" cy="731583"/>
        </a:xfrm>
        <a:prstGeom prst="rect">
          <a:avLst/>
        </a:prstGeom>
      </xdr:spPr>
    </xdr:pic>
    <xdr:clientData/>
  </xdr:twoCellAnchor>
  <xdr:twoCellAnchor>
    <xdr:from>
      <xdr:col>10</xdr:col>
      <xdr:colOff>400050</xdr:colOff>
      <xdr:row>0</xdr:row>
      <xdr:rowOff>95250</xdr:rowOff>
    </xdr:from>
    <xdr:to>
      <xdr:col>11</xdr:col>
      <xdr:colOff>933450</xdr:colOff>
      <xdr:row>4</xdr:row>
      <xdr:rowOff>0</xdr:rowOff>
    </xdr:to>
    <xdr:pic>
      <xdr:nvPicPr>
        <xdr:cNvPr id="6" name="Imagem 3"/>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8201025" y="95250"/>
          <a:ext cx="15716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11.xml><?xml version="1.0" encoding="utf-8"?>
<xdr:wsDr xmlns:xdr="http://schemas.openxmlformats.org/drawingml/2006/spreadsheetDrawing" xmlns:a="http://schemas.openxmlformats.org/drawingml/2006/main">
  <xdr:twoCellAnchor editAs="oneCell">
    <xdr:from>
      <xdr:col>1</xdr:col>
      <xdr:colOff>0</xdr:colOff>
      <xdr:row>1</xdr:row>
      <xdr:rowOff>0</xdr:rowOff>
    </xdr:from>
    <xdr:to>
      <xdr:col>4</xdr:col>
      <xdr:colOff>219313</xdr:colOff>
      <xdr:row>3</xdr:row>
      <xdr:rowOff>102933</xdr:rowOff>
    </xdr:to>
    <xdr:pic>
      <xdr:nvPicPr>
        <xdr:cNvPr id="5" name="Imagem 4"/>
        <xdr:cNvPicPr>
          <a:picLocks noChangeAspect="1"/>
        </xdr:cNvPicPr>
      </xdr:nvPicPr>
      <xdr:blipFill>
        <a:blip xmlns:r="http://schemas.openxmlformats.org/officeDocument/2006/relationships" r:embed="rId1"/>
        <a:stretch>
          <a:fillRect/>
        </a:stretch>
      </xdr:blipFill>
      <xdr:spPr>
        <a:xfrm>
          <a:off x="114300" y="114300"/>
          <a:ext cx="2743438" cy="731583"/>
        </a:xfrm>
        <a:prstGeom prst="rect">
          <a:avLst/>
        </a:prstGeom>
      </xdr:spPr>
    </xdr:pic>
    <xdr:clientData/>
  </xdr:twoCellAnchor>
  <xdr:twoCellAnchor>
    <xdr:from>
      <xdr:col>13</xdr:col>
      <xdr:colOff>0</xdr:colOff>
      <xdr:row>1</xdr:row>
      <xdr:rowOff>0</xdr:rowOff>
    </xdr:from>
    <xdr:to>
      <xdr:col>14</xdr:col>
      <xdr:colOff>647700</xdr:colOff>
      <xdr:row>4</xdr:row>
      <xdr:rowOff>19050</xdr:rowOff>
    </xdr:to>
    <xdr:pic>
      <xdr:nvPicPr>
        <xdr:cNvPr id="6" name="Imagem 3"/>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9020175" y="114300"/>
          <a:ext cx="15716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12.xml><?xml version="1.0" encoding="utf-8"?>
<xdr:wsDr xmlns:xdr="http://schemas.openxmlformats.org/drawingml/2006/spreadsheetDrawing" xmlns:a="http://schemas.openxmlformats.org/drawingml/2006/main">
  <xdr:twoCellAnchor editAs="oneCell">
    <xdr:from>
      <xdr:col>1</xdr:col>
      <xdr:colOff>0</xdr:colOff>
      <xdr:row>1</xdr:row>
      <xdr:rowOff>0</xdr:rowOff>
    </xdr:from>
    <xdr:to>
      <xdr:col>3</xdr:col>
      <xdr:colOff>1600438</xdr:colOff>
      <xdr:row>3</xdr:row>
      <xdr:rowOff>102933</xdr:rowOff>
    </xdr:to>
    <xdr:pic>
      <xdr:nvPicPr>
        <xdr:cNvPr id="4" name="Imagem 3"/>
        <xdr:cNvPicPr>
          <a:picLocks noChangeAspect="1"/>
        </xdr:cNvPicPr>
      </xdr:nvPicPr>
      <xdr:blipFill>
        <a:blip xmlns:r="http://schemas.openxmlformats.org/officeDocument/2006/relationships" r:embed="rId1"/>
        <a:stretch>
          <a:fillRect/>
        </a:stretch>
      </xdr:blipFill>
      <xdr:spPr>
        <a:xfrm>
          <a:off x="114300" y="114300"/>
          <a:ext cx="2743438" cy="731583"/>
        </a:xfrm>
        <a:prstGeom prst="rect">
          <a:avLst/>
        </a:prstGeom>
      </xdr:spPr>
    </xdr:pic>
    <xdr:clientData/>
  </xdr:twoCellAnchor>
  <xdr:twoCellAnchor>
    <xdr:from>
      <xdr:col>15</xdr:col>
      <xdr:colOff>0</xdr:colOff>
      <xdr:row>1</xdr:row>
      <xdr:rowOff>0</xdr:rowOff>
    </xdr:from>
    <xdr:to>
      <xdr:col>16</xdr:col>
      <xdr:colOff>857250</xdr:colOff>
      <xdr:row>4</xdr:row>
      <xdr:rowOff>19050</xdr:rowOff>
    </xdr:to>
    <xdr:pic>
      <xdr:nvPicPr>
        <xdr:cNvPr id="5" name="Imagem 3"/>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10448925" y="114300"/>
          <a:ext cx="15716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13.xml><?xml version="1.0" encoding="utf-8"?>
<xdr:wsDr xmlns:xdr="http://schemas.openxmlformats.org/drawingml/2006/spreadsheetDrawing" xmlns:a="http://schemas.openxmlformats.org/drawingml/2006/main">
  <xdr:twoCellAnchor editAs="oneCell">
    <xdr:from>
      <xdr:col>1</xdr:col>
      <xdr:colOff>0</xdr:colOff>
      <xdr:row>1</xdr:row>
      <xdr:rowOff>0</xdr:rowOff>
    </xdr:from>
    <xdr:to>
      <xdr:col>3</xdr:col>
      <xdr:colOff>1600438</xdr:colOff>
      <xdr:row>3</xdr:row>
      <xdr:rowOff>102933</xdr:rowOff>
    </xdr:to>
    <xdr:pic>
      <xdr:nvPicPr>
        <xdr:cNvPr id="4" name="Imagem 3"/>
        <xdr:cNvPicPr>
          <a:picLocks noChangeAspect="1"/>
        </xdr:cNvPicPr>
      </xdr:nvPicPr>
      <xdr:blipFill>
        <a:blip xmlns:r="http://schemas.openxmlformats.org/officeDocument/2006/relationships" r:embed="rId1"/>
        <a:stretch>
          <a:fillRect/>
        </a:stretch>
      </xdr:blipFill>
      <xdr:spPr>
        <a:xfrm>
          <a:off x="114300" y="114300"/>
          <a:ext cx="2743438" cy="731583"/>
        </a:xfrm>
        <a:prstGeom prst="rect">
          <a:avLst/>
        </a:prstGeom>
      </xdr:spPr>
    </xdr:pic>
    <xdr:clientData/>
  </xdr:twoCellAnchor>
  <xdr:twoCellAnchor>
    <xdr:from>
      <xdr:col>11</xdr:col>
      <xdr:colOff>0</xdr:colOff>
      <xdr:row>1</xdr:row>
      <xdr:rowOff>0</xdr:rowOff>
    </xdr:from>
    <xdr:to>
      <xdr:col>12</xdr:col>
      <xdr:colOff>857250</xdr:colOff>
      <xdr:row>4</xdr:row>
      <xdr:rowOff>19050</xdr:rowOff>
    </xdr:to>
    <xdr:pic>
      <xdr:nvPicPr>
        <xdr:cNvPr id="5" name="Imagem 3"/>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8429625" y="114300"/>
          <a:ext cx="15716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14.xml><?xml version="1.0" encoding="utf-8"?>
<xdr:wsDr xmlns:xdr="http://schemas.openxmlformats.org/drawingml/2006/spreadsheetDrawing" xmlns:a="http://schemas.openxmlformats.org/drawingml/2006/main">
  <xdr:twoCellAnchor>
    <xdr:from>
      <xdr:col>4</xdr:col>
      <xdr:colOff>314325</xdr:colOff>
      <xdr:row>0</xdr:row>
      <xdr:rowOff>57150</xdr:rowOff>
    </xdr:from>
    <xdr:to>
      <xdr:col>6</xdr:col>
      <xdr:colOff>9525</xdr:colOff>
      <xdr:row>3</xdr:row>
      <xdr:rowOff>152400</xdr:rowOff>
    </xdr:to>
    <xdr:pic>
      <xdr:nvPicPr>
        <xdr:cNvPr id="2" name="Imagem 3"/>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5248275" y="57150"/>
          <a:ext cx="15335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1</xdr:row>
      <xdr:rowOff>0</xdr:rowOff>
    </xdr:from>
    <xdr:to>
      <xdr:col>2</xdr:col>
      <xdr:colOff>1886188</xdr:colOff>
      <xdr:row>3</xdr:row>
      <xdr:rowOff>102933</xdr:rowOff>
    </xdr:to>
    <xdr:pic>
      <xdr:nvPicPr>
        <xdr:cNvPr id="3" name="Imagem 2"/>
        <xdr:cNvPicPr>
          <a:picLocks noChangeAspect="1"/>
        </xdr:cNvPicPr>
      </xdr:nvPicPr>
      <xdr:blipFill>
        <a:blip xmlns:r="http://schemas.openxmlformats.org/officeDocument/2006/relationships" r:embed="rId2"/>
        <a:stretch>
          <a:fillRect/>
        </a:stretch>
      </xdr:blipFill>
      <xdr:spPr>
        <a:xfrm>
          <a:off x="114300" y="114300"/>
          <a:ext cx="2743438" cy="731583"/>
        </a:xfrm>
        <a:prstGeom prst="rect">
          <a:avLst/>
        </a:prstGeom>
      </xdr:spPr>
    </xdr:pic>
    <xdr:clientData/>
  </xdr:twoCellAnchor>
</xdr:wsDr>
</file>

<file path=xl/drawings/drawing15.xml><?xml version="1.0" encoding="utf-8"?>
<xdr:wsDr xmlns:xdr="http://schemas.openxmlformats.org/drawingml/2006/spreadsheetDrawing" xmlns:a="http://schemas.openxmlformats.org/drawingml/2006/main">
  <xdr:twoCellAnchor>
    <xdr:from>
      <xdr:col>7</xdr:col>
      <xdr:colOff>447675</xdr:colOff>
      <xdr:row>0</xdr:row>
      <xdr:rowOff>57150</xdr:rowOff>
    </xdr:from>
    <xdr:to>
      <xdr:col>8</xdr:col>
      <xdr:colOff>904875</xdr:colOff>
      <xdr:row>3</xdr:row>
      <xdr:rowOff>152400</xdr:rowOff>
    </xdr:to>
    <xdr:pic>
      <xdr:nvPicPr>
        <xdr:cNvPr id="5" name="Imagem 3"/>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5495925" y="57150"/>
          <a:ext cx="15716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1</xdr:row>
      <xdr:rowOff>0</xdr:rowOff>
    </xdr:from>
    <xdr:to>
      <xdr:col>3</xdr:col>
      <xdr:colOff>1600438</xdr:colOff>
      <xdr:row>3</xdr:row>
      <xdr:rowOff>102933</xdr:rowOff>
    </xdr:to>
    <xdr:pic>
      <xdr:nvPicPr>
        <xdr:cNvPr id="6" name="Imagem 5"/>
        <xdr:cNvPicPr>
          <a:picLocks noChangeAspect="1"/>
        </xdr:cNvPicPr>
      </xdr:nvPicPr>
      <xdr:blipFill>
        <a:blip xmlns:r="http://schemas.openxmlformats.org/officeDocument/2006/relationships" r:embed="rId2"/>
        <a:stretch>
          <a:fillRect/>
        </a:stretch>
      </xdr:blipFill>
      <xdr:spPr>
        <a:xfrm>
          <a:off x="114300" y="114300"/>
          <a:ext cx="2743438" cy="731583"/>
        </a:xfrm>
        <a:prstGeom prst="rect">
          <a:avLst/>
        </a:prstGeom>
      </xdr:spPr>
    </xdr:pic>
    <xdr:clientData/>
  </xdr:twoCellAnchor>
</xdr:wsDr>
</file>

<file path=xl/drawings/drawing16.xml><?xml version="1.0" encoding="utf-8"?>
<xdr:wsDr xmlns:xdr="http://schemas.openxmlformats.org/drawingml/2006/spreadsheetDrawing" xmlns:a="http://schemas.openxmlformats.org/drawingml/2006/main">
  <xdr:twoCellAnchor editAs="oneCell">
    <xdr:from>
      <xdr:col>1</xdr:col>
      <xdr:colOff>0</xdr:colOff>
      <xdr:row>1</xdr:row>
      <xdr:rowOff>0</xdr:rowOff>
    </xdr:from>
    <xdr:to>
      <xdr:col>4</xdr:col>
      <xdr:colOff>1209913</xdr:colOff>
      <xdr:row>3</xdr:row>
      <xdr:rowOff>102933</xdr:rowOff>
    </xdr:to>
    <xdr:pic>
      <xdr:nvPicPr>
        <xdr:cNvPr id="5" name="Imagem 4"/>
        <xdr:cNvPicPr>
          <a:picLocks noChangeAspect="1"/>
        </xdr:cNvPicPr>
      </xdr:nvPicPr>
      <xdr:blipFill>
        <a:blip xmlns:r="http://schemas.openxmlformats.org/officeDocument/2006/relationships" r:embed="rId1"/>
        <a:stretch>
          <a:fillRect/>
        </a:stretch>
      </xdr:blipFill>
      <xdr:spPr>
        <a:xfrm>
          <a:off x="114300" y="114300"/>
          <a:ext cx="2743438" cy="731583"/>
        </a:xfrm>
        <a:prstGeom prst="rect">
          <a:avLst/>
        </a:prstGeom>
      </xdr:spPr>
    </xdr:pic>
    <xdr:clientData/>
  </xdr:twoCellAnchor>
  <xdr:twoCellAnchor>
    <xdr:from>
      <xdr:col>6</xdr:col>
      <xdr:colOff>0</xdr:colOff>
      <xdr:row>1</xdr:row>
      <xdr:rowOff>0</xdr:rowOff>
    </xdr:from>
    <xdr:to>
      <xdr:col>7</xdr:col>
      <xdr:colOff>695325</xdr:colOff>
      <xdr:row>4</xdr:row>
      <xdr:rowOff>19050</xdr:rowOff>
    </xdr:to>
    <xdr:pic>
      <xdr:nvPicPr>
        <xdr:cNvPr id="6" name="Imagem 3"/>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5800725" y="114300"/>
          <a:ext cx="15716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17.xml><?xml version="1.0" encoding="utf-8"?>
<xdr:wsDr xmlns:xdr="http://schemas.openxmlformats.org/drawingml/2006/spreadsheetDrawing" xmlns:a="http://schemas.openxmlformats.org/drawingml/2006/main">
  <xdr:twoCellAnchor editAs="oneCell">
    <xdr:from>
      <xdr:col>1</xdr:col>
      <xdr:colOff>0</xdr:colOff>
      <xdr:row>1</xdr:row>
      <xdr:rowOff>0</xdr:rowOff>
    </xdr:from>
    <xdr:to>
      <xdr:col>5</xdr:col>
      <xdr:colOff>476488</xdr:colOff>
      <xdr:row>3</xdr:row>
      <xdr:rowOff>102933</xdr:rowOff>
    </xdr:to>
    <xdr:pic>
      <xdr:nvPicPr>
        <xdr:cNvPr id="4" name="Imagem 3"/>
        <xdr:cNvPicPr>
          <a:picLocks noChangeAspect="1"/>
        </xdr:cNvPicPr>
      </xdr:nvPicPr>
      <xdr:blipFill>
        <a:blip xmlns:r="http://schemas.openxmlformats.org/officeDocument/2006/relationships" r:embed="rId1"/>
        <a:stretch>
          <a:fillRect/>
        </a:stretch>
      </xdr:blipFill>
      <xdr:spPr>
        <a:xfrm>
          <a:off x="114300" y="114300"/>
          <a:ext cx="2743438" cy="731583"/>
        </a:xfrm>
        <a:prstGeom prst="rect">
          <a:avLst/>
        </a:prstGeom>
      </xdr:spPr>
    </xdr:pic>
    <xdr:clientData/>
  </xdr:twoCellAnchor>
  <xdr:twoCellAnchor editAs="oneCell">
    <xdr:from>
      <xdr:col>9</xdr:col>
      <xdr:colOff>470647</xdr:colOff>
      <xdr:row>1</xdr:row>
      <xdr:rowOff>0</xdr:rowOff>
    </xdr:from>
    <xdr:to>
      <xdr:col>11</xdr:col>
      <xdr:colOff>293259</xdr:colOff>
      <xdr:row>4</xdr:row>
      <xdr:rowOff>16074</xdr:rowOff>
    </xdr:to>
    <xdr:pic>
      <xdr:nvPicPr>
        <xdr:cNvPr id="7" name="Imagem 6"/>
        <xdr:cNvPicPr>
          <a:picLocks noChangeAspect="1"/>
        </xdr:cNvPicPr>
      </xdr:nvPicPr>
      <xdr:blipFill>
        <a:blip xmlns:r="http://schemas.openxmlformats.org/officeDocument/2006/relationships" r:embed="rId2"/>
        <a:stretch>
          <a:fillRect/>
        </a:stretch>
      </xdr:blipFill>
      <xdr:spPr>
        <a:xfrm>
          <a:off x="6835588" y="112059"/>
          <a:ext cx="1570730" cy="834103"/>
        </a:xfrm>
        <a:prstGeom prst="rect">
          <a:avLst/>
        </a:prstGeom>
      </xdr:spPr>
    </xdr:pic>
    <xdr:clientData/>
  </xdr:twoCellAnchor>
</xdr:wsDr>
</file>

<file path=xl/drawings/drawing18.xml><?xml version="1.0" encoding="utf-8"?>
<xdr:wsDr xmlns:xdr="http://schemas.openxmlformats.org/drawingml/2006/spreadsheetDrawing" xmlns:a="http://schemas.openxmlformats.org/drawingml/2006/main">
  <xdr:twoCellAnchor editAs="oneCell">
    <xdr:from>
      <xdr:col>0</xdr:col>
      <xdr:colOff>69272</xdr:colOff>
      <xdr:row>0</xdr:row>
      <xdr:rowOff>103909</xdr:rowOff>
    </xdr:from>
    <xdr:to>
      <xdr:col>5</xdr:col>
      <xdr:colOff>333379</xdr:colOff>
      <xdr:row>7</xdr:row>
      <xdr:rowOff>69273</xdr:rowOff>
    </xdr:to>
    <xdr:pic>
      <xdr:nvPicPr>
        <xdr:cNvPr id="2" name="Imagem 1"/>
        <xdr:cNvPicPr>
          <a:picLocks noChangeAspect="1"/>
        </xdr:cNvPicPr>
      </xdr:nvPicPr>
      <xdr:blipFill>
        <a:blip xmlns:r="http://schemas.openxmlformats.org/officeDocument/2006/relationships" r:embed="rId1"/>
        <a:stretch>
          <a:fillRect/>
        </a:stretch>
      </xdr:blipFill>
      <xdr:spPr>
        <a:xfrm>
          <a:off x="69272" y="103909"/>
          <a:ext cx="4870743" cy="1298864"/>
        </a:xfrm>
        <a:prstGeom prst="rect">
          <a:avLst/>
        </a:prstGeom>
      </xdr:spPr>
    </xdr:pic>
    <xdr:clientData/>
  </xdr:twoCellAnchor>
  <xdr:twoCellAnchor>
    <xdr:from>
      <xdr:col>22</xdr:col>
      <xdr:colOff>380998</xdr:colOff>
      <xdr:row>0</xdr:row>
      <xdr:rowOff>86591</xdr:rowOff>
    </xdr:from>
    <xdr:to>
      <xdr:col>24</xdr:col>
      <xdr:colOff>871361</xdr:colOff>
      <xdr:row>7</xdr:row>
      <xdr:rowOff>49091</xdr:rowOff>
    </xdr:to>
    <xdr:pic>
      <xdr:nvPicPr>
        <xdr:cNvPr id="3" name="Imagem 3"/>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3864453" y="86591"/>
          <a:ext cx="2429999" cy="1296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19.xml><?xml version="1.0" encoding="utf-8"?>
<xdr:wsDr xmlns:xdr="http://schemas.openxmlformats.org/drawingml/2006/spreadsheetDrawing" xmlns:a="http://schemas.openxmlformats.org/drawingml/2006/main">
  <xdr:twoCellAnchor>
    <xdr:from>
      <xdr:col>1</xdr:col>
      <xdr:colOff>0</xdr:colOff>
      <xdr:row>1</xdr:row>
      <xdr:rowOff>0</xdr:rowOff>
    </xdr:from>
    <xdr:to>
      <xdr:col>3</xdr:col>
      <xdr:colOff>1600200</xdr:colOff>
      <xdr:row>2</xdr:row>
      <xdr:rowOff>295275</xdr:rowOff>
    </xdr:to>
    <xdr:pic>
      <xdr:nvPicPr>
        <xdr:cNvPr id="2" name="Imagem 2"/>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14300" y="114300"/>
          <a:ext cx="2743200" cy="733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16384</xdr:col>
      <xdr:colOff>1428750</xdr:colOff>
      <xdr:row>1</xdr:row>
      <xdr:rowOff>57150</xdr:rowOff>
    </xdr:from>
    <xdr:to>
      <xdr:col>16384</xdr:col>
      <xdr:colOff>3000375</xdr:colOff>
      <xdr:row>3</xdr:row>
      <xdr:rowOff>19050</xdr:rowOff>
    </xdr:to>
    <xdr:pic>
      <xdr:nvPicPr>
        <xdr:cNvPr id="3" name="Imagem 3"/>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8220075" y="171450"/>
          <a:ext cx="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5</xdr:col>
      <xdr:colOff>838200</xdr:colOff>
      <xdr:row>1</xdr:row>
      <xdr:rowOff>0</xdr:rowOff>
    </xdr:from>
    <xdr:to>
      <xdr:col>6</xdr:col>
      <xdr:colOff>1314450</xdr:colOff>
      <xdr:row>2</xdr:row>
      <xdr:rowOff>400050</xdr:rowOff>
    </xdr:to>
    <xdr:pic>
      <xdr:nvPicPr>
        <xdr:cNvPr id="4" name="Imagem 3"/>
        <xdr:cNvPicPr>
          <a:picLocks noChangeAspect="1" noChangeArrowheads="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6153150" y="114300"/>
          <a:ext cx="125730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0.xml><?xml version="1.0" encoding="utf-8"?>
<xdr:wsDr xmlns:xdr="http://schemas.openxmlformats.org/drawingml/2006/spreadsheetDrawing" xmlns:a="http://schemas.openxmlformats.org/drawingml/2006/main">
  <xdr:twoCellAnchor>
    <xdr:from>
      <xdr:col>1</xdr:col>
      <xdr:colOff>0</xdr:colOff>
      <xdr:row>1</xdr:row>
      <xdr:rowOff>0</xdr:rowOff>
    </xdr:from>
    <xdr:to>
      <xdr:col>3</xdr:col>
      <xdr:colOff>0</xdr:colOff>
      <xdr:row>2</xdr:row>
      <xdr:rowOff>295275</xdr:rowOff>
    </xdr:to>
    <xdr:pic>
      <xdr:nvPicPr>
        <xdr:cNvPr id="2" name="Imagem 2"/>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14300" y="114300"/>
          <a:ext cx="2743200" cy="733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10</xdr:col>
      <xdr:colOff>0</xdr:colOff>
      <xdr:row>1</xdr:row>
      <xdr:rowOff>0</xdr:rowOff>
    </xdr:from>
    <xdr:to>
      <xdr:col>11</xdr:col>
      <xdr:colOff>590550</xdr:colOff>
      <xdr:row>2</xdr:row>
      <xdr:rowOff>400050</xdr:rowOff>
    </xdr:to>
    <xdr:pic>
      <xdr:nvPicPr>
        <xdr:cNvPr id="3" name="Imagem 3"/>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7639050" y="114300"/>
          <a:ext cx="1571625" cy="771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Tema do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0.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1.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2.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13.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14.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15.xml"/><Relationship Id="rId1" Type="http://schemas.openxmlformats.org/officeDocument/2006/relationships/printerSettings" Target="../printerSettings/printerSettings15.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16.xml"/><Relationship Id="rId1" Type="http://schemas.openxmlformats.org/officeDocument/2006/relationships/printerSettings" Target="../printerSettings/printerSettings16.bin"/></Relationships>
</file>

<file path=xl/worksheets/_rels/sheet16.xml.rels><?xml version="1.0" encoding="UTF-8" standalone="yes"?>
<Relationships xmlns="http://schemas.openxmlformats.org/package/2006/relationships"><Relationship Id="rId2" Type="http://schemas.openxmlformats.org/officeDocument/2006/relationships/drawing" Target="../drawings/drawing17.xml"/><Relationship Id="rId1" Type="http://schemas.openxmlformats.org/officeDocument/2006/relationships/printerSettings" Target="../printerSettings/printerSettings17.bin"/></Relationships>
</file>

<file path=xl/worksheets/_rels/sheet17.xml.rels><?xml version="1.0" encoding="UTF-8" standalone="yes"?>
<Relationships xmlns="http://schemas.openxmlformats.org/package/2006/relationships"><Relationship Id="rId2" Type="http://schemas.openxmlformats.org/officeDocument/2006/relationships/drawing" Target="../drawings/drawing18.xml"/><Relationship Id="rId1" Type="http://schemas.openxmlformats.org/officeDocument/2006/relationships/printerSettings" Target="../printerSettings/printerSettings18.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7.xml.rels><?xml version="1.0" encoding="UTF-8" standalone="yes"?>
<Relationships xmlns="http://schemas.openxmlformats.org/package/2006/relationships"><Relationship Id="rId2" Type="http://schemas.openxmlformats.org/officeDocument/2006/relationships/drawing" Target="../drawings/drawing19.xml"/><Relationship Id="rId1" Type="http://schemas.openxmlformats.org/officeDocument/2006/relationships/printerSettings" Target="../printerSettings/printerSettings24.bin"/></Relationships>
</file>

<file path=xl/worksheets/_rels/sheet28.xml.rels><?xml version="1.0" encoding="UTF-8" standalone="yes"?>
<Relationships xmlns="http://schemas.openxmlformats.org/package/2006/relationships"><Relationship Id="rId2" Type="http://schemas.openxmlformats.org/officeDocument/2006/relationships/drawing" Target="../drawings/drawing20.xml"/><Relationship Id="rId1" Type="http://schemas.openxmlformats.org/officeDocument/2006/relationships/printerSettings" Target="../printerSettings/printerSettings2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Planilha1">
    <pageSetUpPr fitToPage="1"/>
  </sheetPr>
  <dimension ref="A1:AG40"/>
  <sheetViews>
    <sheetView showGridLines="0" view="pageBreakPreview" zoomScaleNormal="100" zoomScaleSheetLayoutView="100" workbookViewId="0">
      <selection activeCell="J24" sqref="J24"/>
    </sheetView>
  </sheetViews>
  <sheetFormatPr defaultColWidth="0" defaultRowHeight="15" customHeight="1" zeroHeight="1" x14ac:dyDescent="0.25"/>
  <cols>
    <col min="1" max="1" width="1.7109375" style="2" customWidth="1"/>
    <col min="2" max="2" width="9.85546875" style="2" bestFit="1" customWidth="1"/>
    <col min="3" max="3" width="7.28515625" style="2" customWidth="1"/>
    <col min="4" max="4" width="13.42578125" style="2" customWidth="1"/>
    <col min="5" max="5" width="9.140625" style="2" customWidth="1"/>
    <col min="6" max="6" width="5.5703125" style="2" bestFit="1" customWidth="1"/>
    <col min="7" max="7" width="55.28515625" style="2" customWidth="1"/>
    <col min="8" max="8" width="9.140625" style="2" customWidth="1"/>
    <col min="9" max="9" width="10.28515625" style="2" bestFit="1" customWidth="1"/>
    <col min="10" max="10" width="16.28515625" style="2" bestFit="1" customWidth="1"/>
    <col min="11" max="11" width="1.7109375" style="2" customWidth="1"/>
    <col min="12" max="19" width="9.140625" style="2" hidden="1" customWidth="1"/>
    <col min="20" max="33" width="0" style="2" hidden="1" customWidth="1"/>
    <col min="34" max="16384" width="9.140625" style="2" hidden="1"/>
  </cols>
  <sheetData>
    <row r="1" spans="2:10" ht="9" customHeight="1" x14ac:dyDescent="0.25"/>
    <row r="2" spans="2:10" ht="34.5" customHeight="1" x14ac:dyDescent="0.25"/>
    <row r="3" spans="2:10" x14ac:dyDescent="0.25"/>
    <row r="4" spans="2:10" x14ac:dyDescent="0.25"/>
    <row r="5" spans="2:10" x14ac:dyDescent="0.25">
      <c r="B5" s="23" t="s">
        <v>0</v>
      </c>
      <c r="C5" s="459" t="s">
        <v>1216</v>
      </c>
      <c r="D5" s="459"/>
      <c r="E5" s="459"/>
      <c r="F5" s="459"/>
      <c r="G5" s="459"/>
      <c r="H5" s="459"/>
      <c r="I5" s="459"/>
      <c r="J5" s="459"/>
    </row>
    <row r="6" spans="2:10" x14ac:dyDescent="0.25">
      <c r="B6" s="5" t="s">
        <v>862</v>
      </c>
      <c r="C6" s="1" t="s">
        <v>1215</v>
      </c>
    </row>
    <row r="7" spans="2:10" x14ac:dyDescent="0.25">
      <c r="B7" s="5" t="s">
        <v>863</v>
      </c>
      <c r="C7" s="1"/>
    </row>
    <row r="8" spans="2:10" x14ac:dyDescent="0.25">
      <c r="B8" s="5" t="s">
        <v>1</v>
      </c>
      <c r="C8" s="239">
        <v>1.3</v>
      </c>
      <c r="D8" s="2" t="s">
        <v>3</v>
      </c>
      <c r="G8" s="2" t="s">
        <v>1132</v>
      </c>
      <c r="I8" s="5" t="s">
        <v>16</v>
      </c>
      <c r="J8" s="6" t="s">
        <v>1217</v>
      </c>
    </row>
    <row r="9" spans="2:10" x14ac:dyDescent="0.25">
      <c r="B9" s="5" t="s">
        <v>2</v>
      </c>
      <c r="C9" s="264">
        <v>365</v>
      </c>
      <c r="D9" s="2" t="s">
        <v>4</v>
      </c>
      <c r="I9" s="5" t="s">
        <v>17</v>
      </c>
      <c r="J9" s="265">
        <v>45748</v>
      </c>
    </row>
    <row r="10" spans="2:10" x14ac:dyDescent="0.25"/>
    <row r="11" spans="2:10" s="11" customFormat="1" ht="21" x14ac:dyDescent="0.25">
      <c r="F11" s="458" t="s">
        <v>18</v>
      </c>
      <c r="G11" s="458"/>
    </row>
    <row r="12" spans="2:10" ht="15" customHeight="1" x14ac:dyDescent="0.25"/>
    <row r="13" spans="2:10" ht="15" customHeight="1" x14ac:dyDescent="0.25">
      <c r="F13" s="113" t="s">
        <v>19</v>
      </c>
      <c r="G13" s="113" t="s">
        <v>15</v>
      </c>
    </row>
    <row r="14" spans="2:10" ht="15" customHeight="1" x14ac:dyDescent="0.25">
      <c r="F14" s="114">
        <v>1</v>
      </c>
      <c r="G14" s="119" t="s">
        <v>20</v>
      </c>
    </row>
    <row r="15" spans="2:10" ht="15" customHeight="1" x14ac:dyDescent="0.25">
      <c r="F15" s="114">
        <v>2</v>
      </c>
      <c r="G15" s="119" t="s">
        <v>21</v>
      </c>
    </row>
    <row r="16" spans="2:10" ht="15" customHeight="1" x14ac:dyDescent="0.25">
      <c r="F16" s="114">
        <v>3</v>
      </c>
      <c r="G16" s="119" t="s">
        <v>724</v>
      </c>
    </row>
    <row r="17" spans="6:7" ht="15" customHeight="1" x14ac:dyDescent="0.25">
      <c r="F17" s="114">
        <v>4</v>
      </c>
      <c r="G17" s="119" t="s">
        <v>22</v>
      </c>
    </row>
    <row r="18" spans="6:7" ht="15" customHeight="1" x14ac:dyDescent="0.25">
      <c r="F18" s="114">
        <v>5</v>
      </c>
      <c r="G18" s="119" t="s">
        <v>23</v>
      </c>
    </row>
    <row r="19" spans="6:7" ht="15" customHeight="1" x14ac:dyDescent="0.25">
      <c r="F19" s="114">
        <v>6</v>
      </c>
      <c r="G19" s="119" t="s">
        <v>400</v>
      </c>
    </row>
    <row r="20" spans="6:7" ht="15" customHeight="1" x14ac:dyDescent="0.25">
      <c r="F20" s="114">
        <v>7</v>
      </c>
      <c r="G20" s="119" t="s">
        <v>481</v>
      </c>
    </row>
    <row r="21" spans="6:7" ht="15" customHeight="1" x14ac:dyDescent="0.25">
      <c r="F21" s="114">
        <v>8</v>
      </c>
      <c r="G21" s="119" t="s">
        <v>24</v>
      </c>
    </row>
    <row r="22" spans="6:7" ht="15" customHeight="1" x14ac:dyDescent="0.25">
      <c r="F22" s="114">
        <v>9</v>
      </c>
      <c r="G22" s="119" t="s">
        <v>25</v>
      </c>
    </row>
    <row r="23" spans="6:7" ht="15" customHeight="1" x14ac:dyDescent="0.25">
      <c r="F23" s="114">
        <v>10</v>
      </c>
      <c r="G23" s="119" t="s">
        <v>26</v>
      </c>
    </row>
    <row r="24" spans="6:7" ht="15" customHeight="1" x14ac:dyDescent="0.25">
      <c r="F24" s="114">
        <v>11</v>
      </c>
      <c r="G24" s="119" t="s">
        <v>27</v>
      </c>
    </row>
    <row r="25" spans="6:7" ht="15" customHeight="1" x14ac:dyDescent="0.25">
      <c r="F25" s="114">
        <v>12</v>
      </c>
      <c r="G25" s="119" t="s">
        <v>28</v>
      </c>
    </row>
    <row r="26" spans="6:7" ht="15" customHeight="1" x14ac:dyDescent="0.25">
      <c r="F26" s="114">
        <v>13</v>
      </c>
      <c r="G26" s="119" t="s">
        <v>746</v>
      </c>
    </row>
    <row r="27" spans="6:7" ht="15" customHeight="1" x14ac:dyDescent="0.25">
      <c r="F27" s="114">
        <v>14</v>
      </c>
      <c r="G27" s="119" t="s">
        <v>747</v>
      </c>
    </row>
    <row r="28" spans="6:7" ht="15" customHeight="1" x14ac:dyDescent="0.25">
      <c r="F28" s="114">
        <v>15</v>
      </c>
      <c r="G28" s="119" t="s">
        <v>748</v>
      </c>
    </row>
    <row r="29" spans="6:7" ht="15" customHeight="1" x14ac:dyDescent="0.25">
      <c r="F29" s="114">
        <v>16</v>
      </c>
      <c r="G29" s="119" t="s">
        <v>749</v>
      </c>
    </row>
    <row r="30" spans="6:7" ht="15" customHeight="1" x14ac:dyDescent="0.25">
      <c r="F30" s="114">
        <v>17</v>
      </c>
      <c r="G30" s="119" t="s">
        <v>750</v>
      </c>
    </row>
    <row r="31" spans="6:7" ht="15" customHeight="1" x14ac:dyDescent="0.2">
      <c r="F31" s="114">
        <v>18</v>
      </c>
      <c r="G31" s="249" t="s">
        <v>751</v>
      </c>
    </row>
    <row r="32" spans="6:7" ht="15" customHeight="1" x14ac:dyDescent="0.25">
      <c r="F32" s="114">
        <v>19</v>
      </c>
      <c r="G32" s="71" t="s">
        <v>752</v>
      </c>
    </row>
    <row r="33" spans="6:7" ht="15" customHeight="1" x14ac:dyDescent="0.25">
      <c r="F33" s="114">
        <v>20</v>
      </c>
      <c r="G33" s="71" t="s">
        <v>753</v>
      </c>
    </row>
    <row r="34" spans="6:7" ht="15" customHeight="1" x14ac:dyDescent="0.25">
      <c r="F34" s="114">
        <v>21</v>
      </c>
      <c r="G34" s="71" t="s">
        <v>754</v>
      </c>
    </row>
    <row r="35" spans="6:7" ht="15" customHeight="1" x14ac:dyDescent="0.25">
      <c r="F35" s="114">
        <v>22</v>
      </c>
      <c r="G35" s="71" t="s">
        <v>755</v>
      </c>
    </row>
    <row r="36" spans="6:7" ht="9" customHeight="1" x14ac:dyDescent="0.25"/>
    <row r="37" spans="6:7" ht="15" hidden="1" customHeight="1" x14ac:dyDescent="0.25"/>
    <row r="38" spans="6:7" ht="15" hidden="1" customHeight="1" x14ac:dyDescent="0.25"/>
    <row r="39" spans="6:7" ht="15" hidden="1" customHeight="1" x14ac:dyDescent="0.25"/>
    <row r="40" spans="6:7" ht="15" hidden="1" customHeight="1" x14ac:dyDescent="0.25"/>
  </sheetData>
  <mergeCells count="2">
    <mergeCell ref="F11:G11"/>
    <mergeCell ref="C5:J5"/>
  </mergeCells>
  <hyperlinks>
    <hyperlink ref="G14" location="'Qd abrang'!A1" display="Quadro de abrangência do projeto"/>
    <hyperlink ref="G15" location="Orcamento!A1" display="Planilha sintética do orçamento"/>
    <hyperlink ref="G16" location="'Crono medicoes'!A1" display="Cronograma de medições"/>
    <hyperlink ref="G17" location="'Custos proj'!A1" display="Custo do projeto"/>
    <hyperlink ref="G18" location="MO!A1" display="Custo da mão de obra"/>
    <hyperlink ref="G19" location="Veículos!A1" display="Custo dos veículos"/>
    <hyperlink ref="G20" location="'Equip + materiais'!A1" display="Custo de equipamentos e materiais"/>
    <hyperlink ref="G21" location="'Diárias + passagens'!A1" display="Custo de diárias e passagens"/>
    <hyperlink ref="G22" location="'Mob desmob MO'!A1" display="Custo de mobilização e desmobilização da mão de obra"/>
    <hyperlink ref="G23" location="'Mob desmob equip rod'!A1" display="Custo de mobilização e desmobilização de equipamentos rodantes"/>
    <hyperlink ref="G24" location="'Inst + diversos'!A1" display="Custo das instalações físicas e diversos"/>
    <hyperlink ref="G25" location="'Serv graf'!A1" display="Custo com serviços gráficos"/>
    <hyperlink ref="G26" location="Produtividade!A1" display="Produtividade"/>
    <hyperlink ref="G28" location="'Crono fisico'!A1" display="Memória de cálculo: cronograma físico"/>
    <hyperlink ref="G27" location="'Memo calc'!A1" display="Memória de cálculo"/>
    <hyperlink ref="G29" location="'Histo esc'!A1" display="Histograma: escritório"/>
    <hyperlink ref="G30" location="'Histo resid'!A1" display="Histograma: residência"/>
  </hyperlinks>
  <printOptions horizontalCentered="1"/>
  <pageMargins left="1.1811023622047245" right="0.78740157480314965" top="0.39370078740157483" bottom="0.78740157480314965" header="0.78740157480314965" footer="0.31496062992125984"/>
  <pageSetup paperSize="9" scale="89" orientation="landscape" r:id="rId1"/>
  <headerFooter>
    <oddFooter xml:space="preserve">&amp;C&amp;10Av. Des. José Nunes da Cunha, Bloco 14, Parque dos Poderes, Campo Grande (MS), CEP 79031-310
PABX: (67) 3318-5300/ Gab: 5538 – Fax (67) 3318-5386 – gabinete@seinfra.ms.gov.br
</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Planilha2">
    <pageSetUpPr fitToPage="1"/>
  </sheetPr>
  <dimension ref="A1:AF48"/>
  <sheetViews>
    <sheetView showGridLines="0" view="pageBreakPreview" zoomScaleNormal="100" zoomScaleSheetLayoutView="100" workbookViewId="0">
      <selection activeCell="F14" sqref="F14"/>
    </sheetView>
  </sheetViews>
  <sheetFormatPr defaultColWidth="0" defaultRowHeight="15" zeroHeight="1" x14ac:dyDescent="0.25"/>
  <cols>
    <col min="1" max="1" width="1.7109375" style="2" customWidth="1"/>
    <col min="2" max="2" width="9.85546875" style="2" bestFit="1" customWidth="1"/>
    <col min="3" max="3" width="7.28515625" style="2" customWidth="1"/>
    <col min="4" max="4" width="21.85546875" style="2" customWidth="1"/>
    <col min="5" max="5" width="9.7109375" style="2" customWidth="1"/>
    <col min="6" max="7" width="8.7109375" style="2" customWidth="1"/>
    <col min="8" max="8" width="10.28515625" style="2" bestFit="1" customWidth="1"/>
    <col min="9" max="9" width="9.28515625" style="2" bestFit="1" customWidth="1"/>
    <col min="10" max="11" width="9.140625" style="2" customWidth="1"/>
    <col min="12" max="12" width="25.7109375" style="2" customWidth="1"/>
    <col min="13" max="14" width="16.7109375" style="2" customWidth="1"/>
    <col min="15" max="15" width="1.7109375" style="2" customWidth="1"/>
    <col min="16" max="32" width="0" style="2" hidden="1" customWidth="1"/>
    <col min="33" max="16384" width="9.140625" style="2" hidden="1"/>
  </cols>
  <sheetData>
    <row r="1" spans="2:14" ht="9" customHeight="1" x14ac:dyDescent="0.25"/>
    <row r="2" spans="2:14" ht="34.5" customHeight="1" x14ac:dyDescent="0.25"/>
    <row r="3" spans="2:14" x14ac:dyDescent="0.25"/>
    <row r="4" spans="2:14" x14ac:dyDescent="0.25">
      <c r="B4" s="23" t="s">
        <v>0</v>
      </c>
      <c r="C4" s="460" t="str">
        <f>Sumario!C5</f>
        <v>Contratação de Projeto Executivo de Engenharia para Implantação do Aeródromo no município de Ribas do Rio Pardo</v>
      </c>
      <c r="D4" s="460"/>
      <c r="E4" s="460"/>
      <c r="F4" s="460"/>
      <c r="G4" s="460"/>
      <c r="H4" s="460"/>
      <c r="I4" s="460"/>
      <c r="J4" s="460"/>
      <c r="K4" s="460"/>
      <c r="L4" s="460"/>
      <c r="M4" s="460"/>
      <c r="N4" s="460"/>
    </row>
    <row r="5" spans="2:14" x14ac:dyDescent="0.25">
      <c r="B5" s="5" t="s">
        <v>862</v>
      </c>
      <c r="C5" s="2" t="str">
        <f>Sumario!C6</f>
        <v>Ribas do Rio Pardo/MS</v>
      </c>
    </row>
    <row r="6" spans="2:14" x14ac:dyDescent="0.25">
      <c r="B6" s="5" t="s">
        <v>863</v>
      </c>
      <c r="C6" s="2">
        <f>Sumario!C7</f>
        <v>0</v>
      </c>
    </row>
    <row r="7" spans="2:14" x14ac:dyDescent="0.25">
      <c r="B7" s="5" t="s">
        <v>1</v>
      </c>
      <c r="C7" s="238">
        <f>Sumario!C8</f>
        <v>1.3</v>
      </c>
      <c r="D7" s="2" t="str">
        <f>Sumario!D8</f>
        <v>km (aproximadamente)</v>
      </c>
      <c r="E7" s="5" t="s">
        <v>960</v>
      </c>
      <c r="F7" s="51">
        <v>23</v>
      </c>
      <c r="G7" s="2" t="s">
        <v>411</v>
      </c>
      <c r="M7" s="5" t="s">
        <v>16</v>
      </c>
      <c r="N7" s="112" t="str">
        <f>Sumario!J8</f>
        <v>79.009.850-2025</v>
      </c>
    </row>
    <row r="8" spans="2:14" x14ac:dyDescent="0.25">
      <c r="B8" s="5" t="s">
        <v>2</v>
      </c>
      <c r="C8" s="266">
        <f>Sumario!C9</f>
        <v>365</v>
      </c>
      <c r="D8" s="2" t="s">
        <v>4</v>
      </c>
      <c r="M8" s="5" t="s">
        <v>17</v>
      </c>
      <c r="N8" s="265">
        <f>Sumario!J9</f>
        <v>45748</v>
      </c>
    </row>
    <row r="9" spans="2:14" x14ac:dyDescent="0.25"/>
    <row r="10" spans="2:14" s="11" customFormat="1" ht="21" x14ac:dyDescent="0.25">
      <c r="B10" s="458" t="s">
        <v>5</v>
      </c>
      <c r="C10" s="458"/>
      <c r="D10" s="458"/>
      <c r="E10" s="458"/>
      <c r="F10" s="458"/>
      <c r="G10" s="458"/>
      <c r="H10" s="458"/>
      <c r="I10" s="458"/>
      <c r="J10" s="458"/>
      <c r="K10" s="458"/>
      <c r="L10" s="458"/>
      <c r="M10" s="458"/>
      <c r="N10" s="458"/>
    </row>
    <row r="11" spans="2:14" x14ac:dyDescent="0.25"/>
    <row r="12" spans="2:14" ht="15" customHeight="1" x14ac:dyDescent="0.25">
      <c r="B12" s="462" t="s">
        <v>14</v>
      </c>
      <c r="C12" s="463"/>
      <c r="D12" s="464"/>
      <c r="E12" s="471" t="s">
        <v>7</v>
      </c>
      <c r="F12" s="473" t="s">
        <v>13</v>
      </c>
      <c r="G12" s="473"/>
      <c r="H12" s="474" t="s">
        <v>739</v>
      </c>
      <c r="I12" s="474"/>
      <c r="J12" s="474"/>
      <c r="K12" s="474"/>
      <c r="L12" s="462" t="s">
        <v>8</v>
      </c>
      <c r="M12" s="474" t="s">
        <v>9</v>
      </c>
      <c r="N12" s="474"/>
    </row>
    <row r="13" spans="2:14" x14ac:dyDescent="0.25">
      <c r="B13" s="465"/>
      <c r="C13" s="466"/>
      <c r="D13" s="467"/>
      <c r="E13" s="472"/>
      <c r="F13" s="186" t="s">
        <v>864</v>
      </c>
      <c r="G13" s="186" t="s">
        <v>865</v>
      </c>
      <c r="H13" s="185" t="s">
        <v>6</v>
      </c>
      <c r="I13" s="185" t="s">
        <v>11</v>
      </c>
      <c r="J13" s="186" t="s">
        <v>7</v>
      </c>
      <c r="K13" s="186" t="s">
        <v>414</v>
      </c>
      <c r="L13" s="465"/>
      <c r="M13" s="474"/>
      <c r="N13" s="474"/>
    </row>
    <row r="14" spans="2:14" ht="26.25" customHeight="1" x14ac:dyDescent="0.25">
      <c r="B14" s="468">
        <f>C6</f>
        <v>0</v>
      </c>
      <c r="C14" s="469"/>
      <c r="D14" s="470"/>
      <c r="E14" s="189" t="s">
        <v>726</v>
      </c>
      <c r="F14" s="115">
        <v>0</v>
      </c>
      <c r="G14" s="62">
        <f>C7</f>
        <v>1.3</v>
      </c>
      <c r="H14" s="62">
        <f>G14-F14</f>
        <v>1.3</v>
      </c>
      <c r="I14" s="62">
        <f>H14</f>
        <v>1.3</v>
      </c>
      <c r="J14" s="62">
        <f>I14</f>
        <v>1.3</v>
      </c>
      <c r="K14" s="191">
        <f>J14/$I$15</f>
        <v>1</v>
      </c>
      <c r="L14" s="115" t="str">
        <f>C5</f>
        <v>Ribas do Rio Pardo/MS</v>
      </c>
      <c r="M14" s="461" t="s">
        <v>1154</v>
      </c>
      <c r="N14" s="461"/>
    </row>
    <row r="15" spans="2:14" x14ac:dyDescent="0.25">
      <c r="B15" s="116"/>
      <c r="C15" s="117"/>
      <c r="D15" s="117"/>
      <c r="E15" s="117"/>
      <c r="F15" s="117"/>
      <c r="G15" s="117"/>
      <c r="H15" s="118" t="s">
        <v>12</v>
      </c>
      <c r="I15" s="240">
        <f>I14</f>
        <v>1.3</v>
      </c>
      <c r="J15" s="117" t="s">
        <v>13</v>
      </c>
      <c r="K15" s="117"/>
      <c r="L15" s="118"/>
      <c r="M15" s="117"/>
      <c r="N15" s="13"/>
    </row>
    <row r="16" spans="2:14" s="21" customFormat="1" x14ac:dyDescent="0.25">
      <c r="B16" s="163"/>
      <c r="C16" s="19"/>
      <c r="D16" s="19"/>
      <c r="E16" s="19"/>
      <c r="F16" s="19"/>
      <c r="G16" s="19"/>
      <c r="H16" s="19"/>
      <c r="I16" s="19"/>
      <c r="J16" s="19"/>
      <c r="K16" s="19"/>
      <c r="L16" s="20"/>
      <c r="M16" s="19"/>
      <c r="N16" s="19"/>
    </row>
    <row r="17" spans="2:14" s="21" customFormat="1" hidden="1" x14ac:dyDescent="0.25">
      <c r="B17" s="19"/>
      <c r="C17" s="19"/>
      <c r="D17" s="19"/>
      <c r="E17" s="19"/>
      <c r="F17" s="19"/>
      <c r="G17" s="19"/>
      <c r="H17" s="19"/>
      <c r="I17" s="19"/>
      <c r="J17" s="19"/>
      <c r="K17" s="19"/>
      <c r="L17" s="20"/>
      <c r="M17" s="19"/>
      <c r="N17" s="19"/>
    </row>
    <row r="18" spans="2:14" s="21" customFormat="1" hidden="1" x14ac:dyDescent="0.25">
      <c r="B18" s="19"/>
      <c r="C18" s="19"/>
      <c r="D18" s="19"/>
      <c r="E18" s="19"/>
      <c r="F18" s="19"/>
      <c r="G18" s="19"/>
      <c r="H18" s="19"/>
      <c r="I18" s="19"/>
      <c r="J18" s="19"/>
      <c r="K18" s="19"/>
      <c r="L18" s="20"/>
      <c r="M18" s="19"/>
      <c r="N18" s="19"/>
    </row>
    <row r="19" spans="2:14" hidden="1" x14ac:dyDescent="0.25"/>
    <row r="20" spans="2:14" hidden="1" x14ac:dyDescent="0.25"/>
    <row r="21" spans="2:14" hidden="1" x14ac:dyDescent="0.25"/>
    <row r="22" spans="2:14" hidden="1" x14ac:dyDescent="0.25"/>
    <row r="23" spans="2:14" hidden="1" x14ac:dyDescent="0.25"/>
    <row r="24" spans="2:14" hidden="1" x14ac:dyDescent="0.25"/>
    <row r="25" spans="2:14" hidden="1" x14ac:dyDescent="0.25"/>
    <row r="26" spans="2:14" hidden="1" x14ac:dyDescent="0.25"/>
    <row r="27" spans="2:14" hidden="1" x14ac:dyDescent="0.25"/>
    <row r="28" spans="2:14" hidden="1" x14ac:dyDescent="0.25"/>
    <row r="29" spans="2:14" hidden="1" x14ac:dyDescent="0.25"/>
    <row r="30" spans="2:14" hidden="1" x14ac:dyDescent="0.25"/>
    <row r="31" spans="2:14" hidden="1" x14ac:dyDescent="0.25"/>
    <row r="32" spans="2:14" hidden="1" x14ac:dyDescent="0.25"/>
    <row r="33" hidden="1" x14ac:dyDescent="0.25"/>
    <row r="34" hidden="1" x14ac:dyDescent="0.25"/>
    <row r="35" hidden="1" x14ac:dyDescent="0.25"/>
    <row r="36" hidden="1" x14ac:dyDescent="0.25"/>
    <row r="37" hidden="1" x14ac:dyDescent="0.25"/>
    <row r="38" hidden="1" x14ac:dyDescent="0.25"/>
    <row r="39" hidden="1" x14ac:dyDescent="0.25"/>
    <row r="40" hidden="1" x14ac:dyDescent="0.25"/>
    <row r="41" hidden="1" x14ac:dyDescent="0.25"/>
    <row r="42" hidden="1" x14ac:dyDescent="0.25"/>
    <row r="43" hidden="1" x14ac:dyDescent="0.25"/>
    <row r="44" hidden="1" x14ac:dyDescent="0.25"/>
    <row r="45" hidden="1" x14ac:dyDescent="0.25"/>
    <row r="46" hidden="1" x14ac:dyDescent="0.25"/>
    <row r="47" hidden="1" x14ac:dyDescent="0.25"/>
    <row r="48" hidden="1" x14ac:dyDescent="0.25"/>
  </sheetData>
  <mergeCells count="10">
    <mergeCell ref="C4:N4"/>
    <mergeCell ref="B10:N10"/>
    <mergeCell ref="M14:N14"/>
    <mergeCell ref="B12:D13"/>
    <mergeCell ref="B14:D14"/>
    <mergeCell ref="E12:E13"/>
    <mergeCell ref="F12:G12"/>
    <mergeCell ref="H12:K12"/>
    <mergeCell ref="L12:L13"/>
    <mergeCell ref="M12:N13"/>
  </mergeCells>
  <printOptions horizontalCentered="1"/>
  <pageMargins left="1.1811023622047245" right="0.78740157480314965" top="0.39370078740157483" bottom="0.78740157480314965" header="0.19685039370078741" footer="0.19685039370078741"/>
  <pageSetup paperSize="9" scale="74" fitToHeight="0" orientation="landscape" r:id="rId1"/>
  <headerFooter>
    <oddFooter xml:space="preserve">&amp;C&amp;10Av. Des. José Nunes da Cunha, Bloco 14, Parque dos Poderes, Campo Grande (MS), CEP 79031-310
PABX: (67) 3318-5300/ Gab: 5538 – Fax (67) 3318-5386 – gabinete@seinfra.ms.gov.br
</oddFooter>
  </headerFooter>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Planilha3">
    <pageSetUpPr fitToPage="1"/>
  </sheetPr>
  <dimension ref="B1:XFC84"/>
  <sheetViews>
    <sheetView showGridLines="0" view="pageBreakPreview" topLeftCell="A34" zoomScale="115" zoomScaleNormal="100" zoomScaleSheetLayoutView="115" workbookViewId="0">
      <selection activeCell="F54" sqref="F54"/>
    </sheetView>
  </sheetViews>
  <sheetFormatPr defaultColWidth="0" defaultRowHeight="15" customHeight="1" x14ac:dyDescent="0.25"/>
  <cols>
    <col min="1" max="1" width="1.7109375" style="2" customWidth="1"/>
    <col min="2" max="2" width="9.85546875" style="2" bestFit="1" customWidth="1"/>
    <col min="3" max="3" width="7.28515625" style="2" customWidth="1"/>
    <col min="4" max="4" width="48" style="2" customWidth="1"/>
    <col min="5" max="5" width="15.85546875" style="2" customWidth="1"/>
    <col min="6" max="6" width="16.42578125" style="2" bestFit="1" customWidth="1"/>
    <col min="7" max="7" width="15" style="2" bestFit="1" customWidth="1"/>
    <col min="8" max="8" width="1.7109375" style="2" customWidth="1"/>
    <col min="9" max="16383" width="9.140625" style="2" hidden="1"/>
    <col min="16384" max="16384" width="1.28515625" style="2" customWidth="1"/>
  </cols>
  <sheetData>
    <row r="1" spans="2:7" ht="9" customHeight="1" x14ac:dyDescent="0.25"/>
    <row r="2" spans="2:7" ht="34.5" customHeight="1" x14ac:dyDescent="0.25"/>
    <row r="3" spans="2:7" ht="34.5" customHeight="1" x14ac:dyDescent="0.25"/>
    <row r="4" spans="2:7" ht="3" customHeight="1" x14ac:dyDescent="0.25"/>
    <row r="5" spans="2:7" x14ac:dyDescent="0.25">
      <c r="B5" s="23" t="s">
        <v>0</v>
      </c>
      <c r="C5" s="459" t="str">
        <f>Sumario!C5</f>
        <v>Contratação de Projeto Executivo de Engenharia para Implantação do Aeródromo no município de Ribas do Rio Pardo</v>
      </c>
      <c r="D5" s="459"/>
      <c r="E5" s="459"/>
      <c r="F5" s="459"/>
      <c r="G5" s="459"/>
    </row>
    <row r="6" spans="2:7" x14ac:dyDescent="0.25">
      <c r="B6" s="5" t="s">
        <v>862</v>
      </c>
      <c r="C6" s="1" t="str">
        <f>Sumario!C6</f>
        <v>Ribas do Rio Pardo/MS</v>
      </c>
    </row>
    <row r="7" spans="2:7" x14ac:dyDescent="0.25">
      <c r="B7" s="5" t="s">
        <v>863</v>
      </c>
      <c r="C7" s="1">
        <f>Sumario!C7</f>
        <v>0</v>
      </c>
    </row>
    <row r="8" spans="2:7" x14ac:dyDescent="0.25">
      <c r="B8" s="5" t="s">
        <v>1</v>
      </c>
      <c r="C8" s="239">
        <f>Sumario!C8</f>
        <v>1.3</v>
      </c>
      <c r="D8" s="2" t="s">
        <v>1133</v>
      </c>
      <c r="F8" s="5" t="s">
        <v>16</v>
      </c>
      <c r="G8" s="6" t="str">
        <f>Sumario!J8</f>
        <v>79.009.850-2025</v>
      </c>
    </row>
    <row r="9" spans="2:7" x14ac:dyDescent="0.25">
      <c r="B9" s="5" t="s">
        <v>2</v>
      </c>
      <c r="C9" s="264">
        <f>Sumario!C9</f>
        <v>365</v>
      </c>
      <c r="D9" s="2" t="s">
        <v>4</v>
      </c>
      <c r="F9" s="5" t="s">
        <v>17</v>
      </c>
      <c r="G9" s="265">
        <f>Sumario!J9</f>
        <v>45748</v>
      </c>
    </row>
    <row r="10" spans="2:7" x14ac:dyDescent="0.25">
      <c r="B10" s="5" t="s">
        <v>723</v>
      </c>
      <c r="C10" s="480">
        <f>TRUNC(BDI!D17/100,4)</f>
        <v>0.4511</v>
      </c>
      <c r="D10" s="480"/>
      <c r="F10" s="5"/>
      <c r="G10" s="6"/>
    </row>
    <row r="12" spans="2:7" s="11" customFormat="1" ht="21" x14ac:dyDescent="0.25">
      <c r="B12" s="458" t="s">
        <v>21</v>
      </c>
      <c r="C12" s="458"/>
      <c r="D12" s="458"/>
      <c r="E12" s="458"/>
      <c r="F12" s="458"/>
      <c r="G12" s="458"/>
    </row>
    <row r="13" spans="2:7" ht="7.5" customHeight="1" x14ac:dyDescent="0.25"/>
    <row r="14" spans="2:7" ht="30" customHeight="1" x14ac:dyDescent="0.25">
      <c r="B14" s="473" t="s">
        <v>19</v>
      </c>
      <c r="C14" s="478" t="s">
        <v>15</v>
      </c>
      <c r="D14" s="479"/>
      <c r="E14" s="120" t="s">
        <v>717</v>
      </c>
      <c r="F14" s="120" t="s">
        <v>718</v>
      </c>
      <c r="G14" s="473" t="s">
        <v>414</v>
      </c>
    </row>
    <row r="15" spans="2:7" ht="15" customHeight="1" x14ac:dyDescent="0.25">
      <c r="B15" s="473"/>
      <c r="C15" s="478"/>
      <c r="D15" s="479"/>
      <c r="E15" s="120" t="s">
        <v>363</v>
      </c>
      <c r="F15" s="120" t="s">
        <v>719</v>
      </c>
      <c r="G15" s="473"/>
    </row>
    <row r="16" spans="2:7" x14ac:dyDescent="0.25">
      <c r="B16" s="120" t="s">
        <v>720</v>
      </c>
      <c r="C16" s="476" t="s">
        <v>528</v>
      </c>
      <c r="D16" s="477"/>
      <c r="E16" s="154">
        <f ca="1">E17</f>
        <v>31373.500000000007</v>
      </c>
      <c r="F16" s="154">
        <f ca="1">F17</f>
        <v>45526.06</v>
      </c>
      <c r="G16" s="269">
        <f t="shared" ref="G16:G59" ca="1" si="0">F16/$F$60</f>
        <v>0.12336656172653838</v>
      </c>
    </row>
    <row r="17" spans="2:7" ht="15" customHeight="1" x14ac:dyDescent="0.25">
      <c r="B17" s="94" t="s">
        <v>316</v>
      </c>
      <c r="C17" s="229" t="s">
        <v>931</v>
      </c>
      <c r="D17" s="25"/>
      <c r="E17" s="95">
        <f ca="1">SUM(E18:E23)</f>
        <v>31373.500000000007</v>
      </c>
      <c r="F17" s="95">
        <f ca="1">SUM(F18:F23)</f>
        <v>45526.06</v>
      </c>
      <c r="G17" s="270">
        <f t="shared" ca="1" si="0"/>
        <v>0.12336656172653838</v>
      </c>
    </row>
    <row r="18" spans="2:7" ht="15" customHeight="1" x14ac:dyDescent="0.25">
      <c r="B18" s="110" t="s">
        <v>482</v>
      </c>
      <c r="C18" s="58" t="s">
        <v>206</v>
      </c>
      <c r="D18" s="59"/>
      <c r="E18" s="26">
        <f ca="1">'Custos proj'!Q14</f>
        <v>2324.9700000000057</v>
      </c>
      <c r="F18" s="26">
        <f ca="1">TRUNC(E18*(1+$C$10),2)</f>
        <v>3373.76</v>
      </c>
      <c r="G18" s="268">
        <f t="shared" ca="1" si="0"/>
        <v>9.1422181337573721E-3</v>
      </c>
    </row>
    <row r="19" spans="2:7" ht="15" customHeight="1" x14ac:dyDescent="0.25">
      <c r="B19" s="110" t="s">
        <v>428</v>
      </c>
      <c r="C19" s="221" t="s">
        <v>721</v>
      </c>
      <c r="D19" s="59"/>
      <c r="E19" s="26">
        <f ca="1">TRUNC('Custos proj'!Q15*'Memo calc'!K189,2)</f>
        <v>7952.13</v>
      </c>
      <c r="F19" s="26">
        <f t="shared" ref="F19:F23" ca="1" si="1">TRUNC(E19*(1+$C$10),2)</f>
        <v>11539.33</v>
      </c>
      <c r="G19" s="268">
        <f t="shared" ca="1" si="0"/>
        <v>3.1269287672333085E-2</v>
      </c>
    </row>
    <row r="20" spans="2:7" ht="15" customHeight="1" x14ac:dyDescent="0.25">
      <c r="B20" s="110" t="s">
        <v>483</v>
      </c>
      <c r="C20" s="58" t="s">
        <v>209</v>
      </c>
      <c r="D20" s="59"/>
      <c r="E20" s="26">
        <f ca="1">'Custos proj'!Q16</f>
        <v>4262.45</v>
      </c>
      <c r="F20" s="26">
        <f t="shared" ca="1" si="1"/>
        <v>6185.24</v>
      </c>
      <c r="G20" s="268">
        <f t="shared" ca="1" si="0"/>
        <v>1.6760769375901499E-2</v>
      </c>
    </row>
    <row r="21" spans="2:7" ht="15" customHeight="1" x14ac:dyDescent="0.25">
      <c r="B21" s="110" t="s">
        <v>423</v>
      </c>
      <c r="C21" s="58" t="s">
        <v>210</v>
      </c>
      <c r="D21" s="59"/>
      <c r="E21" s="26">
        <f ca="1">'Custos proj'!Q17</f>
        <v>2276.44</v>
      </c>
      <c r="F21" s="26">
        <f t="shared" ca="1" si="1"/>
        <v>3303.34</v>
      </c>
      <c r="G21" s="268">
        <f t="shared" ca="1" si="0"/>
        <v>8.9513939491742394E-3</v>
      </c>
    </row>
    <row r="22" spans="2:7" ht="15" customHeight="1" x14ac:dyDescent="0.25">
      <c r="B22" s="110" t="s">
        <v>484</v>
      </c>
      <c r="C22" s="295" t="str">
        <f>'Custos proj'!C18:D18</f>
        <v>Estudos de Traçado</v>
      </c>
      <c r="D22" s="296"/>
      <c r="E22" s="26">
        <f ca="1">'Custos proj'!Q18</f>
        <v>2382.63</v>
      </c>
      <c r="F22" s="26">
        <f t="shared" ca="1" si="1"/>
        <v>3457.43</v>
      </c>
      <c r="G22" s="268">
        <f t="shared" ca="1" si="0"/>
        <v>9.3689471812448862E-3</v>
      </c>
    </row>
    <row r="23" spans="2:7" ht="15" customHeight="1" x14ac:dyDescent="0.25">
      <c r="B23" s="110" t="s">
        <v>485</v>
      </c>
      <c r="C23" s="58" t="s">
        <v>211</v>
      </c>
      <c r="D23" s="59"/>
      <c r="E23" s="26">
        <f ca="1">'Custos proj'!Q19</f>
        <v>12174.880000000001</v>
      </c>
      <c r="F23" s="26">
        <f t="shared" ca="1" si="1"/>
        <v>17666.96</v>
      </c>
      <c r="G23" s="268">
        <f t="shared" ca="1" si="0"/>
        <v>4.7873945414127303E-2</v>
      </c>
    </row>
    <row r="24" spans="2:7" ht="15" customHeight="1" x14ac:dyDescent="0.25">
      <c r="B24" s="220" t="s">
        <v>932</v>
      </c>
      <c r="C24" s="476" t="s">
        <v>536</v>
      </c>
      <c r="D24" s="477"/>
      <c r="E24" s="154">
        <f ca="1">E25</f>
        <v>77876.899999999994</v>
      </c>
      <c r="F24" s="154">
        <f ca="1">F25</f>
        <v>113007.12999999999</v>
      </c>
      <c r="G24" s="269">
        <f t="shared" ca="1" si="0"/>
        <v>0.30622683093340269</v>
      </c>
    </row>
    <row r="25" spans="2:7" ht="15" customHeight="1" x14ac:dyDescent="0.25">
      <c r="B25" s="94" t="s">
        <v>620</v>
      </c>
      <c r="C25" s="25" t="s">
        <v>933</v>
      </c>
      <c r="D25" s="25"/>
      <c r="E25" s="95">
        <f ca="1">SUM(E26:E36)</f>
        <v>77876.899999999994</v>
      </c>
      <c r="F25" s="95">
        <f ca="1">SUM(F26:F36)</f>
        <v>113007.12999999999</v>
      </c>
      <c r="G25" s="270">
        <f t="shared" ca="1" si="0"/>
        <v>0.30622683093340269</v>
      </c>
    </row>
    <row r="26" spans="2:7" ht="15" customHeight="1" x14ac:dyDescent="0.25">
      <c r="B26" s="110" t="s">
        <v>621</v>
      </c>
      <c r="C26" s="58" t="s">
        <v>559</v>
      </c>
      <c r="D26" s="59"/>
      <c r="E26" s="26">
        <f ca="1">TRUNC('Custos proj'!Q20*'Memo calc'!K644,2)</f>
        <v>21088.14</v>
      </c>
      <c r="F26" s="26">
        <f ca="1">TRUNC(E26*(1+$C$10),2)</f>
        <v>30600.99</v>
      </c>
      <c r="G26" s="268">
        <f t="shared" ca="1" si="0"/>
        <v>8.2922592504780429E-2</v>
      </c>
    </row>
    <row r="27" spans="2:7" ht="15" customHeight="1" x14ac:dyDescent="0.25">
      <c r="B27" s="110" t="s">
        <v>624</v>
      </c>
      <c r="C27" s="58" t="s">
        <v>558</v>
      </c>
      <c r="D27" s="59"/>
      <c r="E27" s="26">
        <f ca="1">TRUNC('Custos proj'!Q15*'Memo calc'!K190,2)</f>
        <v>3180.85</v>
      </c>
      <c r="F27" s="26">
        <f t="shared" ref="F27:F36" ca="1" si="2">TRUNC(E27*(1+$C$10),2)</f>
        <v>4615.7299999999996</v>
      </c>
      <c r="G27" s="268">
        <f t="shared" ca="1" si="0"/>
        <v>1.2507709649331284E-2</v>
      </c>
    </row>
    <row r="28" spans="2:7" ht="15" customHeight="1" x14ac:dyDescent="0.25">
      <c r="B28" s="110" t="s">
        <v>657</v>
      </c>
      <c r="C28" s="58" t="s">
        <v>540</v>
      </c>
      <c r="D28" s="59"/>
      <c r="E28" s="26">
        <f ca="1">TRUNC('Custos proj'!Q21*0.5,2)</f>
        <v>5360.93</v>
      </c>
      <c r="F28" s="26">
        <f t="shared" ca="1" si="2"/>
        <v>7779.24</v>
      </c>
      <c r="G28" s="268">
        <f t="shared" ca="1" si="0"/>
        <v>2.1080192128322909E-2</v>
      </c>
    </row>
    <row r="29" spans="2:7" ht="15" customHeight="1" x14ac:dyDescent="0.25">
      <c r="B29" s="110" t="s">
        <v>936</v>
      </c>
      <c r="C29" s="58" t="s">
        <v>541</v>
      </c>
      <c r="D29" s="59"/>
      <c r="E29" s="26">
        <f ca="1">TRUNC('Custos proj'!Q22*0.6,2)</f>
        <v>10415.540000000001</v>
      </c>
      <c r="F29" s="26">
        <f t="shared" ca="1" si="2"/>
        <v>15113.99</v>
      </c>
      <c r="G29" s="268">
        <f t="shared" ca="1" si="0"/>
        <v>4.0955904821750093E-2</v>
      </c>
    </row>
    <row r="30" spans="2:7" ht="15" customHeight="1" x14ac:dyDescent="0.25">
      <c r="B30" s="110" t="s">
        <v>937</v>
      </c>
      <c r="C30" s="58" t="s">
        <v>782</v>
      </c>
      <c r="D30" s="59"/>
      <c r="E30" s="26">
        <f ca="1">TRUNC('Custos proj'!Q23*0.6,2)</f>
        <v>10415.540000000001</v>
      </c>
      <c r="F30" s="26">
        <f t="shared" ca="1" si="2"/>
        <v>15113.99</v>
      </c>
      <c r="G30" s="268">
        <f t="shared" ca="1" si="0"/>
        <v>4.0955904821750093E-2</v>
      </c>
    </row>
    <row r="31" spans="2:7" ht="15" customHeight="1" x14ac:dyDescent="0.25">
      <c r="B31" s="110" t="s">
        <v>938</v>
      </c>
      <c r="C31" s="58" t="s">
        <v>542</v>
      </c>
      <c r="D31" s="59"/>
      <c r="E31" s="26">
        <f ca="1">TRUNC('Custos proj'!Q24*0.6,2)</f>
        <v>6433.12</v>
      </c>
      <c r="F31" s="26">
        <f t="shared" ca="1" si="2"/>
        <v>9335.1</v>
      </c>
      <c r="G31" s="268">
        <f t="shared" ca="1" si="0"/>
        <v>2.5296263071599181E-2</v>
      </c>
    </row>
    <row r="32" spans="2:7" ht="15" customHeight="1" x14ac:dyDescent="0.25">
      <c r="B32" s="110" t="s">
        <v>939</v>
      </c>
      <c r="C32" s="58" t="s">
        <v>543</v>
      </c>
      <c r="D32" s="59"/>
      <c r="E32" s="26">
        <f ca="1">TRUNC('Custos proj'!Q25*0.6,2)</f>
        <v>5003.53</v>
      </c>
      <c r="F32" s="26">
        <f t="shared" ca="1" si="2"/>
        <v>7260.62</v>
      </c>
      <c r="G32" s="268">
        <f t="shared" ca="1" si="0"/>
        <v>1.9674835147230819E-2</v>
      </c>
    </row>
    <row r="33" spans="2:7" ht="15" customHeight="1" x14ac:dyDescent="0.25">
      <c r="B33" s="110" t="s">
        <v>940</v>
      </c>
      <c r="C33" s="58" t="s">
        <v>544</v>
      </c>
      <c r="D33" s="59"/>
      <c r="E33" s="26">
        <f ca="1">TRUNC('Custos proj'!Q26*0.6,2)</f>
        <v>5647.73</v>
      </c>
      <c r="F33" s="26">
        <f t="shared" ca="1" si="2"/>
        <v>8195.42</v>
      </c>
      <c r="G33" s="268">
        <f t="shared" ca="1" si="0"/>
        <v>2.2207957097647089E-2</v>
      </c>
    </row>
    <row r="34" spans="2:7" ht="15" customHeight="1" x14ac:dyDescent="0.25">
      <c r="B34" s="110" t="s">
        <v>941</v>
      </c>
      <c r="C34" s="58" t="s">
        <v>556</v>
      </c>
      <c r="D34" s="59"/>
      <c r="E34" s="26">
        <f ca="1">TRUNC('Custos proj'!Q27*0.6,2)</f>
        <v>4288.7299999999996</v>
      </c>
      <c r="F34" s="26">
        <f t="shared" ca="1" si="2"/>
        <v>6223.37</v>
      </c>
      <c r="G34" s="268">
        <f t="shared" ca="1" si="0"/>
        <v>1.6864094087036902E-2</v>
      </c>
    </row>
    <row r="35" spans="2:7" ht="15" customHeight="1" x14ac:dyDescent="0.25">
      <c r="B35" s="110" t="s">
        <v>942</v>
      </c>
      <c r="C35" s="58" t="s">
        <v>722</v>
      </c>
      <c r="D35" s="59"/>
      <c r="E35" s="26">
        <f ca="1">TRUNC('Custos proj'!Q28*0.6,2)</f>
        <v>1440.01</v>
      </c>
      <c r="F35" s="26">
        <f t="shared" ca="1" si="2"/>
        <v>2089.59</v>
      </c>
      <c r="G35" s="268">
        <f t="shared" ca="1" si="0"/>
        <v>5.662373017084223E-3</v>
      </c>
    </row>
    <row r="36" spans="2:7" ht="15" customHeight="1" x14ac:dyDescent="0.25">
      <c r="B36" s="110" t="s">
        <v>943</v>
      </c>
      <c r="C36" s="58" t="s">
        <v>560</v>
      </c>
      <c r="D36" s="59"/>
      <c r="E36" s="26">
        <f ca="1">TRUNC('Custos proj'!Q29*0.6,2)</f>
        <v>4602.78</v>
      </c>
      <c r="F36" s="26">
        <f t="shared" ca="1" si="2"/>
        <v>6679.09</v>
      </c>
      <c r="G36" s="268">
        <f t="shared" ca="1" si="0"/>
        <v>1.8099004586869704E-2</v>
      </c>
    </row>
    <row r="37" spans="2:7" ht="15" customHeight="1" x14ac:dyDescent="0.25">
      <c r="B37" s="220" t="s">
        <v>934</v>
      </c>
      <c r="C37" s="476" t="s">
        <v>565</v>
      </c>
      <c r="D37" s="477"/>
      <c r="E37" s="154">
        <f ca="1">E38</f>
        <v>67629.739999999991</v>
      </c>
      <c r="F37" s="154">
        <f ca="1">F38</f>
        <v>98137.470000000016</v>
      </c>
      <c r="G37" s="269">
        <f t="shared" ca="1" si="0"/>
        <v>0.26593301178360945</v>
      </c>
    </row>
    <row r="38" spans="2:7" ht="15" customHeight="1" x14ac:dyDescent="0.25">
      <c r="B38" s="94" t="s">
        <v>935</v>
      </c>
      <c r="C38" s="12" t="s">
        <v>956</v>
      </c>
      <c r="D38" s="25"/>
      <c r="E38" s="95">
        <f ca="1">SUM(E39:E50)</f>
        <v>67629.739999999991</v>
      </c>
      <c r="F38" s="95">
        <f ca="1">SUM(F39:F50)</f>
        <v>98137.470000000016</v>
      </c>
      <c r="G38" s="270">
        <f t="shared" ca="1" si="0"/>
        <v>0.26593301178360945</v>
      </c>
    </row>
    <row r="39" spans="2:7" ht="15" customHeight="1" x14ac:dyDescent="0.25">
      <c r="B39" s="110" t="s">
        <v>944</v>
      </c>
      <c r="C39" s="58" t="s">
        <v>580</v>
      </c>
      <c r="D39" s="59"/>
      <c r="E39" s="26">
        <f ca="1">'Custos proj'!Q20-E26</f>
        <v>15300.010000000002</v>
      </c>
      <c r="F39" s="26">
        <f ca="1">TRUNC(E39*(1+$C$10),2)</f>
        <v>22201.84</v>
      </c>
      <c r="G39" s="268">
        <f t="shared" ca="1" si="0"/>
        <v>6.0162567654717516E-2</v>
      </c>
    </row>
    <row r="40" spans="2:7" ht="15" customHeight="1" x14ac:dyDescent="0.25">
      <c r="B40" s="110" t="s">
        <v>945</v>
      </c>
      <c r="C40" s="58" t="s">
        <v>582</v>
      </c>
      <c r="D40" s="59"/>
      <c r="E40" s="26">
        <f ca="1">'Custos proj'!Q15-E19-E27</f>
        <v>3180.86</v>
      </c>
      <c r="F40" s="26">
        <f t="shared" ref="F40:F56" ca="1" si="3">TRUNC(E40*(1+$C$10),2)</f>
        <v>4615.74</v>
      </c>
      <c r="G40" s="268">
        <f t="shared" ca="1" si="0"/>
        <v>1.2507736747341023E-2</v>
      </c>
    </row>
    <row r="41" spans="2:7" ht="15" customHeight="1" x14ac:dyDescent="0.25">
      <c r="B41" s="110" t="s">
        <v>946</v>
      </c>
      <c r="C41" s="58" t="s">
        <v>213</v>
      </c>
      <c r="D41" s="59"/>
      <c r="E41" s="26">
        <f ca="1">'Custos proj'!Q21-E28</f>
        <v>5360.9399999999987</v>
      </c>
      <c r="F41" s="26">
        <f t="shared" ca="1" si="3"/>
        <v>7779.26</v>
      </c>
      <c r="G41" s="268">
        <f t="shared" ca="1" si="0"/>
        <v>2.108024632434239E-2</v>
      </c>
    </row>
    <row r="42" spans="2:7" ht="15" customHeight="1" x14ac:dyDescent="0.25">
      <c r="B42" s="110" t="s">
        <v>947</v>
      </c>
      <c r="C42" s="58" t="s">
        <v>214</v>
      </c>
      <c r="D42" s="59"/>
      <c r="E42" s="26">
        <f ca="1">'Custos proj'!Q22-E29</f>
        <v>6943.6999999999971</v>
      </c>
      <c r="F42" s="26">
        <f t="shared" ca="1" si="3"/>
        <v>10076</v>
      </c>
      <c r="G42" s="268">
        <f t="shared" ca="1" si="0"/>
        <v>2.7303954613173219E-2</v>
      </c>
    </row>
    <row r="43" spans="2:7" ht="15" customHeight="1" x14ac:dyDescent="0.25">
      <c r="B43" s="110" t="s">
        <v>948</v>
      </c>
      <c r="C43" s="58" t="s">
        <v>783</v>
      </c>
      <c r="D43" s="59"/>
      <c r="E43" s="26">
        <f ca="1">'Custos proj'!Q23-E30</f>
        <v>6943.6999999999971</v>
      </c>
      <c r="F43" s="26">
        <f t="shared" ca="1" si="3"/>
        <v>10076</v>
      </c>
      <c r="G43" s="268">
        <f t="shared" ca="1" si="0"/>
        <v>2.7303954613173219E-2</v>
      </c>
    </row>
    <row r="44" spans="2:7" ht="15" customHeight="1" x14ac:dyDescent="0.25">
      <c r="B44" s="110" t="s">
        <v>949</v>
      </c>
      <c r="C44" s="58" t="s">
        <v>216</v>
      </c>
      <c r="D44" s="59"/>
      <c r="E44" s="26">
        <f ca="1">'Custos proj'!Q24-E31</f>
        <v>4288.7499999999991</v>
      </c>
      <c r="F44" s="26">
        <f t="shared" ca="1" si="3"/>
        <v>6223.4</v>
      </c>
      <c r="G44" s="268">
        <f t="shared" ca="1" si="0"/>
        <v>1.6864175381066118E-2</v>
      </c>
    </row>
    <row r="45" spans="2:7" ht="15" customHeight="1" x14ac:dyDescent="0.25">
      <c r="B45" s="110" t="s">
        <v>950</v>
      </c>
      <c r="C45" s="58" t="s">
        <v>217</v>
      </c>
      <c r="D45" s="59"/>
      <c r="E45" s="26">
        <f ca="1">'Custos proj'!Q25-E32</f>
        <v>3335.7</v>
      </c>
      <c r="F45" s="26">
        <f t="shared" ca="1" si="3"/>
        <v>4840.43</v>
      </c>
      <c r="G45" s="268">
        <f t="shared" ca="1" si="0"/>
        <v>1.3116601928170112E-2</v>
      </c>
    </row>
    <row r="46" spans="2:7" ht="15" customHeight="1" x14ac:dyDescent="0.25">
      <c r="B46" s="110" t="s">
        <v>951</v>
      </c>
      <c r="C46" s="58" t="s">
        <v>218</v>
      </c>
      <c r="D46" s="59"/>
      <c r="E46" s="26">
        <f ca="1">'Custos proj'!Q26-E33</f>
        <v>3765.16</v>
      </c>
      <c r="F46" s="26">
        <f t="shared" ca="1" si="3"/>
        <v>5463.62</v>
      </c>
      <c r="G46" s="268">
        <f t="shared" ca="1" si="0"/>
        <v>1.4805322797104552E-2</v>
      </c>
    </row>
    <row r="47" spans="2:7" ht="15" customHeight="1" x14ac:dyDescent="0.25">
      <c r="B47" s="110" t="s">
        <v>952</v>
      </c>
      <c r="C47" s="58" t="s">
        <v>581</v>
      </c>
      <c r="D47" s="59"/>
      <c r="E47" s="26">
        <f ca="1">'Custos proj'!Q27-E34</f>
        <v>2859.16</v>
      </c>
      <c r="F47" s="26">
        <f t="shared" ca="1" si="3"/>
        <v>4148.92</v>
      </c>
      <c r="G47" s="268">
        <f t="shared" ca="1" si="0"/>
        <v>1.124274745669776E-2</v>
      </c>
    </row>
    <row r="48" spans="2:7" ht="15" customHeight="1" x14ac:dyDescent="0.25">
      <c r="B48" s="110" t="s">
        <v>953</v>
      </c>
      <c r="C48" s="58" t="s">
        <v>220</v>
      </c>
      <c r="D48" s="59"/>
      <c r="E48" s="26">
        <f ca="1">'Custos proj'!Q28-E35</f>
        <v>960.01000000000045</v>
      </c>
      <c r="F48" s="26">
        <f t="shared" ca="1" si="3"/>
        <v>1393.07</v>
      </c>
      <c r="G48" s="268">
        <f t="shared" ca="1" si="0"/>
        <v>3.7749424427325541E-3</v>
      </c>
    </row>
    <row r="49" spans="2:7" ht="15" customHeight="1" x14ac:dyDescent="0.25">
      <c r="B49" s="110" t="s">
        <v>954</v>
      </c>
      <c r="C49" s="58" t="s">
        <v>221</v>
      </c>
      <c r="D49" s="59"/>
      <c r="E49" s="26">
        <f ca="1">'Custos proj'!Q29-E36</f>
        <v>3068.5300000000007</v>
      </c>
      <c r="F49" s="26">
        <f t="shared" ca="1" si="3"/>
        <v>4452.74</v>
      </c>
      <c r="G49" s="268">
        <f t="shared" ca="1" si="0"/>
        <v>1.2066039188592786E-2</v>
      </c>
    </row>
    <row r="50" spans="2:7" ht="15" customHeight="1" x14ac:dyDescent="0.25">
      <c r="B50" s="110" t="s">
        <v>955</v>
      </c>
      <c r="C50" s="15" t="s">
        <v>926</v>
      </c>
      <c r="D50" s="15"/>
      <c r="E50" s="26">
        <f ca="1">'Custos proj'!Q30</f>
        <v>11623.22</v>
      </c>
      <c r="F50" s="26">
        <f t="shared" ca="1" si="3"/>
        <v>16866.45</v>
      </c>
      <c r="G50" s="268">
        <f t="shared" ca="1" si="0"/>
        <v>4.5704722636498163E-2</v>
      </c>
    </row>
    <row r="51" spans="2:7" ht="27.75" customHeight="1" x14ac:dyDescent="0.25">
      <c r="B51" s="416" t="s">
        <v>1005</v>
      </c>
      <c r="C51" s="476" t="s">
        <v>1188</v>
      </c>
      <c r="D51" s="477"/>
      <c r="E51" s="154">
        <f ca="1">SUM(E53:E56)</f>
        <v>32965.42</v>
      </c>
      <c r="F51" s="154">
        <f ca="1">SUM(F53:F56)</f>
        <v>47836.1</v>
      </c>
      <c r="G51" s="269">
        <f t="shared" ref="G51:G52" ca="1" si="4">F51/$F$60</f>
        <v>0.12962631036832228</v>
      </c>
    </row>
    <row r="52" spans="2:7" x14ac:dyDescent="0.25">
      <c r="B52" s="94" t="s">
        <v>1006</v>
      </c>
      <c r="C52" s="12" t="s">
        <v>1205</v>
      </c>
      <c r="D52" s="25"/>
      <c r="E52" s="95">
        <f ca="1">SUM(E53:E56)</f>
        <v>32965.42</v>
      </c>
      <c r="F52" s="95">
        <f ca="1">SUM(F53:F56)</f>
        <v>47836.1</v>
      </c>
      <c r="G52" s="270">
        <f t="shared" ca="1" si="4"/>
        <v>0.12962631036832228</v>
      </c>
    </row>
    <row r="53" spans="2:7" ht="15" customHeight="1" x14ac:dyDescent="0.25">
      <c r="B53" s="110" t="s">
        <v>1008</v>
      </c>
      <c r="C53" s="427" t="s">
        <v>1186</v>
      </c>
      <c r="D53" s="418"/>
      <c r="E53" s="26">
        <f ca="1">'Custos proj'!Q31</f>
        <v>8100.5300000000007</v>
      </c>
      <c r="F53" s="26">
        <f t="shared" ca="1" si="3"/>
        <v>11754.67</v>
      </c>
      <c r="G53" s="268">
        <f t="shared" ca="1" si="0"/>
        <v>3.1852816214056057E-2</v>
      </c>
    </row>
    <row r="54" spans="2:7" ht="15" customHeight="1" x14ac:dyDescent="0.25">
      <c r="B54" s="110" t="s">
        <v>1203</v>
      </c>
      <c r="C54" s="427" t="s">
        <v>1210</v>
      </c>
      <c r="D54" s="428"/>
      <c r="E54" s="26">
        <f ca="1">'Custos proj'!Q32</f>
        <v>2287.98</v>
      </c>
      <c r="F54" s="26">
        <f t="shared" ref="F54" ca="1" si="5">TRUNC(E54*(1+$C$10),2)</f>
        <v>3320.08</v>
      </c>
      <c r="G54" s="268">
        <f t="shared" ref="G54" ca="1" si="6">F54/$F$60</f>
        <v>8.9967560174775852E-3</v>
      </c>
    </row>
    <row r="55" spans="2:7" ht="15" customHeight="1" x14ac:dyDescent="0.25">
      <c r="B55" s="110" t="s">
        <v>1204</v>
      </c>
      <c r="C55" s="417" t="s">
        <v>1187</v>
      </c>
      <c r="D55" s="418"/>
      <c r="E55" s="26">
        <f ca="1">'Custos proj'!Q33</f>
        <v>20606.23</v>
      </c>
      <c r="F55" s="26">
        <f t="shared" ca="1" si="3"/>
        <v>29901.7</v>
      </c>
      <c r="G55" s="268">
        <f t="shared" ca="1" si="0"/>
        <v>8.1027655781731017E-2</v>
      </c>
    </row>
    <row r="56" spans="2:7" ht="15" customHeight="1" x14ac:dyDescent="0.25">
      <c r="B56" s="110" t="s">
        <v>1214</v>
      </c>
      <c r="C56" s="15" t="s">
        <v>1190</v>
      </c>
      <c r="D56" s="15"/>
      <c r="E56" s="26">
        <f ca="1">'Custos proj'!Q34</f>
        <v>1970.68</v>
      </c>
      <c r="F56" s="26">
        <f t="shared" ca="1" si="3"/>
        <v>2859.65</v>
      </c>
      <c r="G56" s="268">
        <f t="shared" ca="1" si="0"/>
        <v>7.7490823550576422E-3</v>
      </c>
    </row>
    <row r="57" spans="2:7" ht="30" customHeight="1" x14ac:dyDescent="0.25">
      <c r="B57" s="261" t="s">
        <v>1198</v>
      </c>
      <c r="C57" s="476" t="s">
        <v>1010</v>
      </c>
      <c r="D57" s="477"/>
      <c r="E57" s="154">
        <f ca="1">E58</f>
        <v>44465.599999999999</v>
      </c>
      <c r="F57" s="154">
        <f ca="1">F58</f>
        <v>64524.032160000002</v>
      </c>
      <c r="G57" s="269">
        <f t="shared" ca="1" si="0"/>
        <v>0.17484728518812717</v>
      </c>
    </row>
    <row r="58" spans="2:7" ht="15" customHeight="1" x14ac:dyDescent="0.25">
      <c r="B58" s="94" t="s">
        <v>1199</v>
      </c>
      <c r="C58" s="12" t="s">
        <v>1007</v>
      </c>
      <c r="D58" s="25"/>
      <c r="E58" s="95">
        <f ca="1">E59</f>
        <v>44465.599999999999</v>
      </c>
      <c r="F58" s="155">
        <f ca="1">(E58*(1+$C$10))</f>
        <v>64524.032160000002</v>
      </c>
      <c r="G58" s="270">
        <f t="shared" ca="1" si="0"/>
        <v>0.17484728518812717</v>
      </c>
    </row>
    <row r="59" spans="2:7" ht="15" customHeight="1" x14ac:dyDescent="0.25">
      <c r="B59" s="110" t="s">
        <v>1200</v>
      </c>
      <c r="C59" s="312" t="s">
        <v>1106</v>
      </c>
      <c r="D59" s="313"/>
      <c r="E59" s="26">
        <f ca="1">TRUNC('Custos proj'!Q35,3)</f>
        <v>44465.599999999999</v>
      </c>
      <c r="F59" s="26">
        <f ca="1">(E59*(1+$C$10))</f>
        <v>64524.032160000002</v>
      </c>
      <c r="G59" s="268">
        <f t="shared" ca="1" si="0"/>
        <v>0.17484728518812717</v>
      </c>
    </row>
    <row r="60" spans="2:7" ht="15" customHeight="1" x14ac:dyDescent="0.25">
      <c r="B60" s="230"/>
      <c r="C60" s="12"/>
      <c r="D60" s="231" t="s">
        <v>329</v>
      </c>
      <c r="E60" s="154">
        <f ca="1">E16+E24+E37+E51+E57</f>
        <v>254311.16</v>
      </c>
      <c r="F60" s="154">
        <f ca="1">F57+F37+F51+F24+F16</f>
        <v>369030.79216000001</v>
      </c>
      <c r="G60" s="269">
        <f ca="1">G57+G37+G24+G16+G51</f>
        <v>1</v>
      </c>
    </row>
    <row r="61" spans="2:7" ht="9" customHeight="1" x14ac:dyDescent="0.25"/>
    <row r="62" spans="2:7" ht="47.25" customHeight="1" x14ac:dyDescent="0.25">
      <c r="B62" s="475" t="s">
        <v>1129</v>
      </c>
      <c r="C62" s="475"/>
      <c r="D62" s="475"/>
      <c r="E62" s="475"/>
      <c r="F62" s="475"/>
      <c r="G62" s="475"/>
    </row>
    <row r="63" spans="2:7" ht="15" customHeight="1" x14ac:dyDescent="0.25">
      <c r="G63" s="273"/>
    </row>
    <row r="64" spans="2:7" ht="15" customHeight="1" x14ac:dyDescent="0.25">
      <c r="E64" s="273"/>
      <c r="F64" s="274"/>
      <c r="G64" s="273"/>
    </row>
    <row r="65" spans="5:7" ht="15" customHeight="1" x14ac:dyDescent="0.25">
      <c r="G65" s="91"/>
    </row>
    <row r="66" spans="5:7" ht="15" customHeight="1" x14ac:dyDescent="0.25">
      <c r="E66" s="273"/>
    </row>
    <row r="67" spans="5:7" ht="15" customHeight="1" x14ac:dyDescent="0.25">
      <c r="E67" s="273"/>
    </row>
    <row r="68" spans="5:7" ht="15" customHeight="1" x14ac:dyDescent="0.25">
      <c r="E68" s="273"/>
    </row>
    <row r="69" spans="5:7" ht="15" customHeight="1" x14ac:dyDescent="0.25">
      <c r="E69" s="273"/>
    </row>
    <row r="70" spans="5:7" ht="15" customHeight="1" x14ac:dyDescent="0.25">
      <c r="E70" s="273"/>
    </row>
    <row r="71" spans="5:7" ht="15" customHeight="1" x14ac:dyDescent="0.25">
      <c r="E71" s="273"/>
    </row>
    <row r="72" spans="5:7" ht="15" customHeight="1" x14ac:dyDescent="0.25">
      <c r="E72" s="273"/>
    </row>
    <row r="73" spans="5:7" ht="15" customHeight="1" x14ac:dyDescent="0.25">
      <c r="E73" s="273"/>
    </row>
    <row r="74" spans="5:7" ht="15" customHeight="1" x14ac:dyDescent="0.25">
      <c r="E74" s="273"/>
    </row>
    <row r="75" spans="5:7" ht="15" customHeight="1" x14ac:dyDescent="0.25">
      <c r="E75" s="273"/>
    </row>
    <row r="76" spans="5:7" ht="15" customHeight="1" x14ac:dyDescent="0.25">
      <c r="E76" s="273"/>
    </row>
    <row r="77" spans="5:7" ht="15" customHeight="1" x14ac:dyDescent="0.25">
      <c r="E77" s="273"/>
    </row>
    <row r="78" spans="5:7" ht="15" customHeight="1" x14ac:dyDescent="0.25">
      <c r="E78" s="273"/>
    </row>
    <row r="79" spans="5:7" ht="15" customHeight="1" x14ac:dyDescent="0.25">
      <c r="E79" s="273"/>
    </row>
    <row r="80" spans="5:7" ht="15" customHeight="1" x14ac:dyDescent="0.25">
      <c r="E80" s="273"/>
    </row>
    <row r="81" spans="5:5" ht="15" customHeight="1" x14ac:dyDescent="0.25">
      <c r="E81" s="273"/>
    </row>
    <row r="82" spans="5:5" ht="15" customHeight="1" x14ac:dyDescent="0.25">
      <c r="E82" s="273"/>
    </row>
    <row r="83" spans="5:5" ht="15" customHeight="1" x14ac:dyDescent="0.25">
      <c r="E83" s="273"/>
    </row>
    <row r="84" spans="5:5" ht="15" customHeight="1" x14ac:dyDescent="0.25">
      <c r="E84" s="273"/>
    </row>
  </sheetData>
  <mergeCells count="12">
    <mergeCell ref="C5:G5"/>
    <mergeCell ref="B14:B15"/>
    <mergeCell ref="C14:D15"/>
    <mergeCell ref="G14:G15"/>
    <mergeCell ref="C10:D10"/>
    <mergeCell ref="B12:G12"/>
    <mergeCell ref="B62:G62"/>
    <mergeCell ref="C57:D57"/>
    <mergeCell ref="C24:D24"/>
    <mergeCell ref="C37:D37"/>
    <mergeCell ref="C16:D16"/>
    <mergeCell ref="C51:D51"/>
  </mergeCells>
  <printOptions horizontalCentered="1"/>
  <pageMargins left="0.78740157480314965" right="0.78740157480314965" top="0.39370078740157483" bottom="0.78740157480314965" header="0.19685039370078741" footer="0.19685039370078741"/>
  <pageSetup paperSize="9" scale="73" fitToHeight="0" orientation="portrait" r:id="rId1"/>
  <headerFooter>
    <oddFooter xml:space="preserve">&amp;C&amp;10Av. Des. José Nunes da Cunha, Bloco 14, Parque dos Poderes, Campo Grande (MS), CEP 79031-310
PABX: (67) 3318-5300/ Gab: 5538 – Fax (67) 3318-5386 – gabinete@seinfra.ms.gov.br
</oddFooter>
  </headerFooter>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5:S25"/>
  <sheetViews>
    <sheetView showWhiteSpace="0" view="pageBreakPreview" zoomScaleNormal="85" zoomScaleSheetLayoutView="100" workbookViewId="0">
      <selection activeCell="F33" sqref="F33"/>
    </sheetView>
  </sheetViews>
  <sheetFormatPr defaultRowHeight="15" x14ac:dyDescent="0.25"/>
  <cols>
    <col min="1" max="1" width="1.7109375" style="2" customWidth="1"/>
    <col min="2" max="2" width="10.5703125" style="2" bestFit="1" customWidth="1"/>
    <col min="3" max="3" width="46.140625" style="2" customWidth="1"/>
    <col min="4" max="4" width="8.5703125" style="2" bestFit="1" customWidth="1"/>
    <col min="5" max="5" width="15" style="2" bestFit="1" customWidth="1"/>
    <col min="6" max="6" width="13.85546875" style="2" bestFit="1" customWidth="1"/>
    <col min="7" max="12" width="12.7109375" style="2" bestFit="1" customWidth="1"/>
    <col min="13" max="17" width="12.7109375" style="2" customWidth="1"/>
    <col min="18" max="18" width="20.42578125" style="2" customWidth="1"/>
    <col min="19" max="19" width="14.42578125" style="2" customWidth="1"/>
  </cols>
  <sheetData>
    <row r="5" spans="1:19" x14ac:dyDescent="0.25">
      <c r="B5" s="23" t="s">
        <v>0</v>
      </c>
      <c r="C5" s="481" t="str">
        <f>'Qd abrang'!C4</f>
        <v>Contratação de Projeto Executivo de Engenharia para Implantação do Aeródromo no município de Ribas do Rio Pardo</v>
      </c>
      <c r="D5" s="481"/>
      <c r="E5" s="481"/>
      <c r="F5" s="481"/>
      <c r="G5" s="481"/>
      <c r="H5" s="481"/>
      <c r="I5" s="481"/>
      <c r="J5" s="419"/>
      <c r="K5" s="419"/>
      <c r="L5" s="419"/>
      <c r="M5" s="419"/>
      <c r="N5" s="419"/>
      <c r="O5" s="419"/>
    </row>
    <row r="6" spans="1:19" x14ac:dyDescent="0.25">
      <c r="B6" s="5" t="s">
        <v>862</v>
      </c>
      <c r="C6" s="1" t="str">
        <f>'Qd abrang'!C5</f>
        <v>Ribas do Rio Pardo/MS</v>
      </c>
    </row>
    <row r="7" spans="1:19" x14ac:dyDescent="0.25">
      <c r="B7" s="5" t="s">
        <v>863</v>
      </c>
      <c r="C7" s="1">
        <f>'Qd abrang'!C6</f>
        <v>0</v>
      </c>
    </row>
    <row r="8" spans="1:19" x14ac:dyDescent="0.25">
      <c r="B8" s="5" t="s">
        <v>1</v>
      </c>
      <c r="C8" s="328" t="s">
        <v>1225</v>
      </c>
      <c r="D8" s="2" t="s">
        <v>1132</v>
      </c>
      <c r="L8" s="5"/>
      <c r="M8" s="5"/>
      <c r="Q8" s="5" t="s">
        <v>16</v>
      </c>
      <c r="R8" s="6" t="str">
        <f>'Qd abrang'!N7</f>
        <v>79.009.850-2025</v>
      </c>
    </row>
    <row r="9" spans="1:19" x14ac:dyDescent="0.25">
      <c r="B9" s="5" t="s">
        <v>2</v>
      </c>
      <c r="C9" s="329" t="s">
        <v>1103</v>
      </c>
      <c r="L9" s="5"/>
      <c r="M9" s="5"/>
      <c r="Q9" s="5" t="s">
        <v>17</v>
      </c>
      <c r="R9" s="265">
        <f>'Qd abrang'!N8</f>
        <v>45748</v>
      </c>
    </row>
    <row r="10" spans="1:19" x14ac:dyDescent="0.25">
      <c r="F10"/>
    </row>
    <row r="11" spans="1:19" ht="21" x14ac:dyDescent="0.25">
      <c r="A11" s="11"/>
      <c r="B11" s="458" t="s">
        <v>724</v>
      </c>
      <c r="C11" s="458"/>
      <c r="D11" s="458"/>
      <c r="E11" s="458"/>
      <c r="F11" s="458"/>
      <c r="G11" s="458"/>
      <c r="H11" s="458"/>
      <c r="I11" s="458"/>
      <c r="J11" s="458"/>
      <c r="K11" s="458"/>
      <c r="L11" s="458"/>
      <c r="M11" s="458"/>
      <c r="N11" s="458"/>
      <c r="O11" s="458"/>
      <c r="P11" s="458"/>
      <c r="Q11" s="458"/>
      <c r="R11" s="458"/>
      <c r="S11" s="11"/>
    </row>
    <row r="12" spans="1:19" x14ac:dyDescent="0.25">
      <c r="F12"/>
      <c r="P12" s="277"/>
      <c r="Q12" s="277"/>
      <c r="R12" s="277"/>
      <c r="S12" s="277"/>
    </row>
    <row r="13" spans="1:19" ht="30" x14ac:dyDescent="0.25">
      <c r="B13" s="421" t="s">
        <v>19</v>
      </c>
      <c r="C13" s="422" t="s">
        <v>15</v>
      </c>
      <c r="D13" s="424" t="s">
        <v>725</v>
      </c>
      <c r="E13" s="425"/>
      <c r="F13" s="421" t="s">
        <v>727</v>
      </c>
      <c r="G13" s="422">
        <v>1</v>
      </c>
      <c r="H13" s="422">
        <v>2</v>
      </c>
      <c r="I13" s="422">
        <v>3</v>
      </c>
      <c r="J13" s="422">
        <v>4</v>
      </c>
      <c r="K13" s="422">
        <v>5</v>
      </c>
      <c r="L13" s="422">
        <v>6</v>
      </c>
      <c r="M13" s="422">
        <v>7</v>
      </c>
      <c r="N13" s="422">
        <v>8</v>
      </c>
      <c r="O13" s="423">
        <v>9</v>
      </c>
      <c r="P13" s="423">
        <v>10</v>
      </c>
      <c r="Q13" s="423">
        <v>11</v>
      </c>
      <c r="R13" s="422">
        <v>12</v>
      </c>
      <c r="S13" s="278"/>
    </row>
    <row r="14" spans="1:19" ht="45" x14ac:dyDescent="0.25">
      <c r="B14" s="421"/>
      <c r="C14" s="422"/>
      <c r="D14" s="421" t="s">
        <v>414</v>
      </c>
      <c r="E14" s="421" t="s">
        <v>406</v>
      </c>
      <c r="F14" s="421" t="s">
        <v>381</v>
      </c>
      <c r="G14" s="422">
        <v>30</v>
      </c>
      <c r="H14" s="422">
        <v>60</v>
      </c>
      <c r="I14" s="422">
        <v>90</v>
      </c>
      <c r="J14" s="422">
        <v>120</v>
      </c>
      <c r="K14" s="422">
        <v>150</v>
      </c>
      <c r="L14" s="422">
        <v>180</v>
      </c>
      <c r="M14" s="422">
        <v>210</v>
      </c>
      <c r="N14" s="422">
        <v>240</v>
      </c>
      <c r="O14" s="422">
        <v>270</v>
      </c>
      <c r="P14" s="422">
        <v>300</v>
      </c>
      <c r="Q14" s="422">
        <v>330</v>
      </c>
      <c r="R14" s="422">
        <v>365</v>
      </c>
    </row>
    <row r="15" spans="1:19" x14ac:dyDescent="0.25">
      <c r="B15" s="64" t="s">
        <v>720</v>
      </c>
      <c r="C15" s="10" t="s">
        <v>528</v>
      </c>
      <c r="D15" s="280">
        <f ca="1">D16</f>
        <v>0.12336656172653838</v>
      </c>
      <c r="E15" s="235">
        <f ca="1">E16</f>
        <v>45526.06</v>
      </c>
      <c r="F15" s="236">
        <f>F16</f>
        <v>57</v>
      </c>
      <c r="G15" s="279">
        <v>0.5</v>
      </c>
      <c r="H15" s="279">
        <v>0.5</v>
      </c>
      <c r="I15" s="279"/>
      <c r="J15" s="279"/>
      <c r="K15" s="279"/>
      <c r="L15" s="279"/>
      <c r="M15" s="279"/>
      <c r="N15" s="279"/>
      <c r="O15" s="279"/>
      <c r="P15" s="279"/>
      <c r="Q15" s="279"/>
      <c r="R15" s="279"/>
      <c r="S15" s="315">
        <f t="shared" ref="S15:S24" si="0">SUM(G15:R15)</f>
        <v>1</v>
      </c>
    </row>
    <row r="16" spans="1:19" x14ac:dyDescent="0.25">
      <c r="B16" s="430" t="s">
        <v>316</v>
      </c>
      <c r="C16" s="420" t="s">
        <v>957</v>
      </c>
      <c r="D16" s="281">
        <f ca="1">Orcamento!G17</f>
        <v>0.12336656172653838</v>
      </c>
      <c r="E16" s="98">
        <f ca="1">Orcamento!F17</f>
        <v>45526.06</v>
      </c>
      <c r="F16" s="97">
        <f>'Crono fisico'!F14</f>
        <v>57</v>
      </c>
      <c r="G16" s="98">
        <f ca="1">TRUNC(E15*G15,2)</f>
        <v>22763.03</v>
      </c>
      <c r="H16" s="98">
        <f ca="1">TRUNC(E16*H15,2)</f>
        <v>22763.03</v>
      </c>
      <c r="I16" s="98"/>
      <c r="J16" s="98"/>
      <c r="K16" s="98"/>
      <c r="L16" s="98"/>
      <c r="M16" s="98"/>
      <c r="N16" s="98"/>
      <c r="O16" s="98"/>
      <c r="P16" s="433"/>
      <c r="Q16" s="433"/>
      <c r="R16" s="433"/>
      <c r="S16" s="315">
        <f ca="1">SUM(G16:R16)</f>
        <v>45526.06</v>
      </c>
    </row>
    <row r="17" spans="2:19" x14ac:dyDescent="0.25">
      <c r="B17" s="64" t="s">
        <v>932</v>
      </c>
      <c r="C17" s="10" t="s">
        <v>536</v>
      </c>
      <c r="D17" s="280">
        <f ca="1">D18</f>
        <v>0.30622683093340269</v>
      </c>
      <c r="E17" s="235">
        <f ca="1">E18</f>
        <v>113007.12999999999</v>
      </c>
      <c r="F17" s="236">
        <f>F18</f>
        <v>117</v>
      </c>
      <c r="G17" s="279">
        <v>0.2</v>
      </c>
      <c r="H17" s="279"/>
      <c r="I17" s="279">
        <v>0.3</v>
      </c>
      <c r="J17" s="279">
        <v>0.5</v>
      </c>
      <c r="K17" s="279"/>
      <c r="L17" s="279"/>
      <c r="M17" s="279"/>
      <c r="N17" s="279"/>
      <c r="O17" s="279"/>
      <c r="P17" s="279"/>
      <c r="Q17" s="279"/>
      <c r="R17" s="279"/>
      <c r="S17" s="315">
        <f t="shared" si="0"/>
        <v>1</v>
      </c>
    </row>
    <row r="18" spans="2:19" x14ac:dyDescent="0.25">
      <c r="B18" s="430" t="s">
        <v>620</v>
      </c>
      <c r="C18" s="420" t="s">
        <v>958</v>
      </c>
      <c r="D18" s="281">
        <f ca="1">Orcamento!G25</f>
        <v>0.30622683093340269</v>
      </c>
      <c r="E18" s="98">
        <f ca="1">Orcamento!F25</f>
        <v>113007.12999999999</v>
      </c>
      <c r="F18" s="97">
        <f>'Crono fisico'!F29</f>
        <v>117</v>
      </c>
      <c r="G18" s="98">
        <v>22415.99</v>
      </c>
      <c r="H18" s="98">
        <v>0</v>
      </c>
      <c r="I18" s="98">
        <f t="shared" ref="I18" ca="1" si="1">TRUNC($E$18*I17,2)</f>
        <v>33902.129999999997</v>
      </c>
      <c r="J18" s="98">
        <v>56039.97</v>
      </c>
      <c r="K18" s="98"/>
      <c r="L18" s="98"/>
      <c r="M18" s="98"/>
      <c r="N18" s="98"/>
      <c r="O18" s="98"/>
      <c r="P18" s="433"/>
      <c r="Q18" s="433"/>
      <c r="R18" s="433"/>
      <c r="S18" s="315">
        <f t="shared" ca="1" si="0"/>
        <v>112358.09</v>
      </c>
    </row>
    <row r="19" spans="2:19" x14ac:dyDescent="0.25">
      <c r="B19" s="64" t="s">
        <v>934</v>
      </c>
      <c r="C19" s="10" t="s">
        <v>565</v>
      </c>
      <c r="D19" s="280">
        <f ca="1">SUM(D20:D20)</f>
        <v>0.26593301178360945</v>
      </c>
      <c r="E19" s="235">
        <f ca="1">SUM(E20:E20)</f>
        <v>98137.470000000016</v>
      </c>
      <c r="F19" s="236">
        <f>F20</f>
        <v>196</v>
      </c>
      <c r="G19" s="279"/>
      <c r="H19" s="279"/>
      <c r="I19" s="279"/>
      <c r="J19" s="279"/>
      <c r="K19" s="279">
        <v>0.5</v>
      </c>
      <c r="L19" s="279">
        <v>0.5</v>
      </c>
      <c r="M19" s="279"/>
      <c r="N19" s="279"/>
      <c r="O19" s="279"/>
      <c r="P19" s="279"/>
      <c r="Q19" s="279"/>
      <c r="R19" s="279"/>
      <c r="S19" s="315">
        <f t="shared" si="0"/>
        <v>1</v>
      </c>
    </row>
    <row r="20" spans="2:19" x14ac:dyDescent="0.25">
      <c r="B20" s="430" t="s">
        <v>935</v>
      </c>
      <c r="C20" s="420" t="s">
        <v>959</v>
      </c>
      <c r="D20" s="281">
        <f ca="1">Orcamento!G38</f>
        <v>0.26593301178360945</v>
      </c>
      <c r="E20" s="98">
        <f ca="1">Orcamento!F38</f>
        <v>98137.470000000016</v>
      </c>
      <c r="F20" s="97">
        <f>'Crono fisico'!F48</f>
        <v>196</v>
      </c>
      <c r="G20" s="98"/>
      <c r="H20" s="98"/>
      <c r="I20" s="98"/>
      <c r="J20" s="98"/>
      <c r="K20" s="98">
        <f ca="1">TRUNC($E$20*K19,2)</f>
        <v>49068.73</v>
      </c>
      <c r="L20" s="98">
        <v>48761.73</v>
      </c>
      <c r="M20" s="98"/>
      <c r="N20" s="98"/>
      <c r="O20" s="98"/>
      <c r="P20" s="433"/>
      <c r="Q20" s="433"/>
      <c r="R20" s="433"/>
      <c r="S20" s="315">
        <f t="shared" ca="1" si="0"/>
        <v>97830.46</v>
      </c>
    </row>
    <row r="21" spans="2:19" ht="26.25" customHeight="1" x14ac:dyDescent="0.25">
      <c r="B21" s="64" t="s">
        <v>1005</v>
      </c>
      <c r="C21" s="434" t="s">
        <v>1188</v>
      </c>
      <c r="D21" s="280">
        <f ca="1">SUM(D22:D22)</f>
        <v>0.12962631036832228</v>
      </c>
      <c r="E21" s="235">
        <f ca="1">SUM(E22:E22)</f>
        <v>47836.1</v>
      </c>
      <c r="F21" s="236">
        <f>F22</f>
        <v>203</v>
      </c>
      <c r="G21" s="279"/>
      <c r="H21" s="279"/>
      <c r="I21" s="279"/>
      <c r="J21" s="279"/>
      <c r="K21" s="279"/>
      <c r="L21" s="279"/>
      <c r="M21" s="279">
        <v>0.5</v>
      </c>
      <c r="N21" s="279"/>
      <c r="O21" s="279"/>
      <c r="P21" s="279"/>
      <c r="Q21" s="279"/>
      <c r="R21" s="279">
        <v>0.5</v>
      </c>
      <c r="S21" s="315">
        <f t="shared" si="0"/>
        <v>1</v>
      </c>
    </row>
    <row r="22" spans="2:19" ht="24" x14ac:dyDescent="0.25">
      <c r="B22" s="430" t="s">
        <v>1006</v>
      </c>
      <c r="C22" s="435" t="s">
        <v>1205</v>
      </c>
      <c r="D22" s="281">
        <f ca="1">Orcamento!G52</f>
        <v>0.12962631036832228</v>
      </c>
      <c r="E22" s="98">
        <f ca="1">Orcamento!F52</f>
        <v>47836.1</v>
      </c>
      <c r="F22" s="97">
        <f>'Crono fisico'!F65</f>
        <v>203</v>
      </c>
      <c r="G22" s="98"/>
      <c r="H22" s="98"/>
      <c r="I22" s="98"/>
      <c r="J22" s="98"/>
      <c r="K22" s="98"/>
      <c r="L22" s="98"/>
      <c r="M22" s="98">
        <f ca="1">TRUNC($E$22*M21,2)</f>
        <v>23918.05</v>
      </c>
      <c r="N22" s="98"/>
      <c r="O22" s="98"/>
      <c r="P22" s="433"/>
      <c r="Q22" s="433"/>
      <c r="R22" s="98">
        <v>23734.65</v>
      </c>
      <c r="S22" s="315">
        <f t="shared" ca="1" si="0"/>
        <v>47652.7</v>
      </c>
    </row>
    <row r="23" spans="2:19" x14ac:dyDescent="0.25">
      <c r="B23" s="64" t="s">
        <v>1198</v>
      </c>
      <c r="C23" s="10" t="s">
        <v>1010</v>
      </c>
      <c r="D23" s="282">
        <f ca="1">Orcamento!G58</f>
        <v>0.17484728518812717</v>
      </c>
      <c r="E23" s="275">
        <f ca="1">Orcamento!F58</f>
        <v>64524.032160000002</v>
      </c>
      <c r="F23" s="276">
        <f>F24</f>
        <v>366</v>
      </c>
      <c r="G23" s="279"/>
      <c r="H23" s="279"/>
      <c r="I23" s="279"/>
      <c r="J23" s="279">
        <v>0.2</v>
      </c>
      <c r="K23" s="279">
        <v>0.3</v>
      </c>
      <c r="L23" s="279"/>
      <c r="M23" s="279"/>
      <c r="N23" s="279"/>
      <c r="O23" s="279"/>
      <c r="P23" s="279"/>
      <c r="Q23" s="279"/>
      <c r="R23" s="279">
        <v>0.5</v>
      </c>
      <c r="S23" s="315">
        <f t="shared" si="0"/>
        <v>1</v>
      </c>
    </row>
    <row r="24" spans="2:19" x14ac:dyDescent="0.25">
      <c r="B24" s="110" t="s">
        <v>1199</v>
      </c>
      <c r="C24" s="420" t="s">
        <v>1007</v>
      </c>
      <c r="D24" s="281">
        <f ca="1">Orcamento!G57</f>
        <v>0.17484728518812717</v>
      </c>
      <c r="E24" s="98">
        <f ca="1">Orcamento!F57</f>
        <v>64524.032160000002</v>
      </c>
      <c r="F24" s="97">
        <f>'Crono fisico'!F70</f>
        <v>366</v>
      </c>
      <c r="G24" s="98"/>
      <c r="H24" s="98"/>
      <c r="I24" s="98"/>
      <c r="J24" s="98">
        <f ca="1">TRUNC($E$24*J23,2)</f>
        <v>12904.8</v>
      </c>
      <c r="K24" s="98">
        <f ca="1">TRUNC($E$24*K23,2)</f>
        <v>19357.2</v>
      </c>
      <c r="L24" s="98"/>
      <c r="M24" s="98"/>
      <c r="N24" s="98"/>
      <c r="O24" s="98"/>
      <c r="P24" s="433"/>
      <c r="Q24" s="284"/>
      <c r="R24" s="98">
        <v>32014.639999999999</v>
      </c>
      <c r="S24" s="315">
        <f t="shared" ca="1" si="0"/>
        <v>64276.639999999999</v>
      </c>
    </row>
    <row r="25" spans="2:19" x14ac:dyDescent="0.25">
      <c r="B25" s="116"/>
      <c r="C25" s="139" t="s">
        <v>329</v>
      </c>
      <c r="D25" s="283">
        <f ca="1">D15+D17+D19+D23</f>
        <v>0.87037368963167772</v>
      </c>
      <c r="E25" s="156">
        <f ca="1">E15+E17+E19+E21+E23</f>
        <v>369030.79216000001</v>
      </c>
      <c r="F25" s="157">
        <f>F23</f>
        <v>366</v>
      </c>
      <c r="G25" s="156">
        <f ca="1">G16+G18+G20+G22+G24</f>
        <v>45179.020000000004</v>
      </c>
      <c r="H25" s="156">
        <f t="shared" ref="H25:R25" ca="1" si="2">H16+H18+H20+H22+H24</f>
        <v>22763.03</v>
      </c>
      <c r="I25" s="156">
        <f t="shared" ca="1" si="2"/>
        <v>33902.129999999997</v>
      </c>
      <c r="J25" s="156">
        <f t="shared" ca="1" si="2"/>
        <v>68944.77</v>
      </c>
      <c r="K25" s="156">
        <f t="shared" ca="1" si="2"/>
        <v>68425.930000000008</v>
      </c>
      <c r="L25" s="156">
        <f t="shared" si="2"/>
        <v>48761.73</v>
      </c>
      <c r="M25" s="156">
        <f t="shared" ca="1" si="2"/>
        <v>23918.05</v>
      </c>
      <c r="N25" s="156">
        <f t="shared" si="2"/>
        <v>0</v>
      </c>
      <c r="O25" s="156">
        <f t="shared" si="2"/>
        <v>0</v>
      </c>
      <c r="P25" s="156">
        <f t="shared" si="2"/>
        <v>0</v>
      </c>
      <c r="Q25" s="156">
        <f t="shared" si="2"/>
        <v>0</v>
      </c>
      <c r="R25" s="156">
        <f t="shared" si="2"/>
        <v>55749.29</v>
      </c>
      <c r="S25" s="315">
        <f ca="1">SUM(G25:R25)</f>
        <v>367643.94999999995</v>
      </c>
    </row>
  </sheetData>
  <mergeCells count="2">
    <mergeCell ref="B11:R11"/>
    <mergeCell ref="C5:I5"/>
  </mergeCells>
  <pageMargins left="0.511811024" right="0.511811024" top="0.78740157499999996" bottom="0.78740157499999996" header="0.31496062000000002" footer="0.31496062000000002"/>
  <pageSetup paperSize="9" scale="53" fitToHeight="0" orientation="landscape" r:id="rId1"/>
  <colBreaks count="1" manualBreakCount="1">
    <brk id="18" max="1048575" man="1"/>
  </colBreaks>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Planilha6">
    <pageSetUpPr fitToPage="1"/>
  </sheetPr>
  <dimension ref="B1:X44"/>
  <sheetViews>
    <sheetView showGridLines="0" view="pageBreakPreview" zoomScale="85" zoomScaleNormal="115" zoomScaleSheetLayoutView="85" workbookViewId="0">
      <selection activeCell="E35" sqref="E35"/>
    </sheetView>
  </sheetViews>
  <sheetFormatPr defaultColWidth="9.140625" defaultRowHeight="15" customHeight="1" zeroHeight="1" x14ac:dyDescent="0.25"/>
  <cols>
    <col min="1" max="1" width="1.7109375" style="2" customWidth="1"/>
    <col min="2" max="2" width="9.85546875" style="2" bestFit="1" customWidth="1"/>
    <col min="3" max="3" width="7.28515625" style="2" customWidth="1"/>
    <col min="4" max="4" width="41.85546875" style="2" customWidth="1"/>
    <col min="5" max="5" width="12.140625" style="2" bestFit="1" customWidth="1"/>
    <col min="6" max="7" width="11.140625" style="2" bestFit="1" customWidth="1"/>
    <col min="8" max="8" width="11.7109375" style="2" customWidth="1"/>
    <col min="9" max="9" width="14.140625" style="2" bestFit="1" customWidth="1"/>
    <col min="10" max="10" width="13.7109375" style="2" customWidth="1"/>
    <col min="11" max="11" width="12.140625" style="2" bestFit="1" customWidth="1"/>
    <col min="12" max="12" width="10.5703125" style="2" bestFit="1" customWidth="1"/>
    <col min="13" max="13" width="11.140625" style="2" bestFit="1" customWidth="1"/>
    <col min="14" max="14" width="10.28515625" style="2" bestFit="1" customWidth="1"/>
    <col min="15" max="15" width="11.7109375" style="2" customWidth="1"/>
    <col min="16" max="16" width="9.5703125" style="2" hidden="1" customWidth="1"/>
    <col min="17" max="17" width="12.140625" style="2" bestFit="1" customWidth="1"/>
    <col min="18" max="18" width="10.28515625" style="2" bestFit="1" customWidth="1"/>
    <col min="19" max="19" width="10" style="2" hidden="1" customWidth="1"/>
    <col min="20" max="20" width="11.5703125" style="2" hidden="1" customWidth="1"/>
    <col min="21" max="21" width="0.140625" style="2" customWidth="1"/>
    <col min="22" max="22" width="1.7109375" style="2" customWidth="1"/>
    <col min="23" max="23" width="20.28515625" style="2" customWidth="1"/>
    <col min="24" max="24" width="11.5703125" style="2" bestFit="1" customWidth="1"/>
    <col min="25" max="16384" width="9.140625" style="2"/>
  </cols>
  <sheetData>
    <row r="1" spans="2:21" ht="9" customHeight="1" x14ac:dyDescent="0.25"/>
    <row r="2" spans="2:21" ht="34.5" customHeight="1" x14ac:dyDescent="0.25"/>
    <row r="3" spans="2:21" ht="34.5" customHeight="1" x14ac:dyDescent="0.25"/>
    <row r="4" spans="2:21" x14ac:dyDescent="0.25">
      <c r="B4" s="23" t="s">
        <v>0</v>
      </c>
      <c r="C4" s="459" t="str">
        <f>'Qd abrang'!C4</f>
        <v>Contratação de Projeto Executivo de Engenharia para Implantação do Aeródromo no município de Ribas do Rio Pardo</v>
      </c>
      <c r="D4" s="459"/>
      <c r="E4" s="459"/>
      <c r="F4" s="459"/>
      <c r="G4" s="459"/>
      <c r="H4" s="459"/>
      <c r="I4" s="459"/>
      <c r="J4" s="459"/>
      <c r="K4" s="459"/>
      <c r="L4" s="459"/>
      <c r="M4" s="459"/>
      <c r="N4" s="459"/>
      <c r="O4" s="459"/>
      <c r="P4" s="459"/>
      <c r="Q4" s="459"/>
      <c r="R4" s="459"/>
      <c r="S4" s="459"/>
      <c r="T4" s="459"/>
      <c r="U4" s="459"/>
    </row>
    <row r="5" spans="2:21" x14ac:dyDescent="0.25">
      <c r="B5" s="5" t="s">
        <v>862</v>
      </c>
      <c r="C5" s="1" t="str">
        <f>'Qd abrang'!C5</f>
        <v>Ribas do Rio Pardo/MS</v>
      </c>
    </row>
    <row r="6" spans="2:21" x14ac:dyDescent="0.25">
      <c r="B6" s="5" t="s">
        <v>863</v>
      </c>
      <c r="C6" s="1">
        <f>'Qd abrang'!C6</f>
        <v>0</v>
      </c>
    </row>
    <row r="7" spans="2:21" x14ac:dyDescent="0.25">
      <c r="B7" s="5" t="s">
        <v>1</v>
      </c>
      <c r="C7" s="239">
        <f>'Qd abrang'!C7</f>
        <v>1.3</v>
      </c>
      <c r="D7" s="2" t="s">
        <v>3</v>
      </c>
      <c r="E7" s="340" t="s">
        <v>1134</v>
      </c>
      <c r="N7" s="5" t="s">
        <v>16</v>
      </c>
      <c r="O7" s="6" t="str">
        <f>'Qd abrang'!N7</f>
        <v>79.009.850-2025</v>
      </c>
    </row>
    <row r="8" spans="2:21" x14ac:dyDescent="0.25">
      <c r="B8" s="5" t="s">
        <v>2</v>
      </c>
      <c r="C8" s="264">
        <f>'Qd abrang'!C8</f>
        <v>365</v>
      </c>
      <c r="D8" s="2" t="s">
        <v>4</v>
      </c>
      <c r="K8" s="331"/>
      <c r="N8" s="5" t="s">
        <v>17</v>
      </c>
      <c r="O8" s="265">
        <f>'Qd abrang'!N8</f>
        <v>45748</v>
      </c>
    </row>
    <row r="9" spans="2:21" ht="15" customHeight="1" x14ac:dyDescent="0.25"/>
    <row r="10" spans="2:21" s="11" customFormat="1" ht="21" x14ac:dyDescent="0.25">
      <c r="B10" s="458" t="s">
        <v>22</v>
      </c>
      <c r="C10" s="458"/>
      <c r="D10" s="458"/>
      <c r="E10" s="458"/>
      <c r="F10" s="458"/>
      <c r="G10" s="458"/>
      <c r="H10" s="458"/>
      <c r="I10" s="458"/>
      <c r="J10" s="458"/>
      <c r="K10" s="458"/>
      <c r="L10" s="458"/>
      <c r="M10" s="458"/>
      <c r="N10" s="458"/>
      <c r="O10" s="458"/>
      <c r="P10" s="458"/>
      <c r="Q10" s="458"/>
      <c r="R10" s="458"/>
      <c r="S10" s="458"/>
      <c r="T10" s="458"/>
      <c r="U10" s="458"/>
    </row>
    <row r="11" spans="2:21" ht="15" customHeight="1" x14ac:dyDescent="0.25"/>
    <row r="12" spans="2:21" ht="60" customHeight="1" x14ac:dyDescent="0.25">
      <c r="B12" s="473" t="s">
        <v>19</v>
      </c>
      <c r="C12" s="478" t="s">
        <v>15</v>
      </c>
      <c r="D12" s="479"/>
      <c r="E12" s="473" t="s">
        <v>415</v>
      </c>
      <c r="F12" s="473" t="s">
        <v>416</v>
      </c>
      <c r="G12" s="473" t="s">
        <v>480</v>
      </c>
      <c r="H12" s="473" t="s">
        <v>417</v>
      </c>
      <c r="I12" s="473" t="s">
        <v>418</v>
      </c>
      <c r="J12" s="473" t="s">
        <v>419</v>
      </c>
      <c r="K12" s="484" t="s">
        <v>374</v>
      </c>
      <c r="L12" s="485"/>
      <c r="M12" s="473" t="s">
        <v>683</v>
      </c>
      <c r="N12" s="473" t="s">
        <v>696</v>
      </c>
      <c r="O12" s="473" t="s">
        <v>697</v>
      </c>
      <c r="P12" s="473" t="s">
        <v>714</v>
      </c>
      <c r="Q12" s="484" t="s">
        <v>362</v>
      </c>
      <c r="R12" s="485"/>
      <c r="S12" s="120" t="s">
        <v>715</v>
      </c>
      <c r="T12" s="484" t="s">
        <v>716</v>
      </c>
      <c r="U12" s="485"/>
    </row>
    <row r="13" spans="2:21" ht="15" customHeight="1" x14ac:dyDescent="0.25">
      <c r="B13" s="473"/>
      <c r="C13" s="478"/>
      <c r="D13" s="479"/>
      <c r="E13" s="473"/>
      <c r="F13" s="473"/>
      <c r="G13" s="473"/>
      <c r="H13" s="473"/>
      <c r="I13" s="473"/>
      <c r="J13" s="473"/>
      <c r="K13" s="120" t="s">
        <v>406</v>
      </c>
      <c r="L13" s="120" t="s">
        <v>414</v>
      </c>
      <c r="M13" s="473"/>
      <c r="N13" s="473"/>
      <c r="O13" s="473"/>
      <c r="P13" s="473"/>
      <c r="Q13" s="120" t="s">
        <v>406</v>
      </c>
      <c r="R13" s="120" t="s">
        <v>414</v>
      </c>
      <c r="S13" s="120" t="s">
        <v>406</v>
      </c>
      <c r="T13" s="120" t="s">
        <v>406</v>
      </c>
      <c r="U13" s="120" t="s">
        <v>414</v>
      </c>
    </row>
    <row r="14" spans="2:21" ht="15" customHeight="1" x14ac:dyDescent="0.25">
      <c r="B14" s="302">
        <v>1</v>
      </c>
      <c r="C14" s="488" t="s">
        <v>206</v>
      </c>
      <c r="D14" s="489"/>
      <c r="E14" s="226">
        <f ca="1">MO!M19</f>
        <v>1044.29</v>
      </c>
      <c r="F14" s="226">
        <v>0</v>
      </c>
      <c r="G14" s="226">
        <v>0</v>
      </c>
      <c r="H14" s="227">
        <v>0</v>
      </c>
      <c r="I14" s="227">
        <v>0</v>
      </c>
      <c r="J14" s="227">
        <v>0</v>
      </c>
      <c r="K14" s="227">
        <f t="shared" ref="K14:K29" ca="1" si="0">SUM(E14:J14)</f>
        <v>1044.29</v>
      </c>
      <c r="L14" s="228">
        <f t="shared" ref="L14:L30" ca="1" si="1">K14/$K$36</f>
        <v>9.1409027233375975E-3</v>
      </c>
      <c r="M14" s="179">
        <f ca="1">M36-SUM(M15:M35)</f>
        <v>490.08999999999651</v>
      </c>
      <c r="N14" s="179">
        <f ca="1">N36-SUM(N15:N35)</f>
        <v>713.01000000000931</v>
      </c>
      <c r="O14" s="179">
        <f ca="1">O36-SUM(O15:O35)</f>
        <v>77.579999999999927</v>
      </c>
      <c r="P14" s="179">
        <v>0</v>
      </c>
      <c r="Q14" s="92">
        <f ca="1">K14+SUM(M14:P14)</f>
        <v>2324.9700000000057</v>
      </c>
      <c r="R14" s="50">
        <f ca="1">R36-(SUM(R15:R35))</f>
        <v>8.899999999999908E-3</v>
      </c>
      <c r="S14" s="62">
        <v>0</v>
      </c>
      <c r="T14" s="92">
        <f ca="1">Q14-S14</f>
        <v>2324.9700000000057</v>
      </c>
      <c r="U14" s="50">
        <f ca="1">TRUNC(T14/$Q$36, 4)</f>
        <v>9.1000000000000004E-3</v>
      </c>
    </row>
    <row r="15" spans="2:21" ht="15" customHeight="1" x14ac:dyDescent="0.25">
      <c r="B15" s="110">
        <v>2</v>
      </c>
      <c r="C15" s="486" t="s">
        <v>207</v>
      </c>
      <c r="D15" s="487"/>
      <c r="E15" s="145">
        <f ca="1">MO!M22+MO!M25</f>
        <v>5291.77</v>
      </c>
      <c r="F15" s="145">
        <f ca="1">Veículos!I17</f>
        <v>212.45</v>
      </c>
      <c r="G15" s="145">
        <v>0</v>
      </c>
      <c r="H15" s="146">
        <f>'Diárias + passagens'!L20</f>
        <v>500</v>
      </c>
      <c r="I15" s="146">
        <f>'Mob desmob MO'!O20</f>
        <v>300</v>
      </c>
      <c r="J15" s="146">
        <f ca="1">'Mob desmob equip rod'!Q18</f>
        <v>125.96</v>
      </c>
      <c r="K15" s="146">
        <f ca="1">SUM(E15:J15)</f>
        <v>6430.18</v>
      </c>
      <c r="L15" s="228">
        <f t="shared" ca="1" si="1"/>
        <v>5.6284796247738612E-2</v>
      </c>
      <c r="M15" s="180">
        <f t="shared" ref="M15:M35" ca="1" si="2">TRUNC(L15*$M$36,2)</f>
        <v>3017.09</v>
      </c>
      <c r="N15" s="180">
        <f t="shared" ref="N15:N35" ca="1" si="3">TRUNC(L15*$N$36,2)</f>
        <v>4389.66</v>
      </c>
      <c r="O15" s="180">
        <f t="shared" ref="O15:O35" ca="1" si="4">TRUNC(L15*$O$36, 2)</f>
        <v>476.91</v>
      </c>
      <c r="P15" s="179">
        <v>0</v>
      </c>
      <c r="Q15" s="92">
        <f t="shared" ref="Q15:Q35" ca="1" si="5">K15+SUM(M15:P15)</f>
        <v>14313.84</v>
      </c>
      <c r="R15" s="50">
        <f t="shared" ref="R15:R35" ca="1" si="6">ROUND(Q15/$Q$36, 4)</f>
        <v>5.6300000000000003E-2</v>
      </c>
      <c r="S15" s="62">
        <v>0</v>
      </c>
      <c r="T15" s="46">
        <f ca="1">Q15-S15</f>
        <v>14313.84</v>
      </c>
      <c r="U15" s="50">
        <f t="shared" ref="U15:U30" ca="1" si="7">ROUND(T15/$Q$36, 4)</f>
        <v>5.6300000000000003E-2</v>
      </c>
    </row>
    <row r="16" spans="2:21" ht="15" customHeight="1" x14ac:dyDescent="0.25">
      <c r="B16" s="110">
        <v>3</v>
      </c>
      <c r="C16" s="486" t="s">
        <v>209</v>
      </c>
      <c r="D16" s="487"/>
      <c r="E16" s="145">
        <f ca="1">MO!M28</f>
        <v>1914.82</v>
      </c>
      <c r="F16" s="145">
        <v>0</v>
      </c>
      <c r="G16" s="145">
        <v>0</v>
      </c>
      <c r="H16" s="146">
        <v>0</v>
      </c>
      <c r="I16" s="146">
        <v>0</v>
      </c>
      <c r="J16" s="146">
        <v>0</v>
      </c>
      <c r="K16" s="146">
        <f t="shared" ca="1" si="0"/>
        <v>1914.82</v>
      </c>
      <c r="L16" s="228">
        <f t="shared" ca="1" si="1"/>
        <v>1.6760845505272768E-2</v>
      </c>
      <c r="M16" s="180">
        <f t="shared" ca="1" si="2"/>
        <v>898.44</v>
      </c>
      <c r="N16" s="180">
        <f t="shared" ca="1" si="3"/>
        <v>1307.18</v>
      </c>
      <c r="O16" s="180">
        <f t="shared" ca="1" si="4"/>
        <v>142.01</v>
      </c>
      <c r="P16" s="179">
        <v>0</v>
      </c>
      <c r="Q16" s="92">
        <f t="shared" ca="1" si="5"/>
        <v>4262.45</v>
      </c>
      <c r="R16" s="50">
        <f t="shared" ca="1" si="6"/>
        <v>1.6799999999999999E-2</v>
      </c>
      <c r="S16" s="62">
        <v>0</v>
      </c>
      <c r="T16" s="46">
        <f t="shared" ref="T16:T29" ca="1" si="8">Q16-S16</f>
        <v>4262.45</v>
      </c>
      <c r="U16" s="50">
        <f t="shared" ca="1" si="7"/>
        <v>1.6799999999999999E-2</v>
      </c>
    </row>
    <row r="17" spans="2:23" ht="15" customHeight="1" x14ac:dyDescent="0.25">
      <c r="B17" s="110">
        <v>4</v>
      </c>
      <c r="C17" s="486" t="s">
        <v>210</v>
      </c>
      <c r="D17" s="487"/>
      <c r="E17" s="145">
        <f ca="1">MO!M32</f>
        <v>1022.65</v>
      </c>
      <c r="F17" s="145">
        <v>0</v>
      </c>
      <c r="G17" s="145">
        <v>0</v>
      </c>
      <c r="H17" s="146">
        <v>0</v>
      </c>
      <c r="I17" s="146">
        <v>0</v>
      </c>
      <c r="J17" s="146">
        <v>0</v>
      </c>
      <c r="K17" s="146">
        <f t="shared" ca="1" si="0"/>
        <v>1022.65</v>
      </c>
      <c r="L17" s="228">
        <f t="shared" ca="1" si="1"/>
        <v>8.9514829884622029E-3</v>
      </c>
      <c r="M17" s="180">
        <f t="shared" ca="1" si="2"/>
        <v>479.83</v>
      </c>
      <c r="N17" s="180">
        <f t="shared" ca="1" si="3"/>
        <v>698.12</v>
      </c>
      <c r="O17" s="180">
        <f t="shared" ca="1" si="4"/>
        <v>75.84</v>
      </c>
      <c r="P17" s="179">
        <v>0</v>
      </c>
      <c r="Q17" s="92">
        <f t="shared" ca="1" si="5"/>
        <v>2276.44</v>
      </c>
      <c r="R17" s="50">
        <f t="shared" ca="1" si="6"/>
        <v>8.9999999999999993E-3</v>
      </c>
      <c r="S17" s="62">
        <v>0</v>
      </c>
      <c r="T17" s="46">
        <f t="shared" ca="1" si="8"/>
        <v>2276.44</v>
      </c>
      <c r="U17" s="50">
        <f t="shared" ca="1" si="7"/>
        <v>8.9999999999999993E-3</v>
      </c>
    </row>
    <row r="18" spans="2:23" ht="15" customHeight="1" x14ac:dyDescent="0.25">
      <c r="B18" s="110">
        <v>5</v>
      </c>
      <c r="C18" s="486" t="s">
        <v>208</v>
      </c>
      <c r="D18" s="487"/>
      <c r="E18" s="145">
        <f ca="1">MO!M35</f>
        <v>1070.3499999999999</v>
      </c>
      <c r="F18" s="145">
        <v>0</v>
      </c>
      <c r="G18" s="145">
        <v>0</v>
      </c>
      <c r="H18" s="146">
        <v>0</v>
      </c>
      <c r="I18" s="146">
        <v>0</v>
      </c>
      <c r="J18" s="146">
        <v>0</v>
      </c>
      <c r="K18" s="146">
        <f t="shared" ca="1" si="0"/>
        <v>1070.3499999999999</v>
      </c>
      <c r="L18" s="228">
        <f t="shared" ca="1" si="1"/>
        <v>9.3690117016579661E-3</v>
      </c>
      <c r="M18" s="180">
        <f t="shared" ca="1" si="2"/>
        <v>502.21</v>
      </c>
      <c r="N18" s="180">
        <f t="shared" ca="1" si="3"/>
        <v>730.69</v>
      </c>
      <c r="O18" s="180">
        <f t="shared" ca="1" si="4"/>
        <v>79.38</v>
      </c>
      <c r="P18" s="179">
        <v>0</v>
      </c>
      <c r="Q18" s="92">
        <f t="shared" ca="1" si="5"/>
        <v>2382.63</v>
      </c>
      <c r="R18" s="50">
        <f t="shared" ca="1" si="6"/>
        <v>9.4000000000000004E-3</v>
      </c>
      <c r="S18" s="62">
        <v>0</v>
      </c>
      <c r="T18" s="46">
        <f t="shared" ca="1" si="8"/>
        <v>2382.63</v>
      </c>
      <c r="U18" s="50">
        <f t="shared" ca="1" si="7"/>
        <v>9.4000000000000004E-3</v>
      </c>
    </row>
    <row r="19" spans="2:23" ht="15" customHeight="1" x14ac:dyDescent="0.25">
      <c r="B19" s="110">
        <v>6</v>
      </c>
      <c r="C19" s="486" t="s">
        <v>211</v>
      </c>
      <c r="D19" s="487"/>
      <c r="E19" s="145">
        <f ca="1">MO!M38+MO!M41</f>
        <v>3960.34</v>
      </c>
      <c r="F19" s="145">
        <f ca="1">Veículos!I19</f>
        <v>264</v>
      </c>
      <c r="G19" s="145">
        <f>'Equip + materiais'!J14</f>
        <v>171.67</v>
      </c>
      <c r="H19" s="146">
        <f>'Diárias + passagens'!L22</f>
        <v>500</v>
      </c>
      <c r="I19" s="146">
        <f>'Mob desmob MO'!O22</f>
        <v>300</v>
      </c>
      <c r="J19" s="146">
        <f ca="1">'Mob desmob equip rod'!Q20</f>
        <v>273.29000000000002</v>
      </c>
      <c r="K19" s="146">
        <f t="shared" ca="1" si="0"/>
        <v>5469.3</v>
      </c>
      <c r="L19" s="228">
        <f t="shared" ca="1" si="1"/>
        <v>4.7873999813031178E-2</v>
      </c>
      <c r="M19" s="180">
        <f t="shared" ca="1" si="2"/>
        <v>2566.2399999999998</v>
      </c>
      <c r="N19" s="180">
        <f t="shared" ca="1" si="3"/>
        <v>3733.7</v>
      </c>
      <c r="O19" s="180">
        <f t="shared" ca="1" si="4"/>
        <v>405.64</v>
      </c>
      <c r="P19" s="179">
        <v>0</v>
      </c>
      <c r="Q19" s="92">
        <f t="shared" ca="1" si="5"/>
        <v>12174.880000000001</v>
      </c>
      <c r="R19" s="50">
        <f t="shared" ca="1" si="6"/>
        <v>4.7899999999999998E-2</v>
      </c>
      <c r="S19" s="62">
        <v>0</v>
      </c>
      <c r="T19" s="46">
        <f t="shared" ca="1" si="8"/>
        <v>12174.880000000001</v>
      </c>
      <c r="U19" s="50">
        <f t="shared" ca="1" si="7"/>
        <v>4.7899999999999998E-2</v>
      </c>
    </row>
    <row r="20" spans="2:23" ht="15" customHeight="1" x14ac:dyDescent="0.25">
      <c r="B20" s="110">
        <v>7</v>
      </c>
      <c r="C20" s="486" t="s">
        <v>212</v>
      </c>
      <c r="D20" s="487"/>
      <c r="E20" s="145">
        <f ca="1">MO!M45+MO!M48+MO!M51</f>
        <v>8022.3900000000012</v>
      </c>
      <c r="F20" s="145">
        <f ca="1">Veículos!I21</f>
        <v>528</v>
      </c>
      <c r="G20" s="145">
        <f>'Equip + materiais'!J16+'Equip + materiais'!J20</f>
        <v>6322.9</v>
      </c>
      <c r="H20" s="146">
        <f>'Diárias + passagens'!L24</f>
        <v>900</v>
      </c>
      <c r="I20" s="146">
        <f>'Mob desmob MO'!O20</f>
        <v>300</v>
      </c>
      <c r="J20" s="146">
        <f ca="1">'Mob desmob equip rod'!Q22</f>
        <v>273.29000000000002</v>
      </c>
      <c r="K20" s="146">
        <f t="shared" ca="1" si="0"/>
        <v>16346.580000000002</v>
      </c>
      <c r="L20" s="228">
        <f t="shared" ca="1" si="1"/>
        <v>0.14308525183546325</v>
      </c>
      <c r="M20" s="180">
        <f t="shared" ca="1" si="2"/>
        <v>7669.94</v>
      </c>
      <c r="N20" s="180">
        <f t="shared" ca="1" si="3"/>
        <v>11159.24</v>
      </c>
      <c r="O20" s="180">
        <f t="shared" ca="1" si="4"/>
        <v>1212.3900000000001</v>
      </c>
      <c r="P20" s="179">
        <v>0</v>
      </c>
      <c r="Q20" s="92">
        <f t="shared" ca="1" si="5"/>
        <v>36388.15</v>
      </c>
      <c r="R20" s="50">
        <f t="shared" ca="1" si="6"/>
        <v>0.1431</v>
      </c>
      <c r="S20" s="62">
        <v>0</v>
      </c>
      <c r="T20" s="46">
        <f t="shared" ca="1" si="8"/>
        <v>36388.15</v>
      </c>
      <c r="U20" s="50">
        <f t="shared" ca="1" si="7"/>
        <v>0.1431</v>
      </c>
    </row>
    <row r="21" spans="2:23" ht="15" customHeight="1" x14ac:dyDescent="0.25">
      <c r="B21" s="110">
        <v>8</v>
      </c>
      <c r="C21" s="486" t="s">
        <v>213</v>
      </c>
      <c r="D21" s="487"/>
      <c r="E21" s="145">
        <f ca="1">MO!M54</f>
        <v>4816.57</v>
      </c>
      <c r="F21" s="145">
        <v>0</v>
      </c>
      <c r="G21" s="145">
        <v>0</v>
      </c>
      <c r="H21" s="146">
        <v>0</v>
      </c>
      <c r="I21" s="146">
        <v>0</v>
      </c>
      <c r="J21" s="146">
        <v>0</v>
      </c>
      <c r="K21" s="146">
        <f t="shared" ca="1" si="0"/>
        <v>4816.57</v>
      </c>
      <c r="L21" s="228">
        <f t="shared" ca="1" si="1"/>
        <v>4.2160508891348356E-2</v>
      </c>
      <c r="M21" s="180">
        <f t="shared" ca="1" si="2"/>
        <v>2259.9699999999998</v>
      </c>
      <c r="N21" s="180">
        <f t="shared" ca="1" si="3"/>
        <v>3288.1</v>
      </c>
      <c r="O21" s="180">
        <f t="shared" ca="1" si="4"/>
        <v>357.23</v>
      </c>
      <c r="P21" s="179">
        <v>0</v>
      </c>
      <c r="Q21" s="92">
        <f t="shared" ca="1" si="5"/>
        <v>10721.869999999999</v>
      </c>
      <c r="R21" s="50">
        <f t="shared" ca="1" si="6"/>
        <v>4.2200000000000001E-2</v>
      </c>
      <c r="S21" s="62">
        <v>0</v>
      </c>
      <c r="T21" s="46">
        <f t="shared" ca="1" si="8"/>
        <v>10721.869999999999</v>
      </c>
      <c r="U21" s="50">
        <f t="shared" ca="1" si="7"/>
        <v>4.2200000000000001E-2</v>
      </c>
    </row>
    <row r="22" spans="2:23" ht="15" customHeight="1" x14ac:dyDescent="0.25">
      <c r="B22" s="110">
        <v>9</v>
      </c>
      <c r="C22" s="486" t="s">
        <v>214</v>
      </c>
      <c r="D22" s="487"/>
      <c r="E22" s="145">
        <f ca="1">MO!M57</f>
        <v>7798.26</v>
      </c>
      <c r="F22" s="145">
        <v>0</v>
      </c>
      <c r="G22" s="145">
        <v>0</v>
      </c>
      <c r="H22" s="146">
        <v>0</v>
      </c>
      <c r="I22" s="146">
        <v>0</v>
      </c>
      <c r="J22" s="146">
        <v>0</v>
      </c>
      <c r="K22" s="146">
        <f t="shared" ca="1" si="0"/>
        <v>7798.26</v>
      </c>
      <c r="L22" s="228">
        <f t="shared" ca="1" si="1"/>
        <v>6.825990488398305E-2</v>
      </c>
      <c r="M22" s="180">
        <f t="shared" ca="1" si="2"/>
        <v>3659</v>
      </c>
      <c r="N22" s="180">
        <f t="shared" ca="1" si="3"/>
        <v>5323.6</v>
      </c>
      <c r="O22" s="180">
        <f t="shared" ca="1" si="4"/>
        <v>578.38</v>
      </c>
      <c r="P22" s="179">
        <v>0</v>
      </c>
      <c r="Q22" s="92">
        <f t="shared" ca="1" si="5"/>
        <v>17359.239999999998</v>
      </c>
      <c r="R22" s="50">
        <f t="shared" ca="1" si="6"/>
        <v>6.83E-2</v>
      </c>
      <c r="S22" s="62">
        <v>0</v>
      </c>
      <c r="T22" s="46">
        <f t="shared" ca="1" si="8"/>
        <v>17359.239999999998</v>
      </c>
      <c r="U22" s="50">
        <f t="shared" ca="1" si="7"/>
        <v>6.83E-2</v>
      </c>
    </row>
    <row r="23" spans="2:23" ht="15" customHeight="1" x14ac:dyDescent="0.25">
      <c r="B23" s="110">
        <v>10</v>
      </c>
      <c r="C23" s="486" t="s">
        <v>783</v>
      </c>
      <c r="D23" s="487"/>
      <c r="E23" s="145">
        <f ca="1">MO!M60</f>
        <v>7798.26</v>
      </c>
      <c r="F23" s="145">
        <v>0</v>
      </c>
      <c r="G23" s="145">
        <v>0</v>
      </c>
      <c r="H23" s="146">
        <v>0</v>
      </c>
      <c r="I23" s="146">
        <v>0</v>
      </c>
      <c r="J23" s="146">
        <v>0</v>
      </c>
      <c r="K23" s="146">
        <f t="shared" ca="1" si="0"/>
        <v>7798.26</v>
      </c>
      <c r="L23" s="228">
        <f t="shared" ca="1" si="1"/>
        <v>6.825990488398305E-2</v>
      </c>
      <c r="M23" s="180">
        <f t="shared" ca="1" si="2"/>
        <v>3659</v>
      </c>
      <c r="N23" s="180">
        <f t="shared" ca="1" si="3"/>
        <v>5323.6</v>
      </c>
      <c r="O23" s="180">
        <f t="shared" ca="1" si="4"/>
        <v>578.38</v>
      </c>
      <c r="P23" s="179">
        <v>0</v>
      </c>
      <c r="Q23" s="92">
        <f t="shared" ca="1" si="5"/>
        <v>17359.239999999998</v>
      </c>
      <c r="R23" s="50">
        <f t="shared" ca="1" si="6"/>
        <v>6.83E-2</v>
      </c>
      <c r="S23" s="62">
        <v>0</v>
      </c>
      <c r="T23" s="46">
        <f t="shared" ca="1" si="8"/>
        <v>17359.239999999998</v>
      </c>
      <c r="U23" s="50">
        <f t="shared" ca="1" si="7"/>
        <v>6.83E-2</v>
      </c>
    </row>
    <row r="24" spans="2:23" ht="15" customHeight="1" x14ac:dyDescent="0.25">
      <c r="B24" s="110">
        <v>11</v>
      </c>
      <c r="C24" s="486" t="s">
        <v>216</v>
      </c>
      <c r="D24" s="487"/>
      <c r="E24" s="145">
        <f ca="1">MO!M63</f>
        <v>4816.57</v>
      </c>
      <c r="F24" s="145">
        <v>0</v>
      </c>
      <c r="G24" s="145">
        <v>0</v>
      </c>
      <c r="H24" s="146">
        <v>0</v>
      </c>
      <c r="I24" s="146">
        <v>0</v>
      </c>
      <c r="J24" s="146">
        <v>0</v>
      </c>
      <c r="K24" s="146">
        <f t="shared" ca="1" si="0"/>
        <v>4816.57</v>
      </c>
      <c r="L24" s="228">
        <f t="shared" ca="1" si="1"/>
        <v>4.2160508891348356E-2</v>
      </c>
      <c r="M24" s="180">
        <f t="shared" ca="1" si="2"/>
        <v>2259.9699999999998</v>
      </c>
      <c r="N24" s="180">
        <f t="shared" ca="1" si="3"/>
        <v>3288.1</v>
      </c>
      <c r="O24" s="180">
        <f t="shared" ca="1" si="4"/>
        <v>357.23</v>
      </c>
      <c r="P24" s="179">
        <v>0</v>
      </c>
      <c r="Q24" s="92">
        <f t="shared" ca="1" si="5"/>
        <v>10721.869999999999</v>
      </c>
      <c r="R24" s="50">
        <f t="shared" ca="1" si="6"/>
        <v>4.2200000000000001E-2</v>
      </c>
      <c r="S24" s="62">
        <v>0</v>
      </c>
      <c r="T24" s="46">
        <f t="shared" ca="1" si="8"/>
        <v>10721.869999999999</v>
      </c>
      <c r="U24" s="50">
        <f t="shared" ca="1" si="7"/>
        <v>4.2200000000000001E-2</v>
      </c>
    </row>
    <row r="25" spans="2:23" ht="15" customHeight="1" x14ac:dyDescent="0.25">
      <c r="B25" s="110">
        <v>12</v>
      </c>
      <c r="C25" s="486" t="s">
        <v>217</v>
      </c>
      <c r="D25" s="487"/>
      <c r="E25" s="145">
        <f ca="1">MO!M66</f>
        <v>3746.2200000000003</v>
      </c>
      <c r="F25" s="145">
        <v>0</v>
      </c>
      <c r="G25" s="145">
        <v>0</v>
      </c>
      <c r="H25" s="146">
        <v>0</v>
      </c>
      <c r="I25" s="146">
        <v>0</v>
      </c>
      <c r="J25" s="146">
        <v>0</v>
      </c>
      <c r="K25" s="146">
        <f t="shared" ca="1" si="0"/>
        <v>3746.2200000000003</v>
      </c>
      <c r="L25" s="228">
        <f t="shared" ca="1" si="1"/>
        <v>3.2791497189690391E-2</v>
      </c>
      <c r="M25" s="180">
        <f t="shared" ca="1" si="2"/>
        <v>1757.75</v>
      </c>
      <c r="N25" s="180">
        <f t="shared" ca="1" si="3"/>
        <v>2557.41</v>
      </c>
      <c r="O25" s="180">
        <f t="shared" ca="1" si="4"/>
        <v>277.85000000000002</v>
      </c>
      <c r="P25" s="179">
        <v>0</v>
      </c>
      <c r="Q25" s="92">
        <f t="shared" ca="1" si="5"/>
        <v>8339.23</v>
      </c>
      <c r="R25" s="50">
        <f t="shared" ca="1" si="6"/>
        <v>3.2800000000000003E-2</v>
      </c>
      <c r="S25" s="62">
        <v>0</v>
      </c>
      <c r="T25" s="46">
        <f t="shared" ca="1" si="8"/>
        <v>8339.23</v>
      </c>
      <c r="U25" s="50">
        <f t="shared" ca="1" si="7"/>
        <v>3.2800000000000003E-2</v>
      </c>
    </row>
    <row r="26" spans="2:23" ht="15" customHeight="1" x14ac:dyDescent="0.25">
      <c r="B26" s="110">
        <v>13</v>
      </c>
      <c r="C26" s="486" t="s">
        <v>218</v>
      </c>
      <c r="D26" s="487"/>
      <c r="E26" s="145">
        <f ca="1">MO!M69</f>
        <v>4228.54</v>
      </c>
      <c r="F26" s="145">
        <v>0</v>
      </c>
      <c r="G26" s="145">
        <v>0</v>
      </c>
      <c r="H26" s="146">
        <v>0</v>
      </c>
      <c r="I26" s="146">
        <v>0</v>
      </c>
      <c r="J26" s="146">
        <v>0</v>
      </c>
      <c r="K26" s="146">
        <f t="shared" ca="1" si="0"/>
        <v>4228.54</v>
      </c>
      <c r="L26" s="228">
        <f t="shared" ca="1" si="1"/>
        <v>3.7013351465341973E-2</v>
      </c>
      <c r="M26" s="180">
        <f t="shared" ca="1" si="2"/>
        <v>1984.06</v>
      </c>
      <c r="N26" s="180">
        <f t="shared" ca="1" si="3"/>
        <v>2886.67</v>
      </c>
      <c r="O26" s="180">
        <f t="shared" ca="1" si="4"/>
        <v>313.62</v>
      </c>
      <c r="P26" s="179">
        <v>0</v>
      </c>
      <c r="Q26" s="92">
        <f t="shared" ca="1" si="5"/>
        <v>9412.89</v>
      </c>
      <c r="R26" s="50">
        <f t="shared" ca="1" si="6"/>
        <v>3.6999999999999998E-2</v>
      </c>
      <c r="S26" s="62">
        <v>0</v>
      </c>
      <c r="T26" s="46">
        <f t="shared" ca="1" si="8"/>
        <v>9412.89</v>
      </c>
      <c r="U26" s="50">
        <f t="shared" ca="1" si="7"/>
        <v>3.6999999999999998E-2</v>
      </c>
    </row>
    <row r="27" spans="2:23" s="1" customFormat="1" ht="15" customHeight="1" x14ac:dyDescent="0.25">
      <c r="B27" s="110">
        <v>14</v>
      </c>
      <c r="C27" s="490" t="s">
        <v>219</v>
      </c>
      <c r="D27" s="491"/>
      <c r="E27" s="181">
        <f ca="1">MO!M72</f>
        <v>3211.04</v>
      </c>
      <c r="F27" s="181">
        <v>0</v>
      </c>
      <c r="G27" s="181">
        <v>0</v>
      </c>
      <c r="H27" s="182">
        <v>0</v>
      </c>
      <c r="I27" s="182">
        <v>0</v>
      </c>
      <c r="J27" s="182">
        <v>0</v>
      </c>
      <c r="K27" s="182">
        <f t="shared" ca="1" si="0"/>
        <v>3211.04</v>
      </c>
      <c r="L27" s="228">
        <f t="shared" ca="1" si="1"/>
        <v>2.8106947572748911E-2</v>
      </c>
      <c r="M27" s="180">
        <f t="shared" ca="1" si="2"/>
        <v>1506.64</v>
      </c>
      <c r="N27" s="180">
        <f t="shared" ca="1" si="3"/>
        <v>2192.06</v>
      </c>
      <c r="O27" s="180">
        <f t="shared" ca="1" si="4"/>
        <v>238.15</v>
      </c>
      <c r="P27" s="179">
        <v>0</v>
      </c>
      <c r="Q27" s="92">
        <f t="shared" ca="1" si="5"/>
        <v>7147.8899999999994</v>
      </c>
      <c r="R27" s="184">
        <f t="shared" ca="1" si="6"/>
        <v>2.81E-2</v>
      </c>
      <c r="S27" s="62">
        <v>0</v>
      </c>
      <c r="T27" s="183">
        <f t="shared" ca="1" si="8"/>
        <v>7147.8899999999994</v>
      </c>
      <c r="U27" s="184">
        <f t="shared" ca="1" si="7"/>
        <v>2.81E-2</v>
      </c>
    </row>
    <row r="28" spans="2:23" ht="15" customHeight="1" x14ac:dyDescent="0.25">
      <c r="B28" s="110">
        <v>15</v>
      </c>
      <c r="C28" s="486" t="s">
        <v>220</v>
      </c>
      <c r="D28" s="487"/>
      <c r="E28" s="145">
        <f ca="1">MO!M75</f>
        <v>1078.1600000000001</v>
      </c>
      <c r="F28" s="145">
        <v>0</v>
      </c>
      <c r="G28" s="145">
        <v>0</v>
      </c>
      <c r="H28" s="146">
        <v>0</v>
      </c>
      <c r="I28" s="146">
        <v>0</v>
      </c>
      <c r="J28" s="146">
        <v>0</v>
      </c>
      <c r="K28" s="146">
        <f t="shared" ca="1" si="0"/>
        <v>1078.1600000000001</v>
      </c>
      <c r="L28" s="228">
        <f t="shared" ca="1" si="1"/>
        <v>9.437374369374087E-3</v>
      </c>
      <c r="M28" s="180">
        <f t="shared" ca="1" si="2"/>
        <v>505.88</v>
      </c>
      <c r="N28" s="180">
        <f t="shared" ca="1" si="3"/>
        <v>736.02</v>
      </c>
      <c r="O28" s="180">
        <f t="shared" ca="1" si="4"/>
        <v>79.959999999999994</v>
      </c>
      <c r="P28" s="179">
        <v>0</v>
      </c>
      <c r="Q28" s="92">
        <f t="shared" ca="1" si="5"/>
        <v>2400.0200000000004</v>
      </c>
      <c r="R28" s="50">
        <f t="shared" ca="1" si="6"/>
        <v>9.4000000000000004E-3</v>
      </c>
      <c r="S28" s="62">
        <v>0</v>
      </c>
      <c r="T28" s="46">
        <f t="shared" ca="1" si="8"/>
        <v>2400.0200000000004</v>
      </c>
      <c r="U28" s="50">
        <f t="shared" ca="1" si="7"/>
        <v>9.4000000000000004E-3</v>
      </c>
    </row>
    <row r="29" spans="2:23" ht="15" customHeight="1" x14ac:dyDescent="0.25">
      <c r="B29" s="110">
        <v>16</v>
      </c>
      <c r="C29" s="482" t="s">
        <v>221</v>
      </c>
      <c r="D29" s="483"/>
      <c r="E29" s="147">
        <f ca="1">MO!M78</f>
        <v>3446.17</v>
      </c>
      <c r="F29" s="147">
        <v>0</v>
      </c>
      <c r="G29" s="147">
        <v>0</v>
      </c>
      <c r="H29" s="148">
        <v>0</v>
      </c>
      <c r="I29" s="148">
        <v>0</v>
      </c>
      <c r="J29" s="148">
        <v>0</v>
      </c>
      <c r="K29" s="148">
        <f t="shared" ca="1" si="0"/>
        <v>3446.17</v>
      </c>
      <c r="L29" s="228">
        <f t="shared" ca="1" si="1"/>
        <v>3.0165092778906558E-2</v>
      </c>
      <c r="M29" s="180">
        <f t="shared" ca="1" si="2"/>
        <v>1616.97</v>
      </c>
      <c r="N29" s="180">
        <f t="shared" ca="1" si="3"/>
        <v>2352.58</v>
      </c>
      <c r="O29" s="180">
        <f t="shared" ca="1" si="4"/>
        <v>255.59</v>
      </c>
      <c r="P29" s="179">
        <v>0</v>
      </c>
      <c r="Q29" s="92">
        <f t="shared" ca="1" si="5"/>
        <v>7671.31</v>
      </c>
      <c r="R29" s="93">
        <f t="shared" ca="1" si="6"/>
        <v>3.0200000000000001E-2</v>
      </c>
      <c r="S29" s="62">
        <v>0</v>
      </c>
      <c r="T29" s="80">
        <f t="shared" ca="1" si="8"/>
        <v>7671.31</v>
      </c>
      <c r="U29" s="93">
        <f t="shared" ca="1" si="7"/>
        <v>3.0200000000000001E-2</v>
      </c>
    </row>
    <row r="30" spans="2:23" ht="15" customHeight="1" x14ac:dyDescent="0.25">
      <c r="B30" s="110">
        <v>17</v>
      </c>
      <c r="C30" s="482" t="s">
        <v>926</v>
      </c>
      <c r="D30" s="483"/>
      <c r="E30" s="147">
        <f ca="1">MO!M81</f>
        <v>5221.4799999999996</v>
      </c>
      <c r="F30" s="147">
        <v>0</v>
      </c>
      <c r="G30" s="147">
        <v>0</v>
      </c>
      <c r="H30" s="148">
        <v>0</v>
      </c>
      <c r="I30" s="148">
        <v>0</v>
      </c>
      <c r="J30" s="148">
        <v>0</v>
      </c>
      <c r="K30" s="148">
        <f ca="1">SUM(E30:J30)</f>
        <v>5221.4799999999996</v>
      </c>
      <c r="L30" s="228">
        <f t="shared" ca="1" si="1"/>
        <v>4.5704776213362955E-2</v>
      </c>
      <c r="M30" s="180">
        <f t="shared" ca="1" si="2"/>
        <v>2449.96</v>
      </c>
      <c r="N30" s="180">
        <f t="shared" ca="1" si="3"/>
        <v>3564.52</v>
      </c>
      <c r="O30" s="180">
        <f t="shared" ca="1" si="4"/>
        <v>387.26</v>
      </c>
      <c r="P30" s="179">
        <v>0</v>
      </c>
      <c r="Q30" s="92">
        <f t="shared" ca="1" si="5"/>
        <v>11623.22</v>
      </c>
      <c r="R30" s="93">
        <f t="shared" ca="1" si="6"/>
        <v>4.5699999999999998E-2</v>
      </c>
      <c r="S30" s="62">
        <v>0</v>
      </c>
      <c r="T30" s="80">
        <f ca="1">Q30-S30</f>
        <v>11623.22</v>
      </c>
      <c r="U30" s="93">
        <f t="shared" ca="1" si="7"/>
        <v>4.5699999999999998E-2</v>
      </c>
      <c r="W30" s="330"/>
    </row>
    <row r="31" spans="2:23" ht="15" customHeight="1" x14ac:dyDescent="0.25">
      <c r="B31" s="110">
        <v>18</v>
      </c>
      <c r="C31" s="482" t="s">
        <v>1186</v>
      </c>
      <c r="D31" s="483"/>
      <c r="E31" s="147">
        <f ca="1">MO!M84</f>
        <v>3638.9900000000002</v>
      </c>
      <c r="F31" s="147">
        <v>0</v>
      </c>
      <c r="G31" s="147">
        <v>0</v>
      </c>
      <c r="H31" s="148">
        <v>0</v>
      </c>
      <c r="I31" s="148">
        <v>0</v>
      </c>
      <c r="J31" s="148">
        <v>0</v>
      </c>
      <c r="K31" s="148">
        <f t="shared" ref="K31:K34" ca="1" si="9">SUM(E31:J31)</f>
        <v>3638.9900000000002</v>
      </c>
      <c r="L31" s="228">
        <f t="shared" ref="L31:L34" ca="1" si="10">K31/$K$36</f>
        <v>3.1852889141137319E-2</v>
      </c>
      <c r="M31" s="180">
        <f t="shared" ca="1" si="2"/>
        <v>1707.44</v>
      </c>
      <c r="N31" s="180">
        <f t="shared" ca="1" si="3"/>
        <v>2484.21</v>
      </c>
      <c r="O31" s="180">
        <f t="shared" ca="1" si="4"/>
        <v>269.89</v>
      </c>
      <c r="P31" s="179"/>
      <c r="Q31" s="92">
        <f t="shared" ca="1" si="5"/>
        <v>8100.5300000000007</v>
      </c>
      <c r="R31" s="93">
        <f t="shared" ca="1" si="6"/>
        <v>3.1899999999999998E-2</v>
      </c>
      <c r="S31" s="62"/>
      <c r="T31" s="80"/>
      <c r="U31" s="93"/>
      <c r="W31" s="330"/>
    </row>
    <row r="32" spans="2:23" ht="15" customHeight="1" x14ac:dyDescent="0.25">
      <c r="B32" s="110">
        <v>19</v>
      </c>
      <c r="C32" s="482" t="s">
        <v>1210</v>
      </c>
      <c r="D32" s="483"/>
      <c r="E32" s="147">
        <f ca="1">MO!M89</f>
        <v>1027.83</v>
      </c>
      <c r="F32" s="147">
        <v>0</v>
      </c>
      <c r="G32" s="147">
        <v>0</v>
      </c>
      <c r="H32" s="148">
        <v>0</v>
      </c>
      <c r="I32" s="148">
        <v>0</v>
      </c>
      <c r="J32" s="148">
        <v>0</v>
      </c>
      <c r="K32" s="148">
        <f t="shared" ref="K32" ca="1" si="11">SUM(E32:J32)</f>
        <v>1027.83</v>
      </c>
      <c r="L32" s="228">
        <f t="shared" ca="1" si="10"/>
        <v>8.9968246810063126E-3</v>
      </c>
      <c r="M32" s="180">
        <f t="shared" ca="1" si="2"/>
        <v>482.26</v>
      </c>
      <c r="N32" s="180">
        <f t="shared" ca="1" si="3"/>
        <v>701.66</v>
      </c>
      <c r="O32" s="180">
        <f t="shared" ca="1" si="4"/>
        <v>76.23</v>
      </c>
      <c r="P32" s="179"/>
      <c r="Q32" s="92">
        <f t="shared" ref="Q32" ca="1" si="12">K32+SUM(M32:P32)</f>
        <v>2287.98</v>
      </c>
      <c r="R32" s="93">
        <f t="shared" ca="1" si="6"/>
        <v>8.9999999999999993E-3</v>
      </c>
      <c r="S32" s="62"/>
      <c r="T32" s="80"/>
      <c r="U32" s="93"/>
      <c r="W32" s="330"/>
    </row>
    <row r="33" spans="2:24" ht="15" customHeight="1" x14ac:dyDescent="0.25">
      <c r="B33" s="110">
        <v>20</v>
      </c>
      <c r="C33" s="482" t="s">
        <v>1187</v>
      </c>
      <c r="D33" s="483"/>
      <c r="E33" s="147">
        <f ca="1">MO!M92</f>
        <v>9256.9</v>
      </c>
      <c r="F33" s="147">
        <v>0</v>
      </c>
      <c r="G33" s="147">
        <v>0</v>
      </c>
      <c r="H33" s="148">
        <v>0</v>
      </c>
      <c r="I33" s="148">
        <v>0</v>
      </c>
      <c r="J33" s="148">
        <v>0</v>
      </c>
      <c r="K33" s="148">
        <f t="shared" ca="1" si="9"/>
        <v>9256.9</v>
      </c>
      <c r="L33" s="228">
        <f t="shared" ca="1" si="10"/>
        <v>8.1027705349724505E-2</v>
      </c>
      <c r="M33" s="180">
        <f t="shared" ca="1" si="2"/>
        <v>4343.41</v>
      </c>
      <c r="N33" s="180">
        <f t="shared" ca="1" si="3"/>
        <v>6319.36</v>
      </c>
      <c r="O33" s="180">
        <f t="shared" ca="1" si="4"/>
        <v>686.56</v>
      </c>
      <c r="P33" s="179"/>
      <c r="Q33" s="92">
        <f t="shared" ca="1" si="5"/>
        <v>20606.23</v>
      </c>
      <c r="R33" s="93">
        <f t="shared" ca="1" si="6"/>
        <v>8.1000000000000003E-2</v>
      </c>
      <c r="S33" s="62"/>
      <c r="T33" s="80"/>
      <c r="U33" s="93"/>
      <c r="W33" s="330"/>
    </row>
    <row r="34" spans="2:24" ht="15" customHeight="1" x14ac:dyDescent="0.25">
      <c r="B34" s="110">
        <v>21</v>
      </c>
      <c r="C34" s="482" t="s">
        <v>1190</v>
      </c>
      <c r="D34" s="483"/>
      <c r="E34" s="147">
        <f ca="1">MO!M97</f>
        <v>885.29</v>
      </c>
      <c r="F34" s="147">
        <v>0</v>
      </c>
      <c r="G34" s="147">
        <v>0</v>
      </c>
      <c r="H34" s="148">
        <v>0</v>
      </c>
      <c r="I34" s="148">
        <v>0</v>
      </c>
      <c r="J34" s="148">
        <v>0</v>
      </c>
      <c r="K34" s="148">
        <f t="shared" ca="1" si="9"/>
        <v>885.29</v>
      </c>
      <c r="L34" s="228">
        <f t="shared" ca="1" si="10"/>
        <v>7.7491403460183874E-3</v>
      </c>
      <c r="M34" s="180">
        <f t="shared" ca="1" si="2"/>
        <v>415.38</v>
      </c>
      <c r="N34" s="180">
        <f t="shared" ca="1" si="3"/>
        <v>604.35</v>
      </c>
      <c r="O34" s="180">
        <f t="shared" ca="1" si="4"/>
        <v>65.66</v>
      </c>
      <c r="P34" s="179"/>
      <c r="Q34" s="92">
        <f t="shared" ca="1" si="5"/>
        <v>1970.68</v>
      </c>
      <c r="R34" s="93">
        <f t="shared" ca="1" si="6"/>
        <v>7.7000000000000002E-3</v>
      </c>
      <c r="S34" s="62"/>
      <c r="T34" s="80"/>
      <c r="U34" s="93"/>
      <c r="W34" s="330"/>
    </row>
    <row r="35" spans="2:24" ht="15" customHeight="1" x14ac:dyDescent="0.25">
      <c r="B35" s="110">
        <v>22</v>
      </c>
      <c r="C35" s="482" t="s">
        <v>1106</v>
      </c>
      <c r="D35" s="483"/>
      <c r="E35" s="147">
        <f ca="1">MO!M99</f>
        <v>19975.190000000002</v>
      </c>
      <c r="F35" s="147">
        <v>0</v>
      </c>
      <c r="G35" s="147">
        <v>0</v>
      </c>
      <c r="H35" s="148">
        <v>0</v>
      </c>
      <c r="I35" s="148">
        <v>0</v>
      </c>
      <c r="J35" s="148">
        <v>0</v>
      </c>
      <c r="K35" s="148">
        <f ca="1">SUM(E35:J35)</f>
        <v>19975.190000000002</v>
      </c>
      <c r="L35" s="228">
        <f ca="1">K35/$K$36</f>
        <v>0.17484728252706239</v>
      </c>
      <c r="M35" s="180">
        <f t="shared" ca="1" si="2"/>
        <v>9372.52</v>
      </c>
      <c r="N35" s="180">
        <f t="shared" ca="1" si="3"/>
        <v>13636.37</v>
      </c>
      <c r="O35" s="180">
        <f t="shared" ca="1" si="4"/>
        <v>1481.52</v>
      </c>
      <c r="P35" s="179"/>
      <c r="Q35" s="92">
        <f t="shared" ca="1" si="5"/>
        <v>44465.600000000006</v>
      </c>
      <c r="R35" s="93">
        <f t="shared" ca="1" si="6"/>
        <v>0.17480000000000001</v>
      </c>
      <c r="S35" s="62"/>
      <c r="T35" s="80"/>
      <c r="U35" s="93"/>
      <c r="W35" s="331"/>
      <c r="X35" s="331"/>
    </row>
    <row r="36" spans="2:24" ht="15" customHeight="1" x14ac:dyDescent="0.25">
      <c r="B36" s="116"/>
      <c r="C36" s="117"/>
      <c r="D36" s="139" t="s">
        <v>329</v>
      </c>
      <c r="E36" s="140">
        <f t="shared" ref="E36:L36" ca="1" si="13">SUM(E14:E35)</f>
        <v>103272.08</v>
      </c>
      <c r="F36" s="140">
        <f t="shared" ca="1" si="13"/>
        <v>1004.45</v>
      </c>
      <c r="G36" s="140">
        <f t="shared" si="13"/>
        <v>6494.57</v>
      </c>
      <c r="H36" s="140">
        <f t="shared" si="13"/>
        <v>1900</v>
      </c>
      <c r="I36" s="140">
        <f t="shared" si="13"/>
        <v>900</v>
      </c>
      <c r="J36" s="140">
        <f t="shared" ca="1" si="13"/>
        <v>672.54</v>
      </c>
      <c r="K36" s="140">
        <f t="shared" ca="1" si="13"/>
        <v>114243.63999999998</v>
      </c>
      <c r="L36" s="141">
        <f t="shared" ca="1" si="13"/>
        <v>1.0000000000000002</v>
      </c>
      <c r="M36" s="142">
        <f>'Inst + diversos'!M30</f>
        <v>53604.05</v>
      </c>
      <c r="N36" s="142">
        <f ca="1">MO!M14+'Diárias + passagens'!L15+'Mob desmob MO'!O17</f>
        <v>77990.209999999992</v>
      </c>
      <c r="O36" s="142">
        <f ca="1">MO!M16+Veículos!I15+'Diárias + passagens'!L17+'Mob desmob equip rod'!Q16</f>
        <v>8473.26</v>
      </c>
      <c r="P36" s="142">
        <v>0</v>
      </c>
      <c r="Q36" s="140">
        <f ca="1">SUM(Q14:Q35)</f>
        <v>254311.16000000003</v>
      </c>
      <c r="R36" s="141">
        <v>1</v>
      </c>
      <c r="S36" s="142">
        <f ca="1">ROUND(Q36*0,2)</f>
        <v>0</v>
      </c>
      <c r="T36" s="140">
        <f ca="1">SUM(T14:T30)</f>
        <v>176880.14</v>
      </c>
      <c r="U36" s="141">
        <f ca="1">SUM(U14:U30)</f>
        <v>0.69580000000000009</v>
      </c>
      <c r="W36" s="331">
        <f ca="1">K36+M36+N36+O36</f>
        <v>254311.16</v>
      </c>
    </row>
    <row r="37" spans="2:24" ht="9" customHeight="1" x14ac:dyDescent="0.25"/>
    <row r="38" spans="2:24" ht="15" hidden="1" customHeight="1" x14ac:dyDescent="0.25">
      <c r="T38" s="91"/>
    </row>
    <row r="39" spans="2:24" ht="15" hidden="1" customHeight="1" x14ac:dyDescent="0.25"/>
    <row r="40" spans="2:24" ht="15" hidden="1" customHeight="1" x14ac:dyDescent="0.25"/>
    <row r="41" spans="2:24" ht="15" hidden="1" customHeight="1" x14ac:dyDescent="0.25"/>
    <row r="42" spans="2:24" ht="15" hidden="1" customHeight="1" x14ac:dyDescent="0.25"/>
    <row r="43" spans="2:24" ht="15" hidden="1" customHeight="1" x14ac:dyDescent="0.25"/>
    <row r="44" spans="2:24" ht="15" customHeight="1" x14ac:dyDescent="0.25">
      <c r="K44" s="91"/>
      <c r="M44" s="308"/>
      <c r="N44" s="273"/>
      <c r="Q44" s="91"/>
      <c r="R44" s="91"/>
    </row>
  </sheetData>
  <mergeCells count="39">
    <mergeCell ref="C31:D31"/>
    <mergeCell ref="C33:D33"/>
    <mergeCell ref="C34:D34"/>
    <mergeCell ref="C32:D32"/>
    <mergeCell ref="C30:D30"/>
    <mergeCell ref="C28:D28"/>
    <mergeCell ref="C29:D29"/>
    <mergeCell ref="C25:D25"/>
    <mergeCell ref="C26:D26"/>
    <mergeCell ref="C27:D27"/>
    <mergeCell ref="I12:I13"/>
    <mergeCell ref="J12:J13"/>
    <mergeCell ref="C24:D24"/>
    <mergeCell ref="C14:D14"/>
    <mergeCell ref="C16:D16"/>
    <mergeCell ref="C17:D17"/>
    <mergeCell ref="C18:D18"/>
    <mergeCell ref="C15:D15"/>
    <mergeCell ref="C19:D19"/>
    <mergeCell ref="C20:D20"/>
    <mergeCell ref="C21:D21"/>
    <mergeCell ref="C22:D22"/>
    <mergeCell ref="C23:D23"/>
    <mergeCell ref="C35:D35"/>
    <mergeCell ref="C4:U4"/>
    <mergeCell ref="T12:U12"/>
    <mergeCell ref="B10:U10"/>
    <mergeCell ref="M12:M13"/>
    <mergeCell ref="N12:N13"/>
    <mergeCell ref="O12:O13"/>
    <mergeCell ref="P12:P13"/>
    <mergeCell ref="Q12:R12"/>
    <mergeCell ref="B12:B13"/>
    <mergeCell ref="C12:D13"/>
    <mergeCell ref="E12:E13"/>
    <mergeCell ref="K12:L12"/>
    <mergeCell ref="F12:F13"/>
    <mergeCell ref="G12:G13"/>
    <mergeCell ref="H12:H13"/>
  </mergeCells>
  <printOptions horizontalCentered="1"/>
  <pageMargins left="0.78740157480314965" right="0.78740157480314965" top="0.39370078740157483" bottom="0.78740157480314965" header="0.19685039370078741" footer="0.19685039370078741"/>
  <pageSetup paperSize="9" scale="60" fitToHeight="0" orientation="landscape" r:id="rId1"/>
  <headerFooter>
    <oddFooter xml:space="preserve">&amp;C&amp;10Av. Des. José Nunes da Cunha, Bloco 14, Parque dos Poderes, Campo Grande (MS), CEP 79031-310
PABX: (67) 3318-5300/ Gab: 5538 – Fax (67) 3318-5386 – gabinete@seinfra.ms.gov.br
</oddFooter>
  </headerFooter>
  <ignoredErrors>
    <ignoredError sqref="Q14 T14" formula="1"/>
  </ignoredErrors>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Planilha7">
    <pageSetUpPr fitToPage="1"/>
  </sheetPr>
  <dimension ref="A1:N109"/>
  <sheetViews>
    <sheetView showGridLines="0" view="pageBreakPreview" zoomScaleNormal="100" zoomScaleSheetLayoutView="100" workbookViewId="0">
      <pane ySplit="12" topLeftCell="A67" activePane="bottomLeft" state="frozen"/>
      <selection pane="bottomLeft" activeCell="J8" sqref="J8"/>
    </sheetView>
  </sheetViews>
  <sheetFormatPr defaultColWidth="0" defaultRowHeight="15" customHeight="1" x14ac:dyDescent="0.25"/>
  <cols>
    <col min="1" max="1" width="1.7109375" style="2" customWidth="1"/>
    <col min="2" max="2" width="9.85546875" style="2" bestFit="1" customWidth="1"/>
    <col min="3" max="3" width="7.28515625" style="2" customWidth="1"/>
    <col min="4" max="4" width="28.7109375" style="2" customWidth="1"/>
    <col min="5" max="5" width="8.7109375" style="2" customWidth="1"/>
    <col min="6" max="6" width="8.28515625" style="2" bestFit="1" customWidth="1"/>
    <col min="7" max="7" width="9.7109375" style="2" bestFit="1" customWidth="1"/>
    <col min="8" max="8" width="8" style="2" bestFit="1" customWidth="1"/>
    <col min="9" max="9" width="14.140625" style="2" bestFit="1" customWidth="1"/>
    <col min="10" max="10" width="10.28515625" style="2" bestFit="1" customWidth="1"/>
    <col min="11" max="11" width="9.7109375" style="2" bestFit="1" customWidth="1"/>
    <col min="12" max="12" width="14.7109375" style="2" bestFit="1" customWidth="1"/>
    <col min="13" max="13" width="16.28515625" style="2" bestFit="1" customWidth="1"/>
    <col min="14" max="14" width="1.7109375" style="2" customWidth="1"/>
    <col min="15" max="16384" width="9.140625" style="2" hidden="1"/>
  </cols>
  <sheetData>
    <row r="1" spans="2:13" ht="9" customHeight="1" x14ac:dyDescent="0.25"/>
    <row r="2" spans="2:13" ht="34.5" customHeight="1" x14ac:dyDescent="0.25"/>
    <row r="3" spans="2:13" ht="26.25" customHeight="1" x14ac:dyDescent="0.25"/>
    <row r="4" spans="2:13" x14ac:dyDescent="0.25">
      <c r="B4" s="23" t="s">
        <v>0</v>
      </c>
      <c r="C4" s="459" t="str">
        <f>'Qd abrang'!C4</f>
        <v>Contratação de Projeto Executivo de Engenharia para Implantação do Aeródromo no município de Ribas do Rio Pardo</v>
      </c>
      <c r="D4" s="459"/>
      <c r="E4" s="459"/>
      <c r="F4" s="459"/>
      <c r="G4" s="459"/>
      <c r="H4" s="459"/>
      <c r="I4" s="459"/>
      <c r="J4" s="459"/>
      <c r="K4" s="459"/>
      <c r="L4" s="459"/>
      <c r="M4" s="459"/>
    </row>
    <row r="5" spans="2:13" x14ac:dyDescent="0.25">
      <c r="B5" s="5" t="s">
        <v>862</v>
      </c>
      <c r="C5" s="1" t="str">
        <f>'Qd abrang'!C5</f>
        <v>Ribas do Rio Pardo/MS</v>
      </c>
    </row>
    <row r="6" spans="2:13" x14ac:dyDescent="0.25">
      <c r="B6" s="5" t="s">
        <v>863</v>
      </c>
      <c r="C6" s="1">
        <f>'Qd abrang'!C6</f>
        <v>0</v>
      </c>
    </row>
    <row r="7" spans="2:13" x14ac:dyDescent="0.25">
      <c r="B7" s="5" t="s">
        <v>1</v>
      </c>
      <c r="C7" s="239">
        <f>'Qd abrang'!C7</f>
        <v>1.3</v>
      </c>
      <c r="D7" s="2" t="s">
        <v>3</v>
      </c>
      <c r="E7" s="2" t="s">
        <v>1132</v>
      </c>
      <c r="L7" s="5" t="s">
        <v>16</v>
      </c>
      <c r="M7" s="6" t="str">
        <f>'Qd abrang'!N7</f>
        <v>79.009.850-2025</v>
      </c>
    </row>
    <row r="8" spans="2:13" x14ac:dyDescent="0.25">
      <c r="B8" s="5" t="s">
        <v>2</v>
      </c>
      <c r="C8" s="264">
        <f>'Qd abrang'!C8</f>
        <v>365</v>
      </c>
      <c r="D8" s="2" t="s">
        <v>4</v>
      </c>
      <c r="J8" s="356"/>
      <c r="L8" s="5" t="s">
        <v>17</v>
      </c>
      <c r="M8" s="265">
        <f>'Qd abrang'!N8</f>
        <v>45748</v>
      </c>
    </row>
    <row r="9" spans="2:13" ht="8.25" customHeight="1" x14ac:dyDescent="0.25"/>
    <row r="10" spans="2:13" s="11" customFormat="1" ht="21" x14ac:dyDescent="0.25">
      <c r="B10" s="458" t="s">
        <v>23</v>
      </c>
      <c r="C10" s="458"/>
      <c r="D10" s="458"/>
      <c r="E10" s="458"/>
      <c r="F10" s="458"/>
      <c r="G10" s="458"/>
      <c r="H10" s="458"/>
      <c r="I10" s="458"/>
      <c r="J10" s="458"/>
      <c r="K10" s="458"/>
      <c r="L10" s="458"/>
      <c r="M10" s="458"/>
    </row>
    <row r="11" spans="2:13" ht="6.75" customHeight="1" x14ac:dyDescent="0.25">
      <c r="M11" s="91"/>
    </row>
    <row r="12" spans="2:13" ht="30" customHeight="1" x14ac:dyDescent="0.25">
      <c r="B12" s="473" t="s">
        <v>29</v>
      </c>
      <c r="C12" s="478" t="s">
        <v>15</v>
      </c>
      <c r="D12" s="479"/>
      <c r="E12" s="473" t="s">
        <v>390</v>
      </c>
      <c r="F12" s="120" t="s">
        <v>391</v>
      </c>
      <c r="G12" s="120" t="s">
        <v>392</v>
      </c>
      <c r="H12" s="120" t="s">
        <v>393</v>
      </c>
      <c r="I12" s="120" t="s">
        <v>325</v>
      </c>
      <c r="J12" s="120" t="s">
        <v>326</v>
      </c>
      <c r="K12" s="120" t="s">
        <v>394</v>
      </c>
      <c r="L12" s="120" t="s">
        <v>395</v>
      </c>
      <c r="M12" s="120" t="s">
        <v>396</v>
      </c>
    </row>
    <row r="13" spans="2:13" s="248" customFormat="1" ht="15" customHeight="1" x14ac:dyDescent="0.25">
      <c r="B13" s="473"/>
      <c r="C13" s="478"/>
      <c r="D13" s="479"/>
      <c r="E13" s="473"/>
      <c r="F13" s="247" t="s">
        <v>330</v>
      </c>
      <c r="G13" s="247" t="s">
        <v>331</v>
      </c>
      <c r="H13" s="247" t="s">
        <v>332</v>
      </c>
      <c r="I13" s="247" t="s">
        <v>333</v>
      </c>
      <c r="J13" s="247" t="s">
        <v>334</v>
      </c>
      <c r="K13" s="247" t="s">
        <v>335</v>
      </c>
      <c r="L13" s="247" t="s">
        <v>336</v>
      </c>
      <c r="M13" s="247" t="s">
        <v>337</v>
      </c>
    </row>
    <row r="14" spans="2:13" s="21" customFormat="1" ht="15" customHeight="1" x14ac:dyDescent="0.25">
      <c r="B14" s="244" t="s">
        <v>397</v>
      </c>
      <c r="C14" s="12"/>
      <c r="D14" s="12"/>
      <c r="E14" s="12"/>
      <c r="F14" s="12"/>
      <c r="G14" s="12"/>
      <c r="H14" s="12"/>
      <c r="I14" s="12"/>
      <c r="J14" s="12"/>
      <c r="K14" s="12"/>
      <c r="L14" s="12"/>
      <c r="M14" s="47">
        <f ca="1">M15</f>
        <v>76375.929999999993</v>
      </c>
    </row>
    <row r="15" spans="2:13" s="21" customFormat="1" ht="15" customHeight="1" x14ac:dyDescent="0.25">
      <c r="B15" s="110" t="str">
        <f>'Memo calc'!B1210</f>
        <v>P8061</v>
      </c>
      <c r="C15" s="492" t="str">
        <f ca="1">IFERROR(VLOOKUP(B15,MO_Matriz,2,0),"")</f>
        <v>Engenheiro coordenador</v>
      </c>
      <c r="D15" s="493" t="str">
        <f ca="1">IFERROR(VLOOKUP(C15,MO_Matriz,2,0),"")</f>
        <v/>
      </c>
      <c r="E15" s="110" t="str">
        <f ca="1">IFERROR(VLOOKUP(B15,MO_Matriz,3,0),"")</f>
        <v>S</v>
      </c>
      <c r="F15" s="110">
        <f>'Memo calc'!H1210</f>
        <v>1</v>
      </c>
      <c r="G15" s="110">
        <f>'Memo calc'!I1210</f>
        <v>1</v>
      </c>
      <c r="H15" s="245">
        <f>'Memo calc'!K1210</f>
        <v>3.6666666666666665</v>
      </c>
      <c r="I15" s="246">
        <f>'Memo calc'!M1210</f>
        <v>130.28571428571428</v>
      </c>
      <c r="J15" s="246">
        <f>F15*G15*H15*I15</f>
        <v>477.71428571428567</v>
      </c>
      <c r="K15" s="246">
        <f>J15/220</f>
        <v>2.1714285714285713</v>
      </c>
      <c r="L15" s="146">
        <f ca="1">IFERROR(VLOOKUP(B15,MO_Matriz,5,0),"")</f>
        <v>35173.129999999997</v>
      </c>
      <c r="M15" s="146">
        <f ca="1">TRUNC(K15*L15,2)</f>
        <v>76375.929999999993</v>
      </c>
    </row>
    <row r="16" spans="2:13" s="21" customFormat="1" ht="15" customHeight="1" x14ac:dyDescent="0.25">
      <c r="B16" s="244" t="s">
        <v>398</v>
      </c>
      <c r="C16" s="12"/>
      <c r="D16" s="12"/>
      <c r="E16" s="12"/>
      <c r="F16" s="12"/>
      <c r="G16" s="12"/>
      <c r="H16" s="12"/>
      <c r="I16" s="12"/>
      <c r="J16" s="12"/>
      <c r="K16" s="12"/>
      <c r="L16" s="12"/>
      <c r="M16" s="47">
        <f ca="1">SUM(M17:M18)</f>
        <v>6432.49</v>
      </c>
    </row>
    <row r="17" spans="2:13" s="21" customFormat="1" ht="15" customHeight="1" x14ac:dyDescent="0.25">
      <c r="B17" s="110" t="str">
        <f>'Memo calc'!B656</f>
        <v>P8061</v>
      </c>
      <c r="C17" s="492" t="str">
        <f ca="1">IFERROR(VLOOKUP(B17,MO_Matriz,2,0),"")</f>
        <v>Engenheiro coordenador</v>
      </c>
      <c r="D17" s="493" t="str">
        <f ca="1">IFERROR(VLOOKUP(C17,MO_Matriz,2,0),"")</f>
        <v/>
      </c>
      <c r="E17" s="110" t="str">
        <f ca="1">IFERROR(VLOOKUP(B17,MO_Matriz,3,0),"")</f>
        <v>S</v>
      </c>
      <c r="F17" s="110">
        <f>'Memo calc'!H656</f>
        <v>1</v>
      </c>
      <c r="G17" s="110">
        <f>'Memo calc'!I656</f>
        <v>1</v>
      </c>
      <c r="H17" s="245">
        <f>'Memo calc'!K656</f>
        <v>7.333333333333333</v>
      </c>
      <c r="I17" s="246">
        <f>'Memo calc'!M656</f>
        <v>4.5714285714285712</v>
      </c>
      <c r="J17" s="246">
        <f>F17*G17*H17*I17</f>
        <v>33.523809523809518</v>
      </c>
      <c r="K17" s="246">
        <f>J17/220</f>
        <v>0.15238095238095237</v>
      </c>
      <c r="L17" s="146">
        <f ca="1">IFERROR(VLOOKUP(B17,MO_Matriz,5,0),"")</f>
        <v>35173.129999999997</v>
      </c>
      <c r="M17" s="146">
        <f ca="1">TRUNC(K17*L17,2)</f>
        <v>5359.71</v>
      </c>
    </row>
    <row r="18" spans="2:13" s="21" customFormat="1" ht="15" customHeight="1" x14ac:dyDescent="0.25">
      <c r="B18" s="110" t="str">
        <f>'Memo calc'!B657</f>
        <v>P8147</v>
      </c>
      <c r="C18" s="492" t="str">
        <f ca="1">IFERROR(VLOOKUP(B18,MO_Matriz,2,0),"")</f>
        <v>Técnico de obras</v>
      </c>
      <c r="D18" s="493" t="str">
        <f ca="1">IFERROR(VLOOKUP(C18,MO_Matriz,2,0),"")</f>
        <v/>
      </c>
      <c r="E18" s="110" t="str">
        <f ca="1">IFERROR(VLOOKUP(B18,MO_Matriz,3,0),"")</f>
        <v>T</v>
      </c>
      <c r="F18" s="110">
        <f>'Memo calc'!H657</f>
        <v>1</v>
      </c>
      <c r="G18" s="110">
        <f>'Memo calc'!I657</f>
        <v>1</v>
      </c>
      <c r="H18" s="245">
        <f>'Memo calc'!K657</f>
        <v>7.333333333333333</v>
      </c>
      <c r="I18" s="246">
        <f>'Memo calc'!M657</f>
        <v>4.5714285714285712</v>
      </c>
      <c r="J18" s="246">
        <f t="shared" ref="J18" si="0">F18*G18*H18*I18</f>
        <v>33.523809523809518</v>
      </c>
      <c r="K18" s="246">
        <f t="shared" ref="K18" si="1">J18/220</f>
        <v>0.15238095238095237</v>
      </c>
      <c r="L18" s="146">
        <f ca="1">IFERROR(VLOOKUP(B18,MO_Matriz,5,0),"")</f>
        <v>7040.14</v>
      </c>
      <c r="M18" s="146">
        <f t="shared" ref="M18" ca="1" si="2">TRUNC(K18*L18,2)</f>
        <v>1072.78</v>
      </c>
    </row>
    <row r="19" spans="2:13" s="21" customFormat="1" ht="15" customHeight="1" x14ac:dyDescent="0.25">
      <c r="B19" s="244" t="s">
        <v>399</v>
      </c>
      <c r="C19" s="12"/>
      <c r="D19" s="12"/>
      <c r="E19" s="12"/>
      <c r="F19" s="12"/>
      <c r="G19" s="12"/>
      <c r="H19" s="12"/>
      <c r="I19" s="12"/>
      <c r="J19" s="12"/>
      <c r="K19" s="12"/>
      <c r="L19" s="12"/>
      <c r="M19" s="47">
        <f ca="1">SUM(M20:M21)</f>
        <v>1044.29</v>
      </c>
    </row>
    <row r="20" spans="2:13" s="21" customFormat="1" ht="15" customHeight="1" x14ac:dyDescent="0.25">
      <c r="B20" s="110" t="str">
        <f>'Memo calc'!B29</f>
        <v>P8065</v>
      </c>
      <c r="C20" s="492" t="str">
        <f ca="1">IFERROR(VLOOKUP(B20,MO_Matriz,2,0),"")</f>
        <v>Engenheiro de projetos júnior</v>
      </c>
      <c r="D20" s="493" t="str">
        <f ca="1">IFERROR(VLOOKUP(C20,MO_Matriz,2,0),"")</f>
        <v/>
      </c>
      <c r="E20" s="110" t="str">
        <f ca="1">IFERROR(VLOOKUP(B20,MO_Matriz,3,0),"")</f>
        <v>S</v>
      </c>
      <c r="F20" s="110">
        <f>'Memo calc'!I29</f>
        <v>1</v>
      </c>
      <c r="G20" s="110">
        <f>'Memo calc'!K29</f>
        <v>1</v>
      </c>
      <c r="H20" s="245">
        <f>'Memo calc'!N29</f>
        <v>7.333333333333333</v>
      </c>
      <c r="I20" s="246">
        <f>'Memo calc'!Q29</f>
        <v>1</v>
      </c>
      <c r="J20" s="246">
        <f>F20*G20*H20*I20</f>
        <v>7.333333333333333</v>
      </c>
      <c r="K20" s="246">
        <f>J20/220</f>
        <v>3.3333333333333333E-2</v>
      </c>
      <c r="L20" s="146">
        <f ca="1">IFERROR(VLOOKUP(B20,MO_Matriz,5,0),"")</f>
        <v>24288.81</v>
      </c>
      <c r="M20" s="146">
        <f ca="1">TRUNC(K20*L20,2)</f>
        <v>809.62</v>
      </c>
    </row>
    <row r="21" spans="2:13" s="21" customFormat="1" ht="15" customHeight="1" x14ac:dyDescent="0.25">
      <c r="B21" s="110" t="str">
        <f>'Memo calc'!B30</f>
        <v>P8147</v>
      </c>
      <c r="C21" s="492" t="str">
        <f ca="1">IFERROR(VLOOKUP(B21,MO_Matriz,2,0),"")</f>
        <v>Técnico de obras</v>
      </c>
      <c r="D21" s="493" t="str">
        <f ca="1">IFERROR(VLOOKUP(C21,MO_Matriz,2,0),"")</f>
        <v/>
      </c>
      <c r="E21" s="110" t="str">
        <f ca="1">IFERROR(VLOOKUP(B21,MO_Matriz,3,0),"")</f>
        <v>T</v>
      </c>
      <c r="F21" s="110">
        <f>'Memo calc'!I30</f>
        <v>1</v>
      </c>
      <c r="G21" s="110">
        <f>'Memo calc'!K30</f>
        <v>1</v>
      </c>
      <c r="H21" s="245">
        <f>'Memo calc'!N30</f>
        <v>7.333333333333333</v>
      </c>
      <c r="I21" s="246">
        <f>'Memo calc'!Q30</f>
        <v>1</v>
      </c>
      <c r="J21" s="246">
        <f>F21*G21*H21*I21</f>
        <v>7.333333333333333</v>
      </c>
      <c r="K21" s="246">
        <f>J21/220</f>
        <v>3.3333333333333333E-2</v>
      </c>
      <c r="L21" s="146">
        <f ca="1">IFERROR(VLOOKUP(B21,MO_Matriz,5,0),"")</f>
        <v>7040.14</v>
      </c>
      <c r="M21" s="146">
        <f ca="1">TRUNC(K21*L21,2)</f>
        <v>234.67</v>
      </c>
    </row>
    <row r="22" spans="2:13" s="21" customFormat="1" ht="15" customHeight="1" x14ac:dyDescent="0.25">
      <c r="B22" s="244" t="s">
        <v>732</v>
      </c>
      <c r="C22" s="12"/>
      <c r="D22" s="12"/>
      <c r="E22" s="12"/>
      <c r="F22" s="12"/>
      <c r="G22" s="12"/>
      <c r="H22" s="12"/>
      <c r="I22" s="12"/>
      <c r="J22" s="12"/>
      <c r="K22" s="12"/>
      <c r="L22" s="12"/>
      <c r="M22" s="47">
        <f ca="1">SUM(M23:M24)</f>
        <v>3083.52</v>
      </c>
    </row>
    <row r="23" spans="2:13" s="21" customFormat="1" ht="15" customHeight="1" x14ac:dyDescent="0.25">
      <c r="B23" s="110" t="str">
        <f>'Memo calc'!B80</f>
        <v>P8058</v>
      </c>
      <c r="C23" s="492" t="str">
        <f t="shared" ref="C23:D24" ca="1" si="3">IFERROR(VLOOKUP(B23,MO_Matriz,2,0),"")</f>
        <v>Engenheiro ambiental pleno</v>
      </c>
      <c r="D23" s="493" t="str">
        <f t="shared" ca="1" si="3"/>
        <v/>
      </c>
      <c r="E23" s="110" t="str">
        <f ca="1">IFERROR(VLOOKUP(B23,MO_Matriz,3,0),"")</f>
        <v>S</v>
      </c>
      <c r="F23" s="110">
        <f>'Memo calc'!H80</f>
        <v>1</v>
      </c>
      <c r="G23" s="110">
        <f>'Memo calc'!J80</f>
        <v>1</v>
      </c>
      <c r="H23" s="245">
        <f>'Memo calc'!M80</f>
        <v>7.333333333333333</v>
      </c>
      <c r="I23" s="246">
        <f>'Memo calc'!O80</f>
        <v>3</v>
      </c>
      <c r="J23" s="246">
        <f>F23*G23*H23*I23</f>
        <v>22</v>
      </c>
      <c r="K23" s="246">
        <f>J23/220</f>
        <v>0.1</v>
      </c>
      <c r="L23" s="146">
        <f ca="1">IFERROR(VLOOKUP(B23,MO_Matriz,5,0),"")</f>
        <v>26558.86</v>
      </c>
      <c r="M23" s="146">
        <f ca="1">TRUNC(K23*L23,2)</f>
        <v>2655.88</v>
      </c>
    </row>
    <row r="24" spans="2:13" s="21" customFormat="1" ht="15" customHeight="1" x14ac:dyDescent="0.25">
      <c r="B24" s="110" t="str">
        <f>'Memo calc'!B81</f>
        <v>P8025</v>
      </c>
      <c r="C24" s="492" t="str">
        <f t="shared" ca="1" si="3"/>
        <v>Auxiliar</v>
      </c>
      <c r="D24" s="493" t="str">
        <f t="shared" ca="1" si="3"/>
        <v/>
      </c>
      <c r="E24" s="110" t="str">
        <f ca="1">IFERROR(VLOOKUP(B24,MO_Matriz,3,0),"")</f>
        <v>A</v>
      </c>
      <c r="F24" s="110">
        <f>'Memo calc'!H81</f>
        <v>1</v>
      </c>
      <c r="G24" s="110">
        <f>'Memo calc'!J81</f>
        <v>1</v>
      </c>
      <c r="H24" s="245">
        <f>'Memo calc'!M81</f>
        <v>7.333333333333333</v>
      </c>
      <c r="I24" s="246">
        <f>'Memo calc'!O81</f>
        <v>3</v>
      </c>
      <c r="J24" s="246">
        <f>F24*G24*H24*I24</f>
        <v>22</v>
      </c>
      <c r="K24" s="246">
        <f>J24/220</f>
        <v>0.1</v>
      </c>
      <c r="L24" s="146">
        <f ca="1">IFERROR(VLOOKUP(B24,MO_Matriz,5,0),"")</f>
        <v>4276.41</v>
      </c>
      <c r="M24" s="146">
        <f t="shared" ref="M24" ca="1" si="4">TRUNC(K24*L24,2)</f>
        <v>427.64</v>
      </c>
    </row>
    <row r="25" spans="2:13" s="21" customFormat="1" ht="15" customHeight="1" x14ac:dyDescent="0.25">
      <c r="B25" s="244" t="s">
        <v>734</v>
      </c>
      <c r="C25" s="12"/>
      <c r="D25" s="12"/>
      <c r="E25" s="12"/>
      <c r="F25" s="12"/>
      <c r="G25" s="12"/>
      <c r="H25" s="12"/>
      <c r="I25" s="12"/>
      <c r="J25" s="12"/>
      <c r="K25" s="12"/>
      <c r="L25" s="12"/>
      <c r="M25" s="47">
        <f ca="1">SUM(M26:M27)</f>
        <v>2208.25</v>
      </c>
    </row>
    <row r="26" spans="2:13" s="21" customFormat="1" ht="15" customHeight="1" x14ac:dyDescent="0.25">
      <c r="B26" s="110" t="str">
        <f>'Memo calc'!B159</f>
        <v>P8058</v>
      </c>
      <c r="C26" s="492" t="str">
        <f t="shared" ref="C26:D27" ca="1" si="5">IFERROR(VLOOKUP(B26,MO_Matriz,2,0),"")</f>
        <v>Engenheiro ambiental pleno</v>
      </c>
      <c r="D26" s="493" t="str">
        <f t="shared" ca="1" si="5"/>
        <v/>
      </c>
      <c r="E26" s="110" t="str">
        <f ca="1">IFERROR(VLOOKUP(B26,MO_Matriz,3,0),"")</f>
        <v>S</v>
      </c>
      <c r="F26" s="110">
        <f>'Memo calc'!H159</f>
        <v>1</v>
      </c>
      <c r="G26" s="110">
        <f>'Memo calc'!J159</f>
        <v>1</v>
      </c>
      <c r="H26" s="245">
        <f>'Memo calc'!L159</f>
        <v>7.333333333333333</v>
      </c>
      <c r="I26" s="246">
        <f>'Memo calc'!O159</f>
        <v>2</v>
      </c>
      <c r="J26" s="246">
        <f>F26*G26*H26*I26</f>
        <v>14.666666666666666</v>
      </c>
      <c r="K26" s="246">
        <f>J26/220</f>
        <v>6.6666666666666666E-2</v>
      </c>
      <c r="L26" s="146">
        <f ca="1">IFERROR(VLOOKUP(B26,MO_Matriz,5,0),"")</f>
        <v>26558.86</v>
      </c>
      <c r="M26" s="146">
        <f ca="1">TRUNC(K26*L26,2)</f>
        <v>1770.59</v>
      </c>
    </row>
    <row r="27" spans="2:13" s="21" customFormat="1" ht="15" customHeight="1" x14ac:dyDescent="0.25">
      <c r="B27" s="110" t="str">
        <f>'Memo calc'!B160</f>
        <v>P8143</v>
      </c>
      <c r="C27" s="492" t="str">
        <f t="shared" ca="1" si="5"/>
        <v>Técnico ambiental</v>
      </c>
      <c r="D27" s="493" t="str">
        <f t="shared" ca="1" si="5"/>
        <v/>
      </c>
      <c r="E27" s="110" t="str">
        <f ca="1">IFERROR(VLOOKUP(B27,MO_Matriz,3,0),"")</f>
        <v>T</v>
      </c>
      <c r="F27" s="110">
        <f>'Memo calc'!H160</f>
        <v>1</v>
      </c>
      <c r="G27" s="110">
        <f>'Memo calc'!J160</f>
        <v>1</v>
      </c>
      <c r="H27" s="245">
        <f>'Memo calc'!L160</f>
        <v>7.333333333333333</v>
      </c>
      <c r="I27" s="246">
        <f>'Memo calc'!O160</f>
        <v>2</v>
      </c>
      <c r="J27" s="246">
        <f t="shared" ref="J27" si="6">F27*G27*H27*I27</f>
        <v>14.666666666666666</v>
      </c>
      <c r="K27" s="246">
        <f t="shared" ref="K27" si="7">J27/220</f>
        <v>6.6666666666666666E-2</v>
      </c>
      <c r="L27" s="146">
        <f ca="1">IFERROR(VLOOKUP(B27,MO_Matriz,5,0),"")</f>
        <v>6565.04</v>
      </c>
      <c r="M27" s="146">
        <f t="shared" ref="M27" ca="1" si="8">TRUNC(K27*L27,2)</f>
        <v>437.66</v>
      </c>
    </row>
    <row r="28" spans="2:13" s="21" customFormat="1" ht="15" customHeight="1" x14ac:dyDescent="0.25">
      <c r="B28" s="244" t="s">
        <v>425</v>
      </c>
      <c r="C28" s="12"/>
      <c r="D28" s="12"/>
      <c r="E28" s="12"/>
      <c r="F28" s="12"/>
      <c r="G28" s="12"/>
      <c r="H28" s="12"/>
      <c r="I28" s="12"/>
      <c r="J28" s="12"/>
      <c r="K28" s="12"/>
      <c r="L28" s="12"/>
      <c r="M28" s="47">
        <f ca="1">SUM(M29:M31)</f>
        <v>1914.82</v>
      </c>
    </row>
    <row r="29" spans="2:13" s="21" customFormat="1" ht="15" customHeight="1" x14ac:dyDescent="0.25">
      <c r="B29" s="110" t="str">
        <f>'Memo calc'!B201</f>
        <v>P8058</v>
      </c>
      <c r="C29" s="492" t="str">
        <f t="shared" ref="C29:D31" ca="1" si="9">IFERROR(VLOOKUP(B29,MO_Matriz,2,0),"")</f>
        <v>Engenheiro ambiental pleno</v>
      </c>
      <c r="D29" s="493" t="str">
        <f t="shared" ca="1" si="9"/>
        <v/>
      </c>
      <c r="E29" s="110" t="str">
        <f ca="1">IFERROR(VLOOKUP(B29,MO_Matriz,3,0),"")</f>
        <v>S</v>
      </c>
      <c r="F29" s="110">
        <f>'Memo calc'!H201</f>
        <v>1</v>
      </c>
      <c r="G29" s="110">
        <f>'Memo calc'!J201</f>
        <v>1</v>
      </c>
      <c r="H29" s="245">
        <f>'Memo calc'!M201</f>
        <v>7.333333333333333</v>
      </c>
      <c r="I29" s="246">
        <f>'Memo calc'!P201</f>
        <v>1</v>
      </c>
      <c r="J29" s="246">
        <f>F29*G29*H29*I29</f>
        <v>7.333333333333333</v>
      </c>
      <c r="K29" s="246">
        <f>J29/220</f>
        <v>3.3333333333333333E-2</v>
      </c>
      <c r="L29" s="146">
        <f ca="1">IFERROR(VLOOKUP(B29,MO_Matriz,5,0),"")</f>
        <v>26558.86</v>
      </c>
      <c r="M29" s="146">
        <f ca="1">TRUNC(K29*L29,2)</f>
        <v>885.29</v>
      </c>
    </row>
    <row r="30" spans="2:13" s="21" customFormat="1" ht="15" customHeight="1" x14ac:dyDescent="0.25">
      <c r="B30" s="110" t="str">
        <f>'Memo calc'!B202</f>
        <v>P8080</v>
      </c>
      <c r="C30" s="492" t="str">
        <f t="shared" ca="1" si="9"/>
        <v>Geólogo júnior</v>
      </c>
      <c r="D30" s="493" t="str">
        <f t="shared" ca="1" si="9"/>
        <v/>
      </c>
      <c r="E30" s="110" t="str">
        <f ca="1">IFERROR(VLOOKUP(B30,MO_Matriz,3,0),"")</f>
        <v>S</v>
      </c>
      <c r="F30" s="110">
        <f>'Memo calc'!H202</f>
        <v>1</v>
      </c>
      <c r="G30" s="110">
        <f>'Memo calc'!J202</f>
        <v>1</v>
      </c>
      <c r="H30" s="245">
        <f>'Memo calc'!M202</f>
        <v>7.333333333333333</v>
      </c>
      <c r="I30" s="246">
        <f>'Memo calc'!P202</f>
        <v>1</v>
      </c>
      <c r="J30" s="246">
        <f t="shared" ref="J30:J31" si="10">F30*G30*H30*I30</f>
        <v>7.333333333333333</v>
      </c>
      <c r="K30" s="246">
        <f t="shared" ref="K30:K31" si="11">J30/220</f>
        <v>3.3333333333333333E-2</v>
      </c>
      <c r="L30" s="146">
        <f ca="1">IFERROR(VLOOKUP(B30,MO_Matriz,5,0),"")</f>
        <v>24321.09</v>
      </c>
      <c r="M30" s="146">
        <f t="shared" ref="M30:M31" ca="1" si="12">TRUNC(K30*L30,2)</f>
        <v>810.7</v>
      </c>
    </row>
    <row r="31" spans="2:13" s="21" customFormat="1" ht="15" customHeight="1" x14ac:dyDescent="0.25">
      <c r="B31" s="110" t="str">
        <f>'Memo calc'!B203</f>
        <v>P8143</v>
      </c>
      <c r="C31" s="492" t="str">
        <f t="shared" ca="1" si="9"/>
        <v>Técnico ambiental</v>
      </c>
      <c r="D31" s="493" t="str">
        <f t="shared" ca="1" si="9"/>
        <v/>
      </c>
      <c r="E31" s="110" t="str">
        <f ca="1">IFERROR(VLOOKUP(B31,MO_Matriz,3,0),"")</f>
        <v>T</v>
      </c>
      <c r="F31" s="110">
        <f>'Memo calc'!H203</f>
        <v>1</v>
      </c>
      <c r="G31" s="110">
        <f>'Memo calc'!J203</f>
        <v>1</v>
      </c>
      <c r="H31" s="245">
        <f>'Memo calc'!M203</f>
        <v>7.333333333333333</v>
      </c>
      <c r="I31" s="246">
        <f>'Memo calc'!P203</f>
        <v>1</v>
      </c>
      <c r="J31" s="246">
        <f t="shared" si="10"/>
        <v>7.333333333333333</v>
      </c>
      <c r="K31" s="246">
        <f t="shared" si="11"/>
        <v>3.3333333333333333E-2</v>
      </c>
      <c r="L31" s="146">
        <f ca="1">IFERROR(VLOOKUP(B31,MO_Matriz,5,0),"")</f>
        <v>6565.04</v>
      </c>
      <c r="M31" s="146">
        <f t="shared" ca="1" si="12"/>
        <v>218.83</v>
      </c>
    </row>
    <row r="32" spans="2:13" s="21" customFormat="1" ht="15" customHeight="1" x14ac:dyDescent="0.25">
      <c r="B32" s="244" t="s">
        <v>426</v>
      </c>
      <c r="C32" s="12"/>
      <c r="D32" s="12"/>
      <c r="E32" s="12"/>
      <c r="F32" s="12"/>
      <c r="G32" s="12"/>
      <c r="H32" s="12"/>
      <c r="I32" s="12"/>
      <c r="J32" s="12"/>
      <c r="K32" s="12"/>
      <c r="L32" s="12"/>
      <c r="M32" s="47">
        <f ca="1">SUM(M33:M34)</f>
        <v>1022.65</v>
      </c>
    </row>
    <row r="33" spans="2:13" s="21" customFormat="1" ht="15" customHeight="1" x14ac:dyDescent="0.25">
      <c r="B33" s="110" t="str">
        <f>'Memo calc'!B245</f>
        <v>P8065</v>
      </c>
      <c r="C33" s="492" t="str">
        <f t="shared" ref="C33:D34" ca="1" si="13">IFERROR(VLOOKUP(B33,MO_Matriz,2,0),"")</f>
        <v>Engenheiro de projetos júnior</v>
      </c>
      <c r="D33" s="493" t="str">
        <f t="shared" ca="1" si="13"/>
        <v/>
      </c>
      <c r="E33" s="110" t="str">
        <f ca="1">IFERROR(VLOOKUP(B33,MO_Matriz,3,0),"")</f>
        <v>S</v>
      </c>
      <c r="F33" s="110">
        <f>'Memo calc'!H245</f>
        <v>1</v>
      </c>
      <c r="G33" s="110">
        <f>'Memo calc'!J245</f>
        <v>1</v>
      </c>
      <c r="H33" s="245">
        <f>'Memo calc'!M245</f>
        <v>7.333333333333333</v>
      </c>
      <c r="I33" s="246">
        <f>'Memo calc'!P245</f>
        <v>1</v>
      </c>
      <c r="J33" s="246">
        <f>F33*G33*H33*I33</f>
        <v>7.333333333333333</v>
      </c>
      <c r="K33" s="246">
        <f>J33/220</f>
        <v>3.3333333333333333E-2</v>
      </c>
      <c r="L33" s="146">
        <f ca="1">IFERROR(VLOOKUP(B33,MO_Matriz,5,0),"")</f>
        <v>24288.81</v>
      </c>
      <c r="M33" s="146">
        <f ca="1">ROUND(K33*L33,2)</f>
        <v>809.63</v>
      </c>
    </row>
    <row r="34" spans="2:13" s="21" customFormat="1" ht="15" customHeight="1" x14ac:dyDescent="0.25">
      <c r="B34" s="110" t="str">
        <f>'Memo calc'!B246</f>
        <v>P8155</v>
      </c>
      <c r="C34" s="492" t="str">
        <f t="shared" ca="1" si="13"/>
        <v>Técnico em geoprocessamento</v>
      </c>
      <c r="D34" s="493" t="str">
        <f t="shared" ca="1" si="13"/>
        <v/>
      </c>
      <c r="E34" s="110" t="str">
        <f ca="1">IFERROR(VLOOKUP(B34,MO_Matriz,3,0),"")</f>
        <v>T</v>
      </c>
      <c r="F34" s="110">
        <f>'Memo calc'!H246</f>
        <v>1</v>
      </c>
      <c r="G34" s="110">
        <f>'Memo calc'!J246</f>
        <v>1</v>
      </c>
      <c r="H34" s="245">
        <f>'Memo calc'!M246</f>
        <v>7.333333333333333</v>
      </c>
      <c r="I34" s="246">
        <f>'Memo calc'!P246</f>
        <v>1</v>
      </c>
      <c r="J34" s="246">
        <f t="shared" ref="J34" si="14">F34*G34*H34*I34</f>
        <v>7.333333333333333</v>
      </c>
      <c r="K34" s="246">
        <f t="shared" ref="K34" si="15">J34/220</f>
        <v>3.3333333333333333E-2</v>
      </c>
      <c r="L34" s="146">
        <f ca="1">IFERROR(VLOOKUP(B34,MO_Matriz,5,0),"")</f>
        <v>6390.65</v>
      </c>
      <c r="M34" s="146">
        <f t="shared" ref="M34" ca="1" si="16">ROUND(K34*L34,2)</f>
        <v>213.02</v>
      </c>
    </row>
    <row r="35" spans="2:13" s="21" customFormat="1" ht="15" customHeight="1" x14ac:dyDescent="0.25">
      <c r="B35" s="244" t="s">
        <v>427</v>
      </c>
      <c r="C35" s="12"/>
      <c r="D35" s="12"/>
      <c r="E35" s="12"/>
      <c r="F35" s="12"/>
      <c r="G35" s="12"/>
      <c r="H35" s="12"/>
      <c r="I35" s="12"/>
      <c r="J35" s="12"/>
      <c r="K35" s="12"/>
      <c r="L35" s="12"/>
      <c r="M35" s="47">
        <f ca="1">SUM(M36:M37)</f>
        <v>1070.3499999999999</v>
      </c>
    </row>
    <row r="36" spans="2:13" s="21" customFormat="1" ht="15" customHeight="1" x14ac:dyDescent="0.25">
      <c r="B36" s="110" t="str">
        <f>'Memo calc'!B287</f>
        <v>P8065</v>
      </c>
      <c r="C36" s="492" t="str">
        <f t="shared" ref="C36:D37" ca="1" si="17">IFERROR(VLOOKUP(B36,MO_Matriz,2,0),"")</f>
        <v>Engenheiro de projetos júnior</v>
      </c>
      <c r="D36" s="493" t="str">
        <f t="shared" ca="1" si="17"/>
        <v/>
      </c>
      <c r="E36" s="110" t="str">
        <f ca="1">IFERROR(VLOOKUP(B36,MO_Matriz,3,0),"")</f>
        <v>S</v>
      </c>
      <c r="F36" s="110">
        <f>'Memo calc'!H287</f>
        <v>1</v>
      </c>
      <c r="G36" s="110">
        <f>'Memo calc'!J287</f>
        <v>1</v>
      </c>
      <c r="H36" s="245">
        <f>'Memo calc'!M287</f>
        <v>7.333333333333333</v>
      </c>
      <c r="I36" s="246">
        <f>'Memo calc'!P287</f>
        <v>1</v>
      </c>
      <c r="J36" s="246">
        <f>F36*G36*H36*I36</f>
        <v>7.333333333333333</v>
      </c>
      <c r="K36" s="246">
        <f>J36/220</f>
        <v>3.3333333333333333E-2</v>
      </c>
      <c r="L36" s="146">
        <f ca="1">IFERROR(VLOOKUP(B36,MO_Matriz,5,0),"")</f>
        <v>24288.81</v>
      </c>
      <c r="M36" s="146">
        <f ca="1">ROUND(K36*L36,2)</f>
        <v>809.63</v>
      </c>
    </row>
    <row r="37" spans="2:13" s="21" customFormat="1" ht="15" customHeight="1" x14ac:dyDescent="0.25">
      <c r="B37" s="110" t="str">
        <f>'Memo calc'!B288</f>
        <v>P9848</v>
      </c>
      <c r="C37" s="492" t="str">
        <f t="shared" ca="1" si="17"/>
        <v>Desenhista</v>
      </c>
      <c r="D37" s="493" t="str">
        <f t="shared" ca="1" si="17"/>
        <v/>
      </c>
      <c r="E37" s="110" t="str">
        <f ca="1">IFERROR(VLOOKUP(B37,MO_Matriz,3,0),"")</f>
        <v>T</v>
      </c>
      <c r="F37" s="110">
        <f>'Memo calc'!H288</f>
        <v>1</v>
      </c>
      <c r="G37" s="110">
        <f>'Memo calc'!J288</f>
        <v>1</v>
      </c>
      <c r="H37" s="245">
        <f>'Memo calc'!M288</f>
        <v>7.333333333333333</v>
      </c>
      <c r="I37" s="246">
        <f>'Memo calc'!P288</f>
        <v>1</v>
      </c>
      <c r="J37" s="246">
        <f>F37*G37*H37*I37</f>
        <v>7.333333333333333</v>
      </c>
      <c r="K37" s="246">
        <f>J37/220</f>
        <v>3.3333333333333333E-2</v>
      </c>
      <c r="L37" s="146">
        <f ca="1">IFERROR(VLOOKUP(B37,MO_Matriz,5,0),"")</f>
        <v>7821.6815999999999</v>
      </c>
      <c r="M37" s="146">
        <f ca="1">ROUND(K37*L37,2)</f>
        <v>260.72000000000003</v>
      </c>
    </row>
    <row r="38" spans="2:13" s="21" customFormat="1" ht="15" customHeight="1" x14ac:dyDescent="0.25">
      <c r="B38" s="244" t="s">
        <v>735</v>
      </c>
      <c r="C38" s="12"/>
      <c r="D38" s="12"/>
      <c r="E38" s="12"/>
      <c r="F38" s="12"/>
      <c r="G38" s="12"/>
      <c r="H38" s="12"/>
      <c r="I38" s="12"/>
      <c r="J38" s="12"/>
      <c r="K38" s="12"/>
      <c r="L38" s="12"/>
      <c r="M38" s="47">
        <f ca="1">SUM(M39:M40)</f>
        <v>1432.2600000000002</v>
      </c>
    </row>
    <row r="39" spans="2:13" s="21" customFormat="1" ht="15" customHeight="1" x14ac:dyDescent="0.25">
      <c r="B39" s="110" t="str">
        <f>'Memo calc'!B332</f>
        <v>P8163</v>
      </c>
      <c r="C39" s="492" t="str">
        <f t="shared" ref="C39:D40" ca="1" si="18">IFERROR(VLOOKUP(B39,MO_Matriz,2,0),"")</f>
        <v>Topógrafo</v>
      </c>
      <c r="D39" s="493" t="str">
        <f t="shared" ca="1" si="18"/>
        <v/>
      </c>
      <c r="E39" s="110" t="str">
        <f ca="1">IFERROR(VLOOKUP(B39,MO_Matriz,3,0),"")</f>
        <v>T</v>
      </c>
      <c r="F39" s="110">
        <f>'Memo calc'!H332</f>
        <v>1</v>
      </c>
      <c r="G39" s="110">
        <f>'Memo calc'!J332</f>
        <v>1</v>
      </c>
      <c r="H39" s="245">
        <f>'Memo calc'!L332</f>
        <v>7.333333333333333</v>
      </c>
      <c r="I39" s="246">
        <f>'Memo calc'!N332</f>
        <v>3</v>
      </c>
      <c r="J39" s="246">
        <f>F39*G39*H39*I39</f>
        <v>22</v>
      </c>
      <c r="K39" s="246">
        <f>J39/220</f>
        <v>0.1</v>
      </c>
      <c r="L39" s="146">
        <f ca="1">IFERROR(VLOOKUP(B39,MO_Matriz,5,0),"")</f>
        <v>5810.76</v>
      </c>
      <c r="M39" s="146">
        <f ca="1">TRUNC(K39*L39,2)</f>
        <v>581.07000000000005</v>
      </c>
    </row>
    <row r="40" spans="2:13" s="21" customFormat="1" ht="15" customHeight="1" x14ac:dyDescent="0.25">
      <c r="B40" s="110" t="str">
        <f>'Memo calc'!B333</f>
        <v>P8028</v>
      </c>
      <c r="C40" s="492" t="str">
        <f t="shared" ca="1" si="18"/>
        <v>Auxiliar de topografia</v>
      </c>
      <c r="D40" s="493" t="str">
        <f t="shared" ca="1" si="18"/>
        <v/>
      </c>
      <c r="E40" s="110" t="str">
        <f ca="1">IFERROR(VLOOKUP(B40,MO_Matriz,3,0),"")</f>
        <v>A</v>
      </c>
      <c r="F40" s="110">
        <f>'Memo calc'!H333</f>
        <v>1</v>
      </c>
      <c r="G40" s="110">
        <f>'Memo calc'!J333</f>
        <v>2</v>
      </c>
      <c r="H40" s="245">
        <f>'Memo calc'!L333</f>
        <v>7.333333333333333</v>
      </c>
      <c r="I40" s="246">
        <f>'Memo calc'!N333</f>
        <v>3</v>
      </c>
      <c r="J40" s="246">
        <f>F40*G40*H40*I40</f>
        <v>44</v>
      </c>
      <c r="K40" s="246">
        <f>J40/220</f>
        <v>0.2</v>
      </c>
      <c r="L40" s="146">
        <f ca="1">IFERROR(VLOOKUP(B40,MO_Matriz,5,0),"")</f>
        <v>4255.96</v>
      </c>
      <c r="M40" s="146">
        <f ca="1">TRUNC(K40*L40,2)</f>
        <v>851.19</v>
      </c>
    </row>
    <row r="41" spans="2:13" s="21" customFormat="1" ht="15" customHeight="1" x14ac:dyDescent="0.25">
      <c r="B41" s="244" t="s">
        <v>736</v>
      </c>
      <c r="C41" s="12"/>
      <c r="D41" s="12"/>
      <c r="E41" s="12"/>
      <c r="F41" s="12"/>
      <c r="G41" s="12"/>
      <c r="H41" s="12"/>
      <c r="I41" s="12"/>
      <c r="J41" s="12"/>
      <c r="K41" s="12"/>
      <c r="L41" s="12"/>
      <c r="M41" s="47">
        <f ca="1">SUM(M42:M44)</f>
        <v>2528.08</v>
      </c>
    </row>
    <row r="42" spans="2:13" s="21" customFormat="1" ht="15" customHeight="1" x14ac:dyDescent="0.25">
      <c r="B42" s="110" t="str">
        <f>'Memo calc'!B410</f>
        <v>P8065</v>
      </c>
      <c r="C42" s="494" t="str">
        <f t="shared" ref="C42:D43" ca="1" si="19">IFERROR(VLOOKUP(B42,MO_Matriz,2,0),"")</f>
        <v>Engenheiro de projetos júnior</v>
      </c>
      <c r="D42" s="495"/>
      <c r="E42" s="110" t="str">
        <f ca="1">IFERROR(VLOOKUP(B42,MO_Matriz,3,0),"")</f>
        <v>S</v>
      </c>
      <c r="F42" s="110">
        <f>'Memo calc'!H410</f>
        <v>1</v>
      </c>
      <c r="G42" s="110">
        <f>'Memo calc'!J410</f>
        <v>1</v>
      </c>
      <c r="H42" s="245">
        <f>'Memo calc'!L410</f>
        <v>7.333333333333333</v>
      </c>
      <c r="I42" s="246">
        <f>'Memo calc'!N410</f>
        <v>2</v>
      </c>
      <c r="J42" s="246">
        <f>F42*G42*H42*I42</f>
        <v>14.666666666666666</v>
      </c>
      <c r="K42" s="246">
        <f>J42/220</f>
        <v>6.6666666666666666E-2</v>
      </c>
      <c r="L42" s="146">
        <f ca="1">IFERROR(VLOOKUP(B42,MO_Matriz,5,0),"")</f>
        <v>24288.81</v>
      </c>
      <c r="M42" s="146">
        <f ca="1">ROUND(K42*L42,2)</f>
        <v>1619.25</v>
      </c>
    </row>
    <row r="43" spans="2:13" s="21" customFormat="1" ht="15" customHeight="1" x14ac:dyDescent="0.25">
      <c r="B43" s="110" t="str">
        <f>'Memo calc'!B411</f>
        <v>P8163</v>
      </c>
      <c r="C43" s="492" t="str">
        <f t="shared" ca="1" si="19"/>
        <v>Topógrafo</v>
      </c>
      <c r="D43" s="493" t="str">
        <f t="shared" ca="1" si="19"/>
        <v/>
      </c>
      <c r="E43" s="110" t="str">
        <f ca="1">IFERROR(VLOOKUP(B43,MO_Matriz,3,0),"")</f>
        <v>T</v>
      </c>
      <c r="F43" s="110">
        <f>'Memo calc'!H411</f>
        <v>1</v>
      </c>
      <c r="G43" s="110">
        <f>'Memo calc'!J411</f>
        <v>1</v>
      </c>
      <c r="H43" s="245">
        <f>'Memo calc'!L411</f>
        <v>7.333333333333333</v>
      </c>
      <c r="I43" s="246">
        <f>'Memo calc'!N411</f>
        <v>2</v>
      </c>
      <c r="J43" s="246">
        <f>F43*G43*H43*I43</f>
        <v>14.666666666666666</v>
      </c>
      <c r="K43" s="246">
        <f>J43/220</f>
        <v>6.6666666666666666E-2</v>
      </c>
      <c r="L43" s="146">
        <f ca="1">IFERROR(VLOOKUP(B43,MO_Matriz,5,0),"")</f>
        <v>5810.76</v>
      </c>
      <c r="M43" s="146">
        <f ca="1">ROUND(K43*L43,2)</f>
        <v>387.38</v>
      </c>
    </row>
    <row r="44" spans="2:13" s="21" customFormat="1" ht="15" customHeight="1" x14ac:dyDescent="0.25">
      <c r="B44" s="110" t="str">
        <f>'Memo calc'!B412</f>
        <v>P9848</v>
      </c>
      <c r="C44" s="492" t="str">
        <f t="shared" ref="C44" ca="1" si="20">IFERROR(VLOOKUP(B44,MO_Matriz,2,0),"")</f>
        <v>Desenhista</v>
      </c>
      <c r="D44" s="493" t="str">
        <f t="shared" ref="D44" ca="1" si="21">IFERROR(VLOOKUP(C44,MO_Matriz,2,0),"")</f>
        <v/>
      </c>
      <c r="E44" s="110" t="str">
        <f ca="1">IFERROR(VLOOKUP(B44,MO_Matriz,3,0),"")</f>
        <v>T</v>
      </c>
      <c r="F44" s="110">
        <f>'Memo calc'!H412</f>
        <v>1</v>
      </c>
      <c r="G44" s="110">
        <f>'Memo calc'!J412</f>
        <v>1</v>
      </c>
      <c r="H44" s="245">
        <f>'Memo calc'!L412</f>
        <v>7.333333333333333</v>
      </c>
      <c r="I44" s="246">
        <f>'Memo calc'!N412</f>
        <v>2</v>
      </c>
      <c r="J44" s="246">
        <f>F44*G44*H44*I44</f>
        <v>14.666666666666666</v>
      </c>
      <c r="K44" s="246">
        <f>J44/220</f>
        <v>6.6666666666666666E-2</v>
      </c>
      <c r="L44" s="146">
        <f ca="1">IFERROR(VLOOKUP(B44,MO_Matriz,5,0),"")</f>
        <v>7821.6815999999999</v>
      </c>
      <c r="M44" s="146">
        <f ca="1">ROUND(K44*L44,2)</f>
        <v>521.45000000000005</v>
      </c>
    </row>
    <row r="45" spans="2:13" s="21" customFormat="1" ht="15" customHeight="1" x14ac:dyDescent="0.25">
      <c r="B45" s="244" t="s">
        <v>1211</v>
      </c>
      <c r="C45" s="12"/>
      <c r="D45" s="12"/>
      <c r="E45" s="12"/>
      <c r="F45" s="12"/>
      <c r="G45" s="12"/>
      <c r="H45" s="12"/>
      <c r="I45" s="12"/>
      <c r="J45" s="12"/>
      <c r="K45" s="12"/>
      <c r="L45" s="12"/>
      <c r="M45" s="47">
        <f ca="1">SUM(M46:M47)</f>
        <v>2273.4300000000003</v>
      </c>
    </row>
    <row r="46" spans="2:13" s="21" customFormat="1" ht="15" customHeight="1" x14ac:dyDescent="0.25">
      <c r="B46" s="110" t="str">
        <f>'Memo calc'!B462</f>
        <v>P8139</v>
      </c>
      <c r="C46" s="492" t="str">
        <f t="shared" ref="C46:D47" ca="1" si="22">IFERROR(VLOOKUP(B46,MO_Matriz,2,0),"")</f>
        <v>Sondador</v>
      </c>
      <c r="D46" s="493" t="str">
        <f t="shared" ca="1" si="22"/>
        <v/>
      </c>
      <c r="E46" s="110" t="str">
        <f ca="1">IFERROR(VLOOKUP(B46,MO_Matriz,3,0),"")</f>
        <v>T</v>
      </c>
      <c r="F46" s="110">
        <f>'Memo calc'!H462</f>
        <v>1</v>
      </c>
      <c r="G46" s="110">
        <f>'Memo calc'!J462</f>
        <v>1</v>
      </c>
      <c r="H46" s="245">
        <f>'Memo calc'!L462</f>
        <v>7.333333333333333</v>
      </c>
      <c r="I46" s="246">
        <f>'Memo calc'!N462</f>
        <v>5</v>
      </c>
      <c r="J46" s="246">
        <f>F46*G46*H46*I46</f>
        <v>36.666666666666664</v>
      </c>
      <c r="K46" s="246">
        <f>J46/220</f>
        <v>0.16666666666666666</v>
      </c>
      <c r="L46" s="146">
        <f ca="1">IFERROR(VLOOKUP(B46,MO_Matriz,5,0),"")</f>
        <v>5087.7700000000004</v>
      </c>
      <c r="M46" s="146">
        <f ca="1">ROUND(K46*L46,2)</f>
        <v>847.96</v>
      </c>
    </row>
    <row r="47" spans="2:13" s="21" customFormat="1" ht="15" customHeight="1" x14ac:dyDescent="0.25">
      <c r="B47" s="110" t="str">
        <f>'Memo calc'!B463</f>
        <v>P8025</v>
      </c>
      <c r="C47" s="492" t="str">
        <f t="shared" ca="1" si="22"/>
        <v>Auxiliar</v>
      </c>
      <c r="D47" s="493" t="str">
        <f t="shared" ca="1" si="22"/>
        <v/>
      </c>
      <c r="E47" s="110" t="str">
        <f ca="1">IFERROR(VLOOKUP(B47,MO_Matriz,3,0),"")</f>
        <v>A</v>
      </c>
      <c r="F47" s="110">
        <f>'Memo calc'!H463</f>
        <v>1</v>
      </c>
      <c r="G47" s="110">
        <f>'Memo calc'!J463</f>
        <v>2</v>
      </c>
      <c r="H47" s="245">
        <f>'Memo calc'!L463</f>
        <v>7.333333333333333</v>
      </c>
      <c r="I47" s="246">
        <f>'Memo calc'!N463</f>
        <v>5</v>
      </c>
      <c r="J47" s="246">
        <f>F47*G47*H47*I47</f>
        <v>73.333333333333329</v>
      </c>
      <c r="K47" s="246">
        <f>J47/220</f>
        <v>0.33333333333333331</v>
      </c>
      <c r="L47" s="146">
        <f ca="1">IFERROR(VLOOKUP(B47,MO_Matriz,5,0),"")</f>
        <v>4276.41</v>
      </c>
      <c r="M47" s="146">
        <f ca="1">ROUND(K47*L47,2)</f>
        <v>1425.47</v>
      </c>
    </row>
    <row r="48" spans="2:13" s="21" customFormat="1" ht="15" customHeight="1" x14ac:dyDescent="0.25">
      <c r="B48" s="244" t="s">
        <v>539</v>
      </c>
      <c r="C48" s="12"/>
      <c r="D48" s="12"/>
      <c r="E48" s="12"/>
      <c r="F48" s="12"/>
      <c r="G48" s="12"/>
      <c r="H48" s="12"/>
      <c r="I48" s="12"/>
      <c r="J48" s="12"/>
      <c r="K48" s="12"/>
      <c r="L48" s="12"/>
      <c r="M48" s="47">
        <f ca="1">SUM(M49:M50)</f>
        <v>2542.5100000000002</v>
      </c>
    </row>
    <row r="49" spans="2:13" s="21" customFormat="1" ht="15" customHeight="1" x14ac:dyDescent="0.25">
      <c r="B49" s="110" t="str">
        <f>'Memo calc'!B551</f>
        <v>P8098</v>
      </c>
      <c r="C49" s="492" t="str">
        <f t="shared" ref="C49:D50" ca="1" si="23">IFERROR(VLOOKUP(B49,MO_Matriz,2,0),"")</f>
        <v>Laboratorista</v>
      </c>
      <c r="D49" s="493" t="str">
        <f t="shared" ca="1" si="23"/>
        <v/>
      </c>
      <c r="E49" s="110" t="str">
        <f ca="1">IFERROR(VLOOKUP(B49,MO_Matriz,3,0),"")</f>
        <v>T</v>
      </c>
      <c r="F49" s="110">
        <f>'Memo calc'!H551</f>
        <v>1</v>
      </c>
      <c r="G49" s="110">
        <f>'Memo calc'!J551</f>
        <v>1</v>
      </c>
      <c r="H49" s="245">
        <f>'Memo calc'!L551</f>
        <v>7.333333333333333</v>
      </c>
      <c r="I49" s="246">
        <f>'Memo calc'!N551</f>
        <v>7.5</v>
      </c>
      <c r="J49" s="246">
        <f>F49*G49*H49*I49</f>
        <v>55</v>
      </c>
      <c r="K49" s="246">
        <f>J49/220</f>
        <v>0.25</v>
      </c>
      <c r="L49" s="146">
        <f ca="1">IFERROR(VLOOKUP(B49,MO_Matriz,5,0),"")</f>
        <v>5615.95</v>
      </c>
      <c r="M49" s="146">
        <f ca="1">ROUND(K49*L49,2)</f>
        <v>1403.99</v>
      </c>
    </row>
    <row r="50" spans="2:13" s="21" customFormat="1" ht="15" customHeight="1" x14ac:dyDescent="0.25">
      <c r="B50" s="110" t="str">
        <f>'Memo calc'!B552</f>
        <v>P8027</v>
      </c>
      <c r="C50" s="492" t="str">
        <f t="shared" ca="1" si="23"/>
        <v>Auxiliar de laboratório</v>
      </c>
      <c r="D50" s="493" t="str">
        <f t="shared" ca="1" si="23"/>
        <v/>
      </c>
      <c r="E50" s="110" t="str">
        <f ca="1">IFERROR(VLOOKUP(B50,MO_Matriz,3,0),"")</f>
        <v>A</v>
      </c>
      <c r="F50" s="110">
        <f>'Memo calc'!H552</f>
        <v>1</v>
      </c>
      <c r="G50" s="110">
        <f>'Memo calc'!J552</f>
        <v>1</v>
      </c>
      <c r="H50" s="245">
        <f>'Memo calc'!L552</f>
        <v>7.333333333333333</v>
      </c>
      <c r="I50" s="246">
        <f>'Memo calc'!N552</f>
        <v>7.5</v>
      </c>
      <c r="J50" s="246">
        <f>F50*G50*H50*I50</f>
        <v>55</v>
      </c>
      <c r="K50" s="246">
        <f>J50/220</f>
        <v>0.25</v>
      </c>
      <c r="L50" s="146">
        <f ca="1">IFERROR(VLOOKUP(B50,MO_Matriz,5,0),"")</f>
        <v>4554.09</v>
      </c>
      <c r="M50" s="146">
        <f ca="1">ROUND(K50*L50,2)</f>
        <v>1138.52</v>
      </c>
    </row>
    <row r="51" spans="2:13" s="21" customFormat="1" ht="15" customHeight="1" x14ac:dyDescent="0.25">
      <c r="B51" s="244" t="s">
        <v>507</v>
      </c>
      <c r="C51" s="12"/>
      <c r="D51" s="12"/>
      <c r="E51" s="12"/>
      <c r="F51" s="12"/>
      <c r="G51" s="12"/>
      <c r="H51" s="12"/>
      <c r="I51" s="12"/>
      <c r="J51" s="12"/>
      <c r="K51" s="12"/>
      <c r="L51" s="12"/>
      <c r="M51" s="47">
        <f ca="1">SUM(M52:M53)</f>
        <v>3206.4500000000003</v>
      </c>
    </row>
    <row r="52" spans="2:13" s="21" customFormat="1" ht="15" customHeight="1" x14ac:dyDescent="0.25">
      <c r="B52" s="110" t="str">
        <f>'Memo calc'!B613</f>
        <v>P8065</v>
      </c>
      <c r="C52" s="492" t="str">
        <f t="shared" ref="C52:D53" ca="1" si="24">IFERROR(VLOOKUP(B52,MO_Matriz,2,0),"")</f>
        <v>Engenheiro de projetos júnior</v>
      </c>
      <c r="D52" s="493" t="str">
        <f t="shared" ca="1" si="24"/>
        <v/>
      </c>
      <c r="E52" s="110" t="str">
        <f ca="1">IFERROR(VLOOKUP(B52,MO_Matriz,3,0),"")</f>
        <v>S</v>
      </c>
      <c r="F52" s="110">
        <f>'Memo calc'!H613</f>
        <v>1</v>
      </c>
      <c r="G52" s="110">
        <f>'Memo calc'!J613</f>
        <v>1</v>
      </c>
      <c r="H52" s="245">
        <f>'Memo calc'!L613</f>
        <v>7.333333333333333</v>
      </c>
      <c r="I52" s="246">
        <f>'Memo calc'!N613</f>
        <v>3.2166666666666668</v>
      </c>
      <c r="J52" s="246">
        <f>F52*G52*H52*I52</f>
        <v>23.588888888888889</v>
      </c>
      <c r="K52" s="246">
        <f>J52/220</f>
        <v>0.10722222222222222</v>
      </c>
      <c r="L52" s="146">
        <f ca="1">IFERROR(VLOOKUP(B52,MO_Matriz,5,0),"")</f>
        <v>24288.81</v>
      </c>
      <c r="M52" s="146">
        <f ca="1">ROUND(K52*L52,2)</f>
        <v>2604.3000000000002</v>
      </c>
    </row>
    <row r="53" spans="2:13" s="21" customFormat="1" ht="15" customHeight="1" x14ac:dyDescent="0.25">
      <c r="B53" s="110" t="str">
        <f>'Memo calc'!B614</f>
        <v>P8098</v>
      </c>
      <c r="C53" s="492" t="str">
        <f t="shared" ca="1" si="24"/>
        <v>Laboratorista</v>
      </c>
      <c r="D53" s="493" t="str">
        <f t="shared" ca="1" si="24"/>
        <v/>
      </c>
      <c r="E53" s="110" t="str">
        <f ca="1">IFERROR(VLOOKUP(B53,MO_Matriz,3,0),"")</f>
        <v>T</v>
      </c>
      <c r="F53" s="110">
        <f>'Memo calc'!H614</f>
        <v>1</v>
      </c>
      <c r="G53" s="110">
        <f>'Memo calc'!J614</f>
        <v>1</v>
      </c>
      <c r="H53" s="245">
        <f>'Memo calc'!L614</f>
        <v>7.333333333333333</v>
      </c>
      <c r="I53" s="246">
        <f>'Memo calc'!N614</f>
        <v>3.2166666666666668</v>
      </c>
      <c r="J53" s="246">
        <f t="shared" ref="J53" si="25">F53*G53*H53*I53</f>
        <v>23.588888888888889</v>
      </c>
      <c r="K53" s="246">
        <f t="shared" ref="K53" si="26">J53/220</f>
        <v>0.10722222222222222</v>
      </c>
      <c r="L53" s="146">
        <f ca="1">IFERROR(VLOOKUP(B53,MO_Matriz,5,0),"")</f>
        <v>5615.95</v>
      </c>
      <c r="M53" s="146">
        <f t="shared" ref="M53" ca="1" si="27">ROUND(K53*L53,2)</f>
        <v>602.15</v>
      </c>
    </row>
    <row r="54" spans="2:13" s="21" customFormat="1" ht="15" customHeight="1" x14ac:dyDescent="0.25">
      <c r="B54" s="244" t="s">
        <v>597</v>
      </c>
      <c r="C54" s="12"/>
      <c r="D54" s="12"/>
      <c r="E54" s="12"/>
      <c r="F54" s="12"/>
      <c r="G54" s="12"/>
      <c r="H54" s="12"/>
      <c r="I54" s="12"/>
      <c r="J54" s="12"/>
      <c r="K54" s="12"/>
      <c r="L54" s="12"/>
      <c r="M54" s="47">
        <f ca="1">SUM(M55:M56)</f>
        <v>4816.57</v>
      </c>
    </row>
    <row r="55" spans="2:13" s="21" customFormat="1" ht="15" customHeight="1" x14ac:dyDescent="0.25">
      <c r="B55" s="110" t="str">
        <f>'Memo calc'!B747</f>
        <v>P8065</v>
      </c>
      <c r="C55" s="492" t="str">
        <f t="shared" ref="C55:D56" ca="1" si="28">IFERROR(VLOOKUP(B55,MO_Matriz,2,0),"")</f>
        <v>Engenheiro de projetos júnior</v>
      </c>
      <c r="D55" s="493" t="str">
        <f t="shared" ca="1" si="28"/>
        <v/>
      </c>
      <c r="E55" s="110" t="str">
        <f ca="1">IFERROR(VLOOKUP(B55,MO_Matriz,3,0),"")</f>
        <v>S</v>
      </c>
      <c r="F55" s="110">
        <f>'Memo calc'!H747</f>
        <v>1</v>
      </c>
      <c r="G55" s="110">
        <f>'Memo calc'!I747</f>
        <v>1</v>
      </c>
      <c r="H55" s="245">
        <f>'Memo calc'!K747</f>
        <v>7.333333333333333</v>
      </c>
      <c r="I55" s="246">
        <f>'Memo calc'!M747</f>
        <v>4.5</v>
      </c>
      <c r="J55" s="246">
        <f>F55*G55*H55*I55</f>
        <v>33</v>
      </c>
      <c r="K55" s="246">
        <f>J55/220</f>
        <v>0.15</v>
      </c>
      <c r="L55" s="146">
        <f ca="1">IFERROR(VLOOKUP(B55,MO_Matriz,5,0),"")</f>
        <v>24288.81</v>
      </c>
      <c r="M55" s="146">
        <f ca="1">ROUND(K55*L55,2)</f>
        <v>3643.32</v>
      </c>
    </row>
    <row r="56" spans="2:13" s="21" customFormat="1" ht="15" customHeight="1" x14ac:dyDescent="0.25">
      <c r="B56" s="110" t="str">
        <f>'Memo calc'!B748</f>
        <v>P9848</v>
      </c>
      <c r="C56" s="492" t="str">
        <f t="shared" ca="1" si="28"/>
        <v>Desenhista</v>
      </c>
      <c r="D56" s="493" t="str">
        <f t="shared" ca="1" si="28"/>
        <v/>
      </c>
      <c r="E56" s="110" t="str">
        <f ca="1">IFERROR(VLOOKUP(B56,MO_Matriz,3,0),"")</f>
        <v>T</v>
      </c>
      <c r="F56" s="110">
        <f>'Memo calc'!H748</f>
        <v>1</v>
      </c>
      <c r="G56" s="110">
        <f>'Memo calc'!I748</f>
        <v>1</v>
      </c>
      <c r="H56" s="245">
        <f>'Memo calc'!K748</f>
        <v>7.333333333333333</v>
      </c>
      <c r="I56" s="246">
        <f>'Memo calc'!M748</f>
        <v>4.5</v>
      </c>
      <c r="J56" s="246">
        <f>F56*G56*H56*I56</f>
        <v>33</v>
      </c>
      <c r="K56" s="246">
        <f>J56/220</f>
        <v>0.15</v>
      </c>
      <c r="L56" s="146">
        <f ca="1">IFERROR(VLOOKUP(B56,MO_Matriz,5,0),"")</f>
        <v>7821.6815999999999</v>
      </c>
      <c r="M56" s="146">
        <f ca="1">ROUND(K56*L56,2)</f>
        <v>1173.25</v>
      </c>
    </row>
    <row r="57" spans="2:13" s="21" customFormat="1" ht="15" customHeight="1" x14ac:dyDescent="0.25">
      <c r="B57" s="244" t="s">
        <v>598</v>
      </c>
      <c r="C57" s="12"/>
      <c r="D57" s="12"/>
      <c r="E57" s="12"/>
      <c r="F57" s="12"/>
      <c r="G57" s="12"/>
      <c r="H57" s="12"/>
      <c r="I57" s="12"/>
      <c r="J57" s="12"/>
      <c r="K57" s="12"/>
      <c r="L57" s="12"/>
      <c r="M57" s="47">
        <f ca="1">SUM(M58:M59)</f>
        <v>7798.26</v>
      </c>
    </row>
    <row r="58" spans="2:13" s="21" customFormat="1" ht="15" customHeight="1" x14ac:dyDescent="0.25">
      <c r="B58" s="110" t="str">
        <f>'Memo calc'!B793</f>
        <v>P8065</v>
      </c>
      <c r="C58" s="492" t="str">
        <f t="shared" ref="C58:D59" ca="1" si="29">IFERROR(VLOOKUP(B58,MO_Matriz,2,0),"")</f>
        <v>Engenheiro de projetos júnior</v>
      </c>
      <c r="D58" s="493" t="str">
        <f t="shared" ca="1" si="29"/>
        <v/>
      </c>
      <c r="E58" s="110" t="str">
        <f ca="1">IFERROR(VLOOKUP(B58,MO_Matriz,3,0),"")</f>
        <v>S</v>
      </c>
      <c r="F58" s="110">
        <f>'Memo calc'!H793</f>
        <v>1</v>
      </c>
      <c r="G58" s="110">
        <f>'Memo calc'!I793</f>
        <v>1</v>
      </c>
      <c r="H58" s="245">
        <f>'Memo calc'!K793</f>
        <v>7.333333333333333</v>
      </c>
      <c r="I58" s="246">
        <f>'Memo calc'!M793</f>
        <v>7.2857142857142856</v>
      </c>
      <c r="J58" s="246">
        <f>F58*G58*H58*I58</f>
        <v>53.428571428571423</v>
      </c>
      <c r="K58" s="246">
        <f>J58/220</f>
        <v>0.24285714285714283</v>
      </c>
      <c r="L58" s="146">
        <f ca="1">IFERROR(VLOOKUP(B58,MO_Matriz,5,0),"")</f>
        <v>24288.81</v>
      </c>
      <c r="M58" s="146">
        <f ca="1">ROUND(K58*L58,2)</f>
        <v>5898.71</v>
      </c>
    </row>
    <row r="59" spans="2:13" s="21" customFormat="1" ht="15" customHeight="1" x14ac:dyDescent="0.25">
      <c r="B59" s="110" t="str">
        <f>'Memo calc'!B794</f>
        <v>P9848</v>
      </c>
      <c r="C59" s="492" t="str">
        <f t="shared" ca="1" si="29"/>
        <v>Desenhista</v>
      </c>
      <c r="D59" s="493" t="str">
        <f t="shared" ca="1" si="29"/>
        <v/>
      </c>
      <c r="E59" s="110" t="str">
        <f ca="1">IFERROR(VLOOKUP(B59,MO_Matriz,3,0),"")</f>
        <v>T</v>
      </c>
      <c r="F59" s="110">
        <f>'Memo calc'!H794</f>
        <v>1</v>
      </c>
      <c r="G59" s="110">
        <f>'Memo calc'!I794</f>
        <v>1</v>
      </c>
      <c r="H59" s="245">
        <f>'Memo calc'!K794</f>
        <v>7.333333333333333</v>
      </c>
      <c r="I59" s="246">
        <f>'Memo calc'!M794</f>
        <v>7.2857142857142856</v>
      </c>
      <c r="J59" s="246">
        <f>F59*G59*H59*I59</f>
        <v>53.428571428571423</v>
      </c>
      <c r="K59" s="246">
        <f>J59/220</f>
        <v>0.24285714285714283</v>
      </c>
      <c r="L59" s="146">
        <f ca="1">IFERROR(VLOOKUP(B59,MO_Matriz,5,0),"")</f>
        <v>7821.6815999999999</v>
      </c>
      <c r="M59" s="146">
        <f ca="1">ROUND(K59*L59,2)</f>
        <v>1899.55</v>
      </c>
    </row>
    <row r="60" spans="2:13" s="21" customFormat="1" ht="15" customHeight="1" x14ac:dyDescent="0.25">
      <c r="B60" s="244" t="s">
        <v>786</v>
      </c>
      <c r="C60" s="12"/>
      <c r="D60" s="12"/>
      <c r="E60" s="12"/>
      <c r="F60" s="12"/>
      <c r="G60" s="12"/>
      <c r="H60" s="12"/>
      <c r="I60" s="12"/>
      <c r="J60" s="12"/>
      <c r="K60" s="12"/>
      <c r="L60" s="12"/>
      <c r="M60" s="47">
        <f ca="1">SUM(M61:M62)</f>
        <v>7798.26</v>
      </c>
    </row>
    <row r="61" spans="2:13" s="21" customFormat="1" ht="15" customHeight="1" x14ac:dyDescent="0.25">
      <c r="B61" s="110" t="str">
        <f>'Memo calc'!B839</f>
        <v>P8065</v>
      </c>
      <c r="C61" s="492" t="str">
        <f t="shared" ref="C61:D62" ca="1" si="30">IFERROR(VLOOKUP(B61,MO_Matriz,2,0),"")</f>
        <v>Engenheiro de projetos júnior</v>
      </c>
      <c r="D61" s="493" t="str">
        <f t="shared" ca="1" si="30"/>
        <v/>
      </c>
      <c r="E61" s="110" t="str">
        <f ca="1">IFERROR(VLOOKUP(B61,MO_Matriz,3,0),"")</f>
        <v>S</v>
      </c>
      <c r="F61" s="110">
        <f>'Memo calc'!H839</f>
        <v>1</v>
      </c>
      <c r="G61" s="110">
        <f>'Memo calc'!I839</f>
        <v>1</v>
      </c>
      <c r="H61" s="245">
        <f>'Memo calc'!K839</f>
        <v>7.333333333333333</v>
      </c>
      <c r="I61" s="246">
        <f>'Memo calc'!M839</f>
        <v>7.2857142857142856</v>
      </c>
      <c r="J61" s="246">
        <f>F61*G61*H61*I61</f>
        <v>53.428571428571423</v>
      </c>
      <c r="K61" s="246">
        <f>J61/220</f>
        <v>0.24285714285714283</v>
      </c>
      <c r="L61" s="146">
        <f ca="1">IFERROR(VLOOKUP(B61,MO_Matriz,5,0),"")</f>
        <v>24288.81</v>
      </c>
      <c r="M61" s="146">
        <f ca="1">ROUND(K61*L61,2)</f>
        <v>5898.71</v>
      </c>
    </row>
    <row r="62" spans="2:13" s="21" customFormat="1" ht="15" customHeight="1" x14ac:dyDescent="0.25">
      <c r="B62" s="110" t="str">
        <f>'Memo calc'!B840</f>
        <v>P9848</v>
      </c>
      <c r="C62" s="492" t="str">
        <f t="shared" ca="1" si="30"/>
        <v>Desenhista</v>
      </c>
      <c r="D62" s="493" t="str">
        <f t="shared" ca="1" si="30"/>
        <v/>
      </c>
      <c r="E62" s="110" t="str">
        <f ca="1">IFERROR(VLOOKUP(B62,MO_Matriz,3,0),"")</f>
        <v>T</v>
      </c>
      <c r="F62" s="110">
        <f>'Memo calc'!H840</f>
        <v>1</v>
      </c>
      <c r="G62" s="110">
        <f>'Memo calc'!I840</f>
        <v>1</v>
      </c>
      <c r="H62" s="245">
        <f>'Memo calc'!K840</f>
        <v>7.333333333333333</v>
      </c>
      <c r="I62" s="246">
        <f>'Memo calc'!M840</f>
        <v>7.2857142857142856</v>
      </c>
      <c r="J62" s="246">
        <f>F62*G62*H62*I62</f>
        <v>53.428571428571423</v>
      </c>
      <c r="K62" s="246">
        <f>J62/220</f>
        <v>0.24285714285714283</v>
      </c>
      <c r="L62" s="146">
        <f ca="1">IFERROR(VLOOKUP(B62,MO_Matriz,5,0),"")</f>
        <v>7821.6815999999999</v>
      </c>
      <c r="M62" s="146">
        <f ca="1">ROUND(K62*L62,2)</f>
        <v>1899.55</v>
      </c>
    </row>
    <row r="63" spans="2:13" s="21" customFormat="1" ht="15" customHeight="1" x14ac:dyDescent="0.25">
      <c r="B63" s="244" t="s">
        <v>599</v>
      </c>
      <c r="C63" s="12"/>
      <c r="D63" s="12"/>
      <c r="E63" s="12"/>
      <c r="F63" s="12"/>
      <c r="G63" s="12"/>
      <c r="H63" s="12"/>
      <c r="I63" s="12"/>
      <c r="J63" s="12"/>
      <c r="K63" s="12"/>
      <c r="L63" s="12"/>
      <c r="M63" s="47">
        <f ca="1">SUM(M64:M65)</f>
        <v>4816.57</v>
      </c>
    </row>
    <row r="64" spans="2:13" s="21" customFormat="1" ht="15" customHeight="1" x14ac:dyDescent="0.25">
      <c r="B64" s="110" t="str">
        <f>'Memo calc'!B885</f>
        <v>P8065</v>
      </c>
      <c r="C64" s="492" t="str">
        <f t="shared" ref="C64:D65" ca="1" si="31">IFERROR(VLOOKUP(B64,MO_Matriz,2,0),"")</f>
        <v>Engenheiro de projetos júnior</v>
      </c>
      <c r="D64" s="493" t="str">
        <f t="shared" ca="1" si="31"/>
        <v/>
      </c>
      <c r="E64" s="110" t="str">
        <f ca="1">IFERROR(VLOOKUP(B64,MO_Matriz,3,0),"")</f>
        <v>S</v>
      </c>
      <c r="F64" s="110">
        <f>'Memo calc'!H885</f>
        <v>1</v>
      </c>
      <c r="G64" s="110">
        <f>'Memo calc'!I885</f>
        <v>1</v>
      </c>
      <c r="H64" s="245">
        <f>'Memo calc'!K885</f>
        <v>7.333333333333333</v>
      </c>
      <c r="I64" s="246">
        <f>'Memo calc'!M885</f>
        <v>4.5</v>
      </c>
      <c r="J64" s="246">
        <f>F64*G64*H64*I64</f>
        <v>33</v>
      </c>
      <c r="K64" s="246">
        <f>J64/220</f>
        <v>0.15</v>
      </c>
      <c r="L64" s="146">
        <f ca="1">IFERROR(VLOOKUP(B64,MO_Matriz,5,0),"")</f>
        <v>24288.81</v>
      </c>
      <c r="M64" s="146">
        <f ca="1">ROUND(K64*L64,2)</f>
        <v>3643.32</v>
      </c>
    </row>
    <row r="65" spans="2:13" s="21" customFormat="1" ht="15" customHeight="1" x14ac:dyDescent="0.25">
      <c r="B65" s="110" t="str">
        <f>'Memo calc'!B886</f>
        <v>P9848</v>
      </c>
      <c r="C65" s="492" t="str">
        <f t="shared" ca="1" si="31"/>
        <v>Desenhista</v>
      </c>
      <c r="D65" s="493" t="str">
        <f t="shared" ca="1" si="31"/>
        <v/>
      </c>
      <c r="E65" s="110" t="str">
        <f ca="1">IFERROR(VLOOKUP(B65,MO_Matriz,3,0),"")</f>
        <v>T</v>
      </c>
      <c r="F65" s="110">
        <f>'Memo calc'!H886</f>
        <v>1</v>
      </c>
      <c r="G65" s="110">
        <f>'Memo calc'!I886</f>
        <v>1</v>
      </c>
      <c r="H65" s="245">
        <f>'Memo calc'!K886</f>
        <v>7.333333333333333</v>
      </c>
      <c r="I65" s="246">
        <f>'Memo calc'!M886</f>
        <v>4.5</v>
      </c>
      <c r="J65" s="246">
        <f>F65*G65*H65*I65</f>
        <v>33</v>
      </c>
      <c r="K65" s="246">
        <f>J65/220</f>
        <v>0.15</v>
      </c>
      <c r="L65" s="146">
        <f ca="1">IFERROR(VLOOKUP(B65,MO_Matriz,5,0),"")</f>
        <v>7821.6815999999999</v>
      </c>
      <c r="M65" s="146">
        <f ca="1">ROUND(K65*L65,2)</f>
        <v>1173.25</v>
      </c>
    </row>
    <row r="66" spans="2:13" s="21" customFormat="1" ht="15" customHeight="1" x14ac:dyDescent="0.25">
      <c r="B66" s="244" t="s">
        <v>600</v>
      </c>
      <c r="C66" s="12"/>
      <c r="D66" s="12"/>
      <c r="E66" s="12"/>
      <c r="F66" s="12"/>
      <c r="G66" s="12"/>
      <c r="H66" s="12"/>
      <c r="I66" s="12"/>
      <c r="J66" s="12"/>
      <c r="K66" s="12"/>
      <c r="L66" s="12"/>
      <c r="M66" s="47">
        <f ca="1">SUM(M67:M68)</f>
        <v>3746.2200000000003</v>
      </c>
    </row>
    <row r="67" spans="2:13" s="21" customFormat="1" ht="15" customHeight="1" x14ac:dyDescent="0.25">
      <c r="B67" s="110" t="str">
        <f>'Memo calc'!B931</f>
        <v>P8065</v>
      </c>
      <c r="C67" s="492" t="str">
        <f t="shared" ref="C67:D68" ca="1" si="32">IFERROR(VLOOKUP(B67,MO_Matriz,2,0),"")</f>
        <v>Engenheiro de projetos júnior</v>
      </c>
      <c r="D67" s="493" t="str">
        <f t="shared" ca="1" si="32"/>
        <v/>
      </c>
      <c r="E67" s="110" t="str">
        <f ca="1">IFERROR(VLOOKUP(B67,MO_Matriz,3,0),"")</f>
        <v>S</v>
      </c>
      <c r="F67" s="110">
        <f>'Memo calc'!H931</f>
        <v>1</v>
      </c>
      <c r="G67" s="110">
        <f>'Memo calc'!I931</f>
        <v>1</v>
      </c>
      <c r="H67" s="245">
        <f>'Memo calc'!K931</f>
        <v>7.333333333333333</v>
      </c>
      <c r="I67" s="246">
        <f>'Memo calc'!M931</f>
        <v>3.5</v>
      </c>
      <c r="J67" s="246">
        <f>F67*G67*H67*I67</f>
        <v>25.666666666666664</v>
      </c>
      <c r="K67" s="246">
        <f>J67/220</f>
        <v>0.11666666666666665</v>
      </c>
      <c r="L67" s="146">
        <f ca="1">IFERROR(VLOOKUP(B67,MO_Matriz,5,0),"")</f>
        <v>24288.81</v>
      </c>
      <c r="M67" s="146">
        <f ca="1">ROUND(K67*L67,2)</f>
        <v>2833.69</v>
      </c>
    </row>
    <row r="68" spans="2:13" s="21" customFormat="1" ht="15" customHeight="1" x14ac:dyDescent="0.25">
      <c r="B68" s="110" t="str">
        <f>'Memo calc'!B932</f>
        <v>P9848</v>
      </c>
      <c r="C68" s="492" t="str">
        <f t="shared" ca="1" si="32"/>
        <v>Desenhista</v>
      </c>
      <c r="D68" s="493" t="str">
        <f t="shared" ca="1" si="32"/>
        <v/>
      </c>
      <c r="E68" s="110" t="str">
        <f ca="1">IFERROR(VLOOKUP(B68,MO_Matriz,3,0),"")</f>
        <v>T</v>
      </c>
      <c r="F68" s="110">
        <f>'Memo calc'!H932</f>
        <v>1</v>
      </c>
      <c r="G68" s="110">
        <f>'Memo calc'!I932</f>
        <v>1</v>
      </c>
      <c r="H68" s="245">
        <f>'Memo calc'!K932</f>
        <v>7.333333333333333</v>
      </c>
      <c r="I68" s="246">
        <f>'Memo calc'!M932</f>
        <v>3.5</v>
      </c>
      <c r="J68" s="246">
        <f>F68*G68*H68*I68</f>
        <v>25.666666666666664</v>
      </c>
      <c r="K68" s="246">
        <f>J68/220</f>
        <v>0.11666666666666665</v>
      </c>
      <c r="L68" s="146">
        <f ca="1">IFERROR(VLOOKUP(B68,MO_Matriz,5,0),"")</f>
        <v>7821.6815999999999</v>
      </c>
      <c r="M68" s="146">
        <f ca="1">ROUND(K68*L68,2)</f>
        <v>912.53</v>
      </c>
    </row>
    <row r="69" spans="2:13" s="21" customFormat="1" ht="15" customHeight="1" x14ac:dyDescent="0.25">
      <c r="B69" s="244" t="s">
        <v>602</v>
      </c>
      <c r="C69" s="12"/>
      <c r="D69" s="12"/>
      <c r="E69" s="12"/>
      <c r="F69" s="12"/>
      <c r="G69" s="12"/>
      <c r="H69" s="12"/>
      <c r="I69" s="12"/>
      <c r="J69" s="12"/>
      <c r="K69" s="12"/>
      <c r="L69" s="12"/>
      <c r="M69" s="47">
        <f ca="1">SUM(M70:M71)</f>
        <v>4228.54</v>
      </c>
    </row>
    <row r="70" spans="2:13" s="21" customFormat="1" ht="15" customHeight="1" x14ac:dyDescent="0.25">
      <c r="B70" s="110" t="str">
        <f>'Memo calc'!B977</f>
        <v>P8065</v>
      </c>
      <c r="C70" s="492" t="str">
        <f t="shared" ref="C70:D71" ca="1" si="33">IFERROR(VLOOKUP(B70,MO_Matriz,2,0),"")</f>
        <v>Engenheiro de projetos júnior</v>
      </c>
      <c r="D70" s="493" t="str">
        <f t="shared" ca="1" si="33"/>
        <v/>
      </c>
      <c r="E70" s="110" t="str">
        <f ca="1">IFERROR(VLOOKUP(B70,MO_Matriz,3,0),"")</f>
        <v>S</v>
      </c>
      <c r="F70" s="110">
        <f>'Memo calc'!H977</f>
        <v>1</v>
      </c>
      <c r="G70" s="110">
        <f>'Memo calc'!I977</f>
        <v>1</v>
      </c>
      <c r="H70" s="245">
        <f>'Memo calc'!K977</f>
        <v>7.333333333333333</v>
      </c>
      <c r="I70" s="246">
        <f>'Memo calc'!M977</f>
        <v>3.9506299999999999</v>
      </c>
      <c r="J70" s="246">
        <f>F70*G70*H70*I70</f>
        <v>28.971286666666664</v>
      </c>
      <c r="K70" s="246">
        <f>J70/220</f>
        <v>0.13168766666666665</v>
      </c>
      <c r="L70" s="146">
        <f ca="1">IFERROR(VLOOKUP(B70,MO_Matriz,5,0),"")</f>
        <v>24288.81</v>
      </c>
      <c r="M70" s="146">
        <f ca="1">TRUNC(K70*L70,2)</f>
        <v>3198.53</v>
      </c>
    </row>
    <row r="71" spans="2:13" s="21" customFormat="1" ht="15" customHeight="1" x14ac:dyDescent="0.25">
      <c r="B71" s="110" t="str">
        <f>'Memo calc'!B978</f>
        <v>P9848</v>
      </c>
      <c r="C71" s="492" t="str">
        <f t="shared" ca="1" si="33"/>
        <v>Desenhista</v>
      </c>
      <c r="D71" s="493" t="str">
        <f t="shared" ca="1" si="33"/>
        <v/>
      </c>
      <c r="E71" s="110" t="str">
        <f ca="1">IFERROR(VLOOKUP(B71,MO_Matriz,3,0),"")</f>
        <v>T</v>
      </c>
      <c r="F71" s="110">
        <f>'Memo calc'!H978</f>
        <v>1</v>
      </c>
      <c r="G71" s="110">
        <f>'Memo calc'!I978</f>
        <v>1</v>
      </c>
      <c r="H71" s="245">
        <f>'Memo calc'!K978</f>
        <v>7.333333333333333</v>
      </c>
      <c r="I71" s="246">
        <f>'Memo calc'!M978</f>
        <v>3.9506299999999999</v>
      </c>
      <c r="J71" s="246">
        <f>F71*G71*H71*I71</f>
        <v>28.971286666666664</v>
      </c>
      <c r="K71" s="246">
        <f>J71/220</f>
        <v>0.13168766666666665</v>
      </c>
      <c r="L71" s="146">
        <f ca="1">IFERROR(VLOOKUP(B71,MO_Matriz,5,0),"")</f>
        <v>7821.6815999999999</v>
      </c>
      <c r="M71" s="146">
        <f ca="1">TRUNC(K71*L71,2)</f>
        <v>1030.01</v>
      </c>
    </row>
    <row r="72" spans="2:13" s="21" customFormat="1" ht="15" customHeight="1" x14ac:dyDescent="0.25">
      <c r="B72" s="244" t="s">
        <v>604</v>
      </c>
      <c r="C72" s="12"/>
      <c r="D72" s="12"/>
      <c r="E72" s="12"/>
      <c r="F72" s="12"/>
      <c r="G72" s="12"/>
      <c r="H72" s="12"/>
      <c r="I72" s="12"/>
      <c r="J72" s="12"/>
      <c r="K72" s="12"/>
      <c r="L72" s="12"/>
      <c r="M72" s="47">
        <f ca="1">SUM(M73:M74)</f>
        <v>3211.04</v>
      </c>
    </row>
    <row r="73" spans="2:13" s="21" customFormat="1" ht="15" customHeight="1" x14ac:dyDescent="0.25">
      <c r="B73" s="110" t="str">
        <f>'Memo calc'!B1023</f>
        <v>P8065</v>
      </c>
      <c r="C73" s="492" t="str">
        <f t="shared" ref="C73:D74" ca="1" si="34">IFERROR(VLOOKUP(B73,MO_Matriz,2,0),"")</f>
        <v>Engenheiro de projetos júnior</v>
      </c>
      <c r="D73" s="493" t="str">
        <f t="shared" ca="1" si="34"/>
        <v/>
      </c>
      <c r="E73" s="110" t="str">
        <f ca="1">IFERROR(VLOOKUP(B73,MO_Matriz,3,0),"")</f>
        <v>S</v>
      </c>
      <c r="F73" s="110">
        <f>'Memo calc'!H1023</f>
        <v>1</v>
      </c>
      <c r="G73" s="110">
        <f>'Memo calc'!I1023</f>
        <v>1</v>
      </c>
      <c r="H73" s="245">
        <f>'Memo calc'!K1023</f>
        <v>7.333333333333333</v>
      </c>
      <c r="I73" s="246">
        <f>'Memo calc'!M1023</f>
        <v>3</v>
      </c>
      <c r="J73" s="246">
        <f>F73*G73*H73*I73</f>
        <v>22</v>
      </c>
      <c r="K73" s="246">
        <f>J73/220</f>
        <v>0.1</v>
      </c>
      <c r="L73" s="146">
        <f ca="1">IFERROR(VLOOKUP(B73,MO_Matriz,5,0),"")</f>
        <v>24288.81</v>
      </c>
      <c r="M73" s="146">
        <f ca="1">TRUNC(K73*L73,2)</f>
        <v>2428.88</v>
      </c>
    </row>
    <row r="74" spans="2:13" s="21" customFormat="1" ht="15" customHeight="1" x14ac:dyDescent="0.25">
      <c r="B74" s="110" t="str">
        <f>'Memo calc'!B1024</f>
        <v>P9848</v>
      </c>
      <c r="C74" s="492" t="str">
        <f t="shared" ca="1" si="34"/>
        <v>Desenhista</v>
      </c>
      <c r="D74" s="493" t="str">
        <f t="shared" ca="1" si="34"/>
        <v/>
      </c>
      <c r="E74" s="110" t="str">
        <f ca="1">IFERROR(VLOOKUP(B74,MO_Matriz,3,0),"")</f>
        <v>T</v>
      </c>
      <c r="F74" s="110">
        <f>'Memo calc'!H1024</f>
        <v>1</v>
      </c>
      <c r="G74" s="110">
        <f>'Memo calc'!I1024</f>
        <v>1</v>
      </c>
      <c r="H74" s="245">
        <f>'Memo calc'!K1024</f>
        <v>7.333333333333333</v>
      </c>
      <c r="I74" s="246">
        <f>'Memo calc'!M1024</f>
        <v>3</v>
      </c>
      <c r="J74" s="246">
        <f>F74*G74*H74*I74</f>
        <v>22</v>
      </c>
      <c r="K74" s="246">
        <f>J74/220</f>
        <v>0.1</v>
      </c>
      <c r="L74" s="146">
        <f ca="1">IFERROR(VLOOKUP(B74,MO_Matriz,5,0),"")</f>
        <v>7821.6815999999999</v>
      </c>
      <c r="M74" s="146">
        <f ca="1">TRUNC(K74*L74,2)</f>
        <v>782.16</v>
      </c>
    </row>
    <row r="75" spans="2:13" s="21" customFormat="1" ht="15" customHeight="1" x14ac:dyDescent="0.25">
      <c r="B75" s="244" t="s">
        <v>606</v>
      </c>
      <c r="C75" s="12"/>
      <c r="D75" s="12"/>
      <c r="E75" s="12"/>
      <c r="F75" s="12"/>
      <c r="G75" s="12"/>
      <c r="H75" s="12"/>
      <c r="I75" s="12"/>
      <c r="J75" s="12"/>
      <c r="K75" s="12"/>
      <c r="L75" s="12"/>
      <c r="M75" s="47">
        <f ca="1">SUM(M76:M77)</f>
        <v>1078.1600000000001</v>
      </c>
    </row>
    <row r="76" spans="2:13" s="21" customFormat="1" ht="15" customHeight="1" x14ac:dyDescent="0.25">
      <c r="B76" s="110" t="str">
        <f>'Memo calc'!B1069</f>
        <v>P8081</v>
      </c>
      <c r="C76" s="492" t="str">
        <f t="shared" ref="C76:D77" ca="1" si="35">IFERROR(VLOOKUP(B76,MO_Matriz,2,0),"")</f>
        <v>Geólogo pleno</v>
      </c>
      <c r="D76" s="493" t="str">
        <f t="shared" ca="1" si="35"/>
        <v/>
      </c>
      <c r="E76" s="110" t="str">
        <f ca="1">IFERROR(VLOOKUP(B76,MO_Matriz,3,0),"")</f>
        <v>S</v>
      </c>
      <c r="F76" s="110">
        <f>'Memo calc'!H1069</f>
        <v>1</v>
      </c>
      <c r="G76" s="110">
        <f>'Memo calc'!I1069</f>
        <v>1</v>
      </c>
      <c r="H76" s="245">
        <f>'Memo calc'!K1069</f>
        <v>7.333333333333333</v>
      </c>
      <c r="I76" s="246">
        <f>'Memo calc'!M1069</f>
        <v>1</v>
      </c>
      <c r="J76" s="246">
        <f>F76*G76*H76*I76</f>
        <v>7.333333333333333</v>
      </c>
      <c r="K76" s="246">
        <f>J76/220</f>
        <v>3.3333333333333333E-2</v>
      </c>
      <c r="L76" s="146">
        <f ca="1">IFERROR(VLOOKUP(B76,MO_Matriz,5,0),"")</f>
        <v>25780.18</v>
      </c>
      <c r="M76" s="146">
        <f ca="1">TRUNC(K76*L76,2)</f>
        <v>859.33</v>
      </c>
    </row>
    <row r="77" spans="2:13" s="21" customFormat="1" ht="15" customHeight="1" x14ac:dyDescent="0.25">
      <c r="B77" s="110" t="str">
        <f>'Memo calc'!B1070</f>
        <v>P8143</v>
      </c>
      <c r="C77" s="492" t="str">
        <f t="shared" ca="1" si="35"/>
        <v>Técnico ambiental</v>
      </c>
      <c r="D77" s="493" t="str">
        <f t="shared" ca="1" si="35"/>
        <v/>
      </c>
      <c r="E77" s="110" t="str">
        <f ca="1">IFERROR(VLOOKUP(B77,MO_Matriz,3,0),"")</f>
        <v>T</v>
      </c>
      <c r="F77" s="110">
        <f>'Memo calc'!H1070</f>
        <v>1</v>
      </c>
      <c r="G77" s="110">
        <f>'Memo calc'!I1070</f>
        <v>1</v>
      </c>
      <c r="H77" s="245">
        <f>'Memo calc'!K1070</f>
        <v>7.333333333333333</v>
      </c>
      <c r="I77" s="246">
        <f>'Memo calc'!M1070</f>
        <v>1</v>
      </c>
      <c r="J77" s="246">
        <f>F77*G77*H77*I77</f>
        <v>7.333333333333333</v>
      </c>
      <c r="K77" s="246">
        <f>J77/220</f>
        <v>3.3333333333333333E-2</v>
      </c>
      <c r="L77" s="146">
        <f ca="1">IFERROR(VLOOKUP(B77,MO_Matriz,5,0),"")</f>
        <v>6565.04</v>
      </c>
      <c r="M77" s="146">
        <f ca="1">TRUNC(K77*L77,2)</f>
        <v>218.83</v>
      </c>
    </row>
    <row r="78" spans="2:13" ht="15" customHeight="1" x14ac:dyDescent="0.25">
      <c r="B78" s="232" t="s">
        <v>608</v>
      </c>
      <c r="C78" s="12"/>
      <c r="D78" s="12"/>
      <c r="E78" s="12"/>
      <c r="F78" s="12"/>
      <c r="G78" s="12"/>
      <c r="H78" s="12"/>
      <c r="I78" s="12"/>
      <c r="J78" s="12"/>
      <c r="K78" s="12"/>
      <c r="L78" s="12"/>
      <c r="M78" s="47">
        <f ca="1">SUM(M79:M80)</f>
        <v>3446.17</v>
      </c>
    </row>
    <row r="79" spans="2:13" ht="15" customHeight="1" x14ac:dyDescent="0.25">
      <c r="B79" s="110" t="str">
        <f>'Memo calc'!B1115</f>
        <v>P8065</v>
      </c>
      <c r="C79" s="497" t="str">
        <f ca="1">IFERROR(VLOOKUP(B79,MO_Matriz,2,0),"")</f>
        <v>Engenheiro de projetos júnior</v>
      </c>
      <c r="D79" s="498" t="str">
        <f ca="1">IFERROR(VLOOKUP(C79,MO_Matriz,2,0),"")</f>
        <v/>
      </c>
      <c r="E79" s="61" t="str">
        <f ca="1">IFERROR(VLOOKUP(B79,MO_Matriz,3,0),"")</f>
        <v>S</v>
      </c>
      <c r="F79" s="61">
        <f>'Memo calc'!H1115</f>
        <v>1</v>
      </c>
      <c r="G79" s="61">
        <f>'Memo calc'!I1115</f>
        <v>1</v>
      </c>
      <c r="H79" s="45">
        <f>'Memo calc'!K1115</f>
        <v>7.333333333333333</v>
      </c>
      <c r="I79" s="44">
        <f>'Memo calc'!M1115</f>
        <v>3.3</v>
      </c>
      <c r="J79" s="44">
        <f>F79*G79*H79*I79</f>
        <v>24.2</v>
      </c>
      <c r="K79" s="44">
        <f>J79/220</f>
        <v>0.11</v>
      </c>
      <c r="L79" s="46">
        <f ca="1">IFERROR(VLOOKUP(B79,MO_Matriz,5,0),"")</f>
        <v>24288.81</v>
      </c>
      <c r="M79" s="46">
        <f ca="1">TRUNC(K79*L79,2)</f>
        <v>2671.76</v>
      </c>
    </row>
    <row r="80" spans="2:13" ht="15" customHeight="1" x14ac:dyDescent="0.25">
      <c r="B80" s="111" t="str">
        <f>'Memo calc'!B1116</f>
        <v>P8147</v>
      </c>
      <c r="C80" s="500" t="str">
        <f ca="1">IFERROR(VLOOKUP(B80,MO_Matriz,2,0),"")</f>
        <v>Técnico de obras</v>
      </c>
      <c r="D80" s="501" t="str">
        <f ca="1">IFERROR(VLOOKUP(C80,MO_Matriz,2,0),"")</f>
        <v/>
      </c>
      <c r="E80" s="122" t="str">
        <f ca="1">IFERROR(VLOOKUP(B80,MO_Matriz,3,0),"")</f>
        <v>T</v>
      </c>
      <c r="F80" s="122">
        <f>'Memo calc'!H1116</f>
        <v>1</v>
      </c>
      <c r="G80" s="122">
        <f>'Memo calc'!I1116</f>
        <v>1</v>
      </c>
      <c r="H80" s="79">
        <f>'Memo calc'!K1116</f>
        <v>7.333333333333333</v>
      </c>
      <c r="I80" s="135">
        <f>'Memo calc'!M1116</f>
        <v>3.3</v>
      </c>
      <c r="J80" s="135">
        <f>F80*G80*H80*I80</f>
        <v>24.2</v>
      </c>
      <c r="K80" s="135">
        <f>J80/220</f>
        <v>0.11</v>
      </c>
      <c r="L80" s="80">
        <f ca="1">IFERROR(VLOOKUP(B80,MO_Matriz,5,0),"")</f>
        <v>7040.14</v>
      </c>
      <c r="M80" s="80">
        <f ca="1">TRUNC(K80*L80,2)</f>
        <v>774.41</v>
      </c>
    </row>
    <row r="81" spans="2:13" ht="15" customHeight="1" x14ac:dyDescent="0.25">
      <c r="B81" s="232" t="s">
        <v>929</v>
      </c>
      <c r="C81" s="12"/>
      <c r="D81" s="12"/>
      <c r="E81" s="12"/>
      <c r="F81" s="12"/>
      <c r="G81" s="12"/>
      <c r="H81" s="12"/>
      <c r="I81" s="12"/>
      <c r="J81" s="12"/>
      <c r="K81" s="12"/>
      <c r="L81" s="12"/>
      <c r="M81" s="47">
        <f ca="1">SUM(M82:M83)</f>
        <v>5221.4799999999996</v>
      </c>
    </row>
    <row r="82" spans="2:13" ht="15" customHeight="1" x14ac:dyDescent="0.25">
      <c r="B82" s="110" t="str">
        <f>'Memo calc'!B1160</f>
        <v>P8065</v>
      </c>
      <c r="C82" s="497" t="str">
        <f ca="1">IFERROR(VLOOKUP(B82,MO_Matriz,2,0),"")</f>
        <v>Engenheiro de projetos júnior</v>
      </c>
      <c r="D82" s="498" t="str">
        <f ca="1">IFERROR(VLOOKUP(C82,MO_Matriz,2,0),"")</f>
        <v/>
      </c>
      <c r="E82" s="224" t="str">
        <f ca="1">IFERROR(VLOOKUP(B82,MO_Matriz,3,0),"")</f>
        <v>S</v>
      </c>
      <c r="F82" s="224">
        <f>'Memo calc'!H1160</f>
        <v>1</v>
      </c>
      <c r="G82" s="224">
        <f>'Memo calc'!I1160</f>
        <v>1</v>
      </c>
      <c r="H82" s="45">
        <f>'Memo calc'!K1160</f>
        <v>7.333333333333333</v>
      </c>
      <c r="I82" s="44">
        <f>'Memo calc'!M1160</f>
        <v>5</v>
      </c>
      <c r="J82" s="44">
        <f>F82*G82*H82*I82</f>
        <v>36.666666666666664</v>
      </c>
      <c r="K82" s="44">
        <f>J82/220</f>
        <v>0.16666666666666666</v>
      </c>
      <c r="L82" s="46">
        <f ca="1">IFERROR(VLOOKUP(B82,MO_Matriz,5,0),"")</f>
        <v>24288.81</v>
      </c>
      <c r="M82" s="46">
        <f ca="1">TRUNC(K82*L82,2)</f>
        <v>4048.13</v>
      </c>
    </row>
    <row r="83" spans="2:13" ht="15" customHeight="1" x14ac:dyDescent="0.25">
      <c r="B83" s="110" t="str">
        <f>'Memo calc'!B1161</f>
        <v>P8147</v>
      </c>
      <c r="C83" s="497" t="str">
        <f ca="1">IFERROR(VLOOKUP(B83,MO_Matriz,2,0),"")</f>
        <v>Técnico de obras</v>
      </c>
      <c r="D83" s="498" t="str">
        <f ca="1">IFERROR(VLOOKUP(C83,MO_Matriz,2,0),"")</f>
        <v/>
      </c>
      <c r="E83" s="224" t="str">
        <f ca="1">IFERROR(VLOOKUP(B83,MO_Matriz,3,0),"")</f>
        <v>T</v>
      </c>
      <c r="F83" s="224">
        <f>'Memo calc'!H1161</f>
        <v>1</v>
      </c>
      <c r="G83" s="224">
        <f>'Memo calc'!I1161</f>
        <v>1</v>
      </c>
      <c r="H83" s="45">
        <f>'Memo calc'!K1161</f>
        <v>7.333333333333333</v>
      </c>
      <c r="I83" s="44">
        <f>'Memo calc'!M1161</f>
        <v>5</v>
      </c>
      <c r="J83" s="44">
        <f>F83*G83*H83*I83</f>
        <v>36.666666666666664</v>
      </c>
      <c r="K83" s="44">
        <f>J83/220</f>
        <v>0.16666666666666666</v>
      </c>
      <c r="L83" s="46">
        <f ca="1">IFERROR(VLOOKUP(B83,MO_Matriz,5,0),"")</f>
        <v>7040.14</v>
      </c>
      <c r="M83" s="46">
        <f ca="1">TRUNC(K83*L83,2)</f>
        <v>1173.3499999999999</v>
      </c>
    </row>
    <row r="84" spans="2:13" ht="15" customHeight="1" x14ac:dyDescent="0.25">
      <c r="B84" s="431" t="s">
        <v>1182</v>
      </c>
      <c r="C84" s="12"/>
      <c r="D84" s="12"/>
      <c r="E84" s="12"/>
      <c r="F84" s="12"/>
      <c r="G84" s="12"/>
      <c r="H84" s="12"/>
      <c r="I84" s="12"/>
      <c r="J84" s="12"/>
      <c r="K84" s="12"/>
      <c r="L84" s="12"/>
      <c r="M84" s="47">
        <f ca="1">SUM(M85:M88)</f>
        <v>3638.9900000000002</v>
      </c>
    </row>
    <row r="85" spans="2:13" ht="15" customHeight="1" x14ac:dyDescent="0.25">
      <c r="B85" s="110" t="str">
        <f>'Memo calc'!B1364</f>
        <v>P8058</v>
      </c>
      <c r="C85" s="497" t="str">
        <f t="shared" ref="C85:D88" ca="1" si="36">IFERROR(VLOOKUP(B85,MO_Matriz,2,0),"")</f>
        <v>Engenheiro ambiental pleno</v>
      </c>
      <c r="D85" s="498" t="str">
        <f t="shared" ca="1" si="36"/>
        <v/>
      </c>
      <c r="E85" s="430" t="str">
        <f ca="1">IFERROR(VLOOKUP(B85,MO_Matriz,3,0),"")</f>
        <v>S</v>
      </c>
      <c r="F85" s="430">
        <f>'Memo calc'!H1364</f>
        <v>1</v>
      </c>
      <c r="G85" s="430">
        <f>'Memo calc'!I1364</f>
        <v>1</v>
      </c>
      <c r="H85" s="45">
        <f>'Memo calc'!K1364</f>
        <v>7.333333333333333</v>
      </c>
      <c r="I85" s="44">
        <f>'Memo calc'!M1364</f>
        <v>3</v>
      </c>
      <c r="J85" s="44">
        <f>F85*G85*H85*I85</f>
        <v>22</v>
      </c>
      <c r="K85" s="44">
        <f>J85/220</f>
        <v>0.1</v>
      </c>
      <c r="L85" s="46">
        <f ca="1">IFERROR(VLOOKUP(B85,MO_Matriz,5,0),"")</f>
        <v>26558.86</v>
      </c>
      <c r="M85" s="46">
        <f ca="1">TRUNC(K85*L85,2)</f>
        <v>2655.88</v>
      </c>
    </row>
    <row r="86" spans="2:13" ht="15" customHeight="1" x14ac:dyDescent="0.25">
      <c r="B86" s="110" t="str">
        <f>'Memo calc'!B1365</f>
        <v>P8143</v>
      </c>
      <c r="C86" s="497" t="str">
        <f t="shared" ca="1" si="36"/>
        <v>Técnico ambiental</v>
      </c>
      <c r="D86" s="498" t="str">
        <f t="shared" ca="1" si="36"/>
        <v/>
      </c>
      <c r="E86" s="430" t="str">
        <f ca="1">IFERROR(VLOOKUP(B86,MO_Matriz,3,0),"")</f>
        <v>T</v>
      </c>
      <c r="F86" s="430">
        <f>'Memo calc'!H1365</f>
        <v>1</v>
      </c>
      <c r="G86" s="430">
        <f>'Memo calc'!I1365</f>
        <v>1</v>
      </c>
      <c r="H86" s="45">
        <f>'Memo calc'!K1365</f>
        <v>7.333333333333333</v>
      </c>
      <c r="I86" s="44">
        <f>'Memo calc'!M1365</f>
        <v>1.5</v>
      </c>
      <c r="J86" s="44">
        <f>F86*G86*H86*I86</f>
        <v>11</v>
      </c>
      <c r="K86" s="44">
        <f t="shared" ref="K86:K88" si="37">J86/220</f>
        <v>0.05</v>
      </c>
      <c r="L86" s="46">
        <f ca="1">IFERROR(VLOOKUP(B86,MO_Matriz,5,0),"")</f>
        <v>6565.04</v>
      </c>
      <c r="M86" s="46">
        <f ca="1">TRUNC(K86*L86,2)</f>
        <v>328.25</v>
      </c>
    </row>
    <row r="87" spans="2:13" ht="15" customHeight="1" x14ac:dyDescent="0.25">
      <c r="B87" s="110" t="str">
        <f>'Memo calc'!B1366</f>
        <v>P8033</v>
      </c>
      <c r="C87" s="497" t="str">
        <f t="shared" ca="1" si="36"/>
        <v>Biólogo pleno</v>
      </c>
      <c r="D87" s="498" t="str">
        <f t="shared" ca="1" si="36"/>
        <v/>
      </c>
      <c r="E87" s="430" t="str">
        <f ca="1">IFERROR(VLOOKUP(B87,MO_Matriz,3,0),"")</f>
        <v>S</v>
      </c>
      <c r="F87" s="430">
        <f>'Memo calc'!H1366</f>
        <v>1</v>
      </c>
      <c r="G87" s="430">
        <f>'Memo calc'!I1366</f>
        <v>1</v>
      </c>
      <c r="H87" s="45">
        <f>'Memo calc'!K1366</f>
        <v>7.333333333333333</v>
      </c>
      <c r="I87" s="44">
        <f>'Memo calc'!M1366</f>
        <v>1.5</v>
      </c>
      <c r="J87" s="44">
        <f t="shared" ref="J87:J88" si="38">F87*G87*H87*I87</f>
        <v>11</v>
      </c>
      <c r="K87" s="44">
        <f t="shared" si="37"/>
        <v>0.05</v>
      </c>
      <c r="L87" s="46">
        <f ca="1">IFERROR(VLOOKUP(B87,MO_Matriz,5,0),"")</f>
        <v>8820.85</v>
      </c>
      <c r="M87" s="46">
        <f t="shared" ref="M87:M88" ca="1" si="39">TRUNC(K87*L87,2)</f>
        <v>441.04</v>
      </c>
    </row>
    <row r="88" spans="2:13" ht="15" customHeight="1" x14ac:dyDescent="0.25">
      <c r="B88" s="110" t="str">
        <f>'Memo calc'!B1367</f>
        <v>P8025</v>
      </c>
      <c r="C88" s="497" t="str">
        <f t="shared" ca="1" si="36"/>
        <v>Auxiliar</v>
      </c>
      <c r="D88" s="498" t="str">
        <f t="shared" ca="1" si="36"/>
        <v/>
      </c>
      <c r="E88" s="430" t="str">
        <f ca="1">IFERROR(VLOOKUP(B88,MO_Matriz,3,0),"")</f>
        <v>A</v>
      </c>
      <c r="F88" s="430">
        <f>'Memo calc'!H1367</f>
        <v>1</v>
      </c>
      <c r="G88" s="430">
        <f>'Memo calc'!I1367</f>
        <v>1</v>
      </c>
      <c r="H88" s="45">
        <f>'Memo calc'!K1367</f>
        <v>7.333333333333333</v>
      </c>
      <c r="I88" s="44">
        <f>'Memo calc'!M1367</f>
        <v>1.5</v>
      </c>
      <c r="J88" s="44">
        <f t="shared" si="38"/>
        <v>11</v>
      </c>
      <c r="K88" s="44">
        <f t="shared" si="37"/>
        <v>0.05</v>
      </c>
      <c r="L88" s="46">
        <f ca="1">IFERROR(VLOOKUP(B88,MO_Matriz,5,0),"")</f>
        <v>4276.41</v>
      </c>
      <c r="M88" s="46">
        <f t="shared" ca="1" si="39"/>
        <v>213.82</v>
      </c>
    </row>
    <row r="89" spans="2:13" ht="15" customHeight="1" x14ac:dyDescent="0.25">
      <c r="B89" s="431" t="s">
        <v>1209</v>
      </c>
      <c r="C89" s="12"/>
      <c r="D89" s="12"/>
      <c r="E89" s="12"/>
      <c r="F89" s="12"/>
      <c r="G89" s="12"/>
      <c r="H89" s="12"/>
      <c r="I89" s="12"/>
      <c r="J89" s="12"/>
      <c r="K89" s="12"/>
      <c r="L89" s="12"/>
      <c r="M89" s="47">
        <f ca="1">SUM(M90:M91)</f>
        <v>1027.83</v>
      </c>
    </row>
    <row r="90" spans="2:13" ht="15" customHeight="1" x14ac:dyDescent="0.25">
      <c r="B90" s="110" t="str">
        <f>'Memo calc'!B1414</f>
        <v>P8058</v>
      </c>
      <c r="C90" s="497" t="str">
        <f ca="1">IFERROR(VLOOKUP(B90,MO_Matriz,2,0),"")</f>
        <v>Engenheiro ambiental pleno</v>
      </c>
      <c r="D90" s="498" t="str">
        <f ca="1">IFERROR(VLOOKUP(C90,MO_Matriz,2,0),"")</f>
        <v/>
      </c>
      <c r="E90" s="430" t="str">
        <f ca="1">IFERROR(VLOOKUP(B90,MO_Matriz,3,0),"")</f>
        <v>S</v>
      </c>
      <c r="F90" s="430">
        <f>'Memo calc'!H1414</f>
        <v>1</v>
      </c>
      <c r="G90" s="430">
        <f>'Memo calc'!I1414</f>
        <v>1</v>
      </c>
      <c r="H90" s="45">
        <f>'Memo calc'!K1414</f>
        <v>7.333333333333333</v>
      </c>
      <c r="I90" s="44">
        <f>'Memo calc'!M1414</f>
        <v>1</v>
      </c>
      <c r="J90" s="44">
        <f>F90*G90*H90*I90</f>
        <v>7.333333333333333</v>
      </c>
      <c r="K90" s="44">
        <f>J90/220</f>
        <v>3.3333333333333333E-2</v>
      </c>
      <c r="L90" s="46">
        <f ca="1">IFERROR(VLOOKUP(B90,MO_Matriz,5,0),"")</f>
        <v>26558.86</v>
      </c>
      <c r="M90" s="46">
        <f ca="1">TRUNC(K90*L90,2)</f>
        <v>885.29</v>
      </c>
    </row>
    <row r="91" spans="2:13" ht="15" customHeight="1" x14ac:dyDescent="0.25">
      <c r="B91" s="110" t="str">
        <f>'Memo calc'!B1415</f>
        <v>P8025</v>
      </c>
      <c r="C91" s="497" t="str">
        <f ca="1">IFERROR(VLOOKUP(B91,MO_Matriz,2,0),"")</f>
        <v>Auxiliar</v>
      </c>
      <c r="D91" s="498" t="str">
        <f ca="1">IFERROR(VLOOKUP(C91,MO_Matriz,2,0),"")</f>
        <v/>
      </c>
      <c r="E91" s="430" t="str">
        <f ca="1">IFERROR(VLOOKUP(B91,MO_Matriz,3,0),"")</f>
        <v>A</v>
      </c>
      <c r="F91" s="430">
        <f>'Memo calc'!H1414</f>
        <v>1</v>
      </c>
      <c r="G91" s="430">
        <f>'Memo calc'!I1414</f>
        <v>1</v>
      </c>
      <c r="H91" s="45">
        <f>'Memo calc'!K1414</f>
        <v>7.333333333333333</v>
      </c>
      <c r="I91" s="44">
        <f>'Memo calc'!M1414</f>
        <v>1</v>
      </c>
      <c r="J91" s="44">
        <f>F91*G91*H91*I91</f>
        <v>7.333333333333333</v>
      </c>
      <c r="K91" s="44">
        <f t="shared" ref="K91" si="40">J91/220</f>
        <v>3.3333333333333333E-2</v>
      </c>
      <c r="L91" s="46">
        <f ca="1">IFERROR(VLOOKUP(B91,MO_Matriz,5,0),"")</f>
        <v>4276.41</v>
      </c>
      <c r="M91" s="46">
        <f ca="1">TRUNC(K91*L91,2)</f>
        <v>142.54</v>
      </c>
    </row>
    <row r="92" spans="2:13" ht="15" customHeight="1" x14ac:dyDescent="0.25">
      <c r="B92" s="431" t="s">
        <v>1181</v>
      </c>
      <c r="C92" s="12"/>
      <c r="D92" s="12"/>
      <c r="E92" s="12"/>
      <c r="F92" s="12"/>
      <c r="G92" s="12"/>
      <c r="H92" s="12"/>
      <c r="I92" s="12"/>
      <c r="J92" s="12"/>
      <c r="K92" s="12"/>
      <c r="L92" s="12"/>
      <c r="M92" s="47">
        <f ca="1">SUM(M93:M96)</f>
        <v>9256.9</v>
      </c>
    </row>
    <row r="93" spans="2:13" ht="15" customHeight="1" x14ac:dyDescent="0.25">
      <c r="B93" s="110" t="str">
        <f>'Memo calc'!B1460</f>
        <v>P8058</v>
      </c>
      <c r="C93" s="497" t="str">
        <f t="shared" ref="C93:D96" ca="1" si="41">IFERROR(VLOOKUP(B93,MO_Matriz,2,0),"")</f>
        <v>Engenheiro ambiental pleno</v>
      </c>
      <c r="D93" s="498" t="str">
        <f t="shared" ca="1" si="41"/>
        <v/>
      </c>
      <c r="E93" s="430" t="str">
        <f ca="1">IFERROR(VLOOKUP(B93,MO_Matriz,3,0),"")</f>
        <v>S</v>
      </c>
      <c r="F93" s="430">
        <f>'Memo calc'!H1460</f>
        <v>1</v>
      </c>
      <c r="G93" s="430">
        <f>'Memo calc'!I1460</f>
        <v>1</v>
      </c>
      <c r="H93" s="45">
        <f>'Memo calc'!K1460</f>
        <v>7.333333333333333</v>
      </c>
      <c r="I93" s="44">
        <f>'Memo calc'!M1460</f>
        <v>7</v>
      </c>
      <c r="J93" s="44">
        <f>F93*G93*H93*I93</f>
        <v>51.333333333333329</v>
      </c>
      <c r="K93" s="44">
        <f>J93/220</f>
        <v>0.23333333333333331</v>
      </c>
      <c r="L93" s="46">
        <f ca="1">IFERROR(VLOOKUP(B93,MO_Matriz,5,0),"")</f>
        <v>26558.86</v>
      </c>
      <c r="M93" s="46">
        <f ca="1">TRUNC(K93*L93,2)</f>
        <v>6197.06</v>
      </c>
    </row>
    <row r="94" spans="2:13" ht="15" customHeight="1" x14ac:dyDescent="0.25">
      <c r="B94" s="110" t="str">
        <f>'Memo calc'!B1461</f>
        <v>P8143</v>
      </c>
      <c r="C94" s="497" t="str">
        <f t="shared" ca="1" si="41"/>
        <v>Técnico ambiental</v>
      </c>
      <c r="D94" s="498" t="str">
        <f t="shared" ca="1" si="41"/>
        <v/>
      </c>
      <c r="E94" s="430" t="str">
        <f ca="1">IFERROR(VLOOKUP(B94,MO_Matriz,3,0),"")</f>
        <v>T</v>
      </c>
      <c r="F94" s="430">
        <f>'Memo calc'!H1461</f>
        <v>1</v>
      </c>
      <c r="G94" s="430">
        <f>'Memo calc'!I1461</f>
        <v>1</v>
      </c>
      <c r="H94" s="45">
        <f>'Memo calc'!K1461</f>
        <v>7.333333333333333</v>
      </c>
      <c r="I94" s="44">
        <f>'Memo calc'!M1461</f>
        <v>7</v>
      </c>
      <c r="J94" s="44">
        <f>F94*G94*H94*I94</f>
        <v>51.333333333333329</v>
      </c>
      <c r="K94" s="44">
        <f t="shared" ref="K94:K96" si="42">J94/220</f>
        <v>0.23333333333333331</v>
      </c>
      <c r="L94" s="46">
        <f ca="1">IFERROR(VLOOKUP(B94,MO_Matriz,5,0),"")</f>
        <v>6565.04</v>
      </c>
      <c r="M94" s="46">
        <f ca="1">TRUNC(K94*L94,2)</f>
        <v>1531.84</v>
      </c>
    </row>
    <row r="95" spans="2:13" ht="15" customHeight="1" x14ac:dyDescent="0.25">
      <c r="B95" s="110" t="str">
        <f>'Memo calc'!B1462</f>
        <v>P8033</v>
      </c>
      <c r="C95" s="497" t="str">
        <f t="shared" ca="1" si="41"/>
        <v>Biólogo pleno</v>
      </c>
      <c r="D95" s="498" t="str">
        <f t="shared" ca="1" si="41"/>
        <v/>
      </c>
      <c r="E95" s="430" t="str">
        <f ca="1">IFERROR(VLOOKUP(B95,MO_Matriz,3,0),"")</f>
        <v>S</v>
      </c>
      <c r="F95" s="430">
        <f>'Memo calc'!H1462</f>
        <v>1</v>
      </c>
      <c r="G95" s="430">
        <f>'Memo calc'!I1462</f>
        <v>1</v>
      </c>
      <c r="H95" s="45">
        <f>'Memo calc'!K1462</f>
        <v>7.333333333333333</v>
      </c>
      <c r="I95" s="44">
        <f>'Memo calc'!M1462</f>
        <v>3.5</v>
      </c>
      <c r="J95" s="44">
        <f t="shared" ref="J95:J96" si="43">F95*G95*H95*I95</f>
        <v>25.666666666666664</v>
      </c>
      <c r="K95" s="44">
        <f t="shared" si="42"/>
        <v>0.11666666666666665</v>
      </c>
      <c r="L95" s="46">
        <f ca="1">IFERROR(VLOOKUP(B95,MO_Matriz,5,0),"")</f>
        <v>8820.85</v>
      </c>
      <c r="M95" s="46">
        <f t="shared" ref="M95:M96" ca="1" si="44">TRUNC(K95*L95,2)</f>
        <v>1029.0899999999999</v>
      </c>
    </row>
    <row r="96" spans="2:13" ht="15" customHeight="1" x14ac:dyDescent="0.25">
      <c r="B96" s="110" t="str">
        <f>'Memo calc'!B1463</f>
        <v>P8025</v>
      </c>
      <c r="C96" s="497" t="str">
        <f t="shared" ca="1" si="41"/>
        <v>Auxiliar</v>
      </c>
      <c r="D96" s="498" t="str">
        <f t="shared" ca="1" si="41"/>
        <v/>
      </c>
      <c r="E96" s="430" t="str">
        <f ca="1">IFERROR(VLOOKUP(B96,MO_Matriz,3,0),"")</f>
        <v>A</v>
      </c>
      <c r="F96" s="430">
        <f>'Memo calc'!H1463</f>
        <v>1</v>
      </c>
      <c r="G96" s="430">
        <f>'Memo calc'!I1463</f>
        <v>1</v>
      </c>
      <c r="H96" s="45">
        <f>'Memo calc'!K1463</f>
        <v>7.333333333333333</v>
      </c>
      <c r="I96" s="44">
        <f>'Memo calc'!M1463</f>
        <v>3.5</v>
      </c>
      <c r="J96" s="44">
        <f t="shared" si="43"/>
        <v>25.666666666666664</v>
      </c>
      <c r="K96" s="44">
        <f t="shared" si="42"/>
        <v>0.11666666666666665</v>
      </c>
      <c r="L96" s="46">
        <f ca="1">IFERROR(VLOOKUP(B96,MO_Matriz,5,0),"")</f>
        <v>4276.41</v>
      </c>
      <c r="M96" s="46">
        <f t="shared" ca="1" si="44"/>
        <v>498.91</v>
      </c>
    </row>
    <row r="97" spans="2:13" ht="15" customHeight="1" x14ac:dyDescent="0.25">
      <c r="B97" s="431" t="s">
        <v>1202</v>
      </c>
      <c r="C97" s="12"/>
      <c r="D97" s="12"/>
      <c r="E97" s="12"/>
      <c r="F97" s="12"/>
      <c r="G97" s="12"/>
      <c r="H97" s="12"/>
      <c r="I97" s="12"/>
      <c r="J97" s="12"/>
      <c r="K97" s="12"/>
      <c r="L97" s="12"/>
      <c r="M97" s="47">
        <f ca="1">SUM(M98:M98)</f>
        <v>885.29</v>
      </c>
    </row>
    <row r="98" spans="2:13" ht="15" customHeight="1" x14ac:dyDescent="0.25">
      <c r="B98" s="110" t="str">
        <f>'Memo calc'!B1510</f>
        <v>P8058</v>
      </c>
      <c r="C98" s="497" t="str">
        <f ca="1">IFERROR(VLOOKUP(B98,MO_Matriz,2,0),"")</f>
        <v>Engenheiro ambiental pleno</v>
      </c>
      <c r="D98" s="498" t="str">
        <f ca="1">IFERROR(VLOOKUP(C98,MO_Matriz,2,0),"")</f>
        <v/>
      </c>
      <c r="E98" s="430" t="str">
        <f ca="1">IFERROR(VLOOKUP(B98,MO_Matriz,3,0),"")</f>
        <v>S</v>
      </c>
      <c r="F98" s="430">
        <f>'Memo calc'!H1510</f>
        <v>1</v>
      </c>
      <c r="G98" s="430">
        <f>'Memo calc'!I1510</f>
        <v>1</v>
      </c>
      <c r="H98" s="45">
        <f>'Memo calc'!K1510</f>
        <v>7.333333333333333</v>
      </c>
      <c r="I98" s="44">
        <f>'Memo calc'!M1510</f>
        <v>1</v>
      </c>
      <c r="J98" s="44">
        <f>F98*G98*H98*I98</f>
        <v>7.333333333333333</v>
      </c>
      <c r="K98" s="44">
        <f>J98/220</f>
        <v>3.3333333333333333E-2</v>
      </c>
      <c r="L98" s="46">
        <f ca="1">IFERROR(VLOOKUP(B98,MO_Matriz,5,0),"")</f>
        <v>26558.86</v>
      </c>
      <c r="M98" s="46">
        <f ca="1">TRUNC(K98*L98,2)</f>
        <v>885.29</v>
      </c>
    </row>
    <row r="99" spans="2:13" ht="15" customHeight="1" x14ac:dyDescent="0.25">
      <c r="B99" s="327" t="s">
        <v>1010</v>
      </c>
      <c r="C99" s="12"/>
      <c r="D99" s="12"/>
      <c r="E99" s="12"/>
      <c r="F99" s="12"/>
      <c r="G99" s="12"/>
      <c r="H99" s="12"/>
      <c r="I99" s="12"/>
      <c r="J99" s="12"/>
      <c r="K99" s="12"/>
      <c r="L99" s="12"/>
      <c r="M99" s="47">
        <f ca="1">SUM(M100:M101)</f>
        <v>19975.190000000002</v>
      </c>
    </row>
    <row r="100" spans="2:13" ht="15" customHeight="1" x14ac:dyDescent="0.25">
      <c r="B100" s="110" t="str">
        <f>'Memo calc'!B1554</f>
        <v>P8060</v>
      </c>
      <c r="C100" s="497" t="str">
        <f ca="1">IFERROR(VLOOKUP(B100,MO_Matriz,2,0),"")</f>
        <v>Engenheiro consultor especial</v>
      </c>
      <c r="D100" s="498" t="str">
        <f ca="1">IFERROR(VLOOKUP(C100,MO_Matriz,2,0),"")</f>
        <v/>
      </c>
      <c r="E100" s="326" t="str">
        <f ca="1">IFERROR(VLOOKUP(B100,MO_Matriz,3,0),"")</f>
        <v>S</v>
      </c>
      <c r="F100" s="326">
        <f>'Memo calc'!H1554</f>
        <v>1</v>
      </c>
      <c r="G100" s="326">
        <f>'Memo calc'!I1554</f>
        <v>1</v>
      </c>
      <c r="H100" s="45">
        <f>'Memo calc'!K1554</f>
        <v>7.333333333333333</v>
      </c>
      <c r="I100" s="44">
        <f>'Memo calc'!M1554</f>
        <v>12.030460000000001</v>
      </c>
      <c r="J100" s="44">
        <f>F100*G100*H100*I100</f>
        <v>88.223373333333342</v>
      </c>
      <c r="K100" s="44">
        <f>J100/220</f>
        <v>0.40101533333333339</v>
      </c>
      <c r="L100" s="46">
        <f ca="1">IFERROR(VLOOKUP(B100,MO_Matriz,5,0),"")</f>
        <v>41989.87</v>
      </c>
      <c r="M100" s="46">
        <f ca="1">TRUNC(K100*L100,2)</f>
        <v>16838.580000000002</v>
      </c>
    </row>
    <row r="101" spans="2:13" ht="15" customHeight="1" x14ac:dyDescent="0.25">
      <c r="B101" s="110" t="str">
        <f>'Memo calc'!B1555</f>
        <v>P9848</v>
      </c>
      <c r="C101" s="497" t="str">
        <f ca="1">IFERROR(VLOOKUP(B101,MO_Matriz,2,0),"")</f>
        <v>Desenhista</v>
      </c>
      <c r="D101" s="498" t="str">
        <f ca="1">IFERROR(VLOOKUP(C101,MO_Matriz,2,0),"")</f>
        <v/>
      </c>
      <c r="E101" s="326" t="str">
        <f ca="1">IFERROR(VLOOKUP(B101,MO_Matriz,3,0),"")</f>
        <v>T</v>
      </c>
      <c r="F101" s="326">
        <f>'Memo calc'!H1555</f>
        <v>1</v>
      </c>
      <c r="G101" s="326">
        <f>'Memo calc'!I1555</f>
        <v>1</v>
      </c>
      <c r="H101" s="45">
        <f>'Memo calc'!K1555</f>
        <v>7.333333333333333</v>
      </c>
      <c r="I101" s="44">
        <f>'Memo calc'!M1555</f>
        <v>12.030460000000001</v>
      </c>
      <c r="J101" s="44">
        <f>F101*G101*H101*I101</f>
        <v>88.223373333333342</v>
      </c>
      <c r="K101" s="44">
        <f>J101/220</f>
        <v>0.40101533333333339</v>
      </c>
      <c r="L101" s="46">
        <f ca="1">IFERROR(VLOOKUP(B101,MO_Matriz,5,0),"")</f>
        <v>7821.6815999999999</v>
      </c>
      <c r="M101" s="46">
        <f ca="1">TRUNC(K101*L101,2)</f>
        <v>3136.61</v>
      </c>
    </row>
    <row r="102" spans="2:13" ht="15" customHeight="1" x14ac:dyDescent="0.25">
      <c r="B102" s="72"/>
      <c r="C102" s="496"/>
      <c r="D102" s="496"/>
      <c r="E102" s="73"/>
      <c r="F102" s="73"/>
      <c r="G102" s="73"/>
      <c r="H102" s="74"/>
      <c r="I102" s="75"/>
      <c r="J102" s="75"/>
      <c r="K102" s="75"/>
      <c r="L102" s="76" t="s">
        <v>676</v>
      </c>
      <c r="M102" s="77">
        <f ca="1">SUMIF($E$14:$E$101,"S",$M$14:$M$101)</f>
        <v>158567.14000000007</v>
      </c>
    </row>
    <row r="103" spans="2:13" ht="15" customHeight="1" x14ac:dyDescent="0.25">
      <c r="B103" s="72"/>
      <c r="C103" s="496"/>
      <c r="D103" s="496"/>
      <c r="E103" s="73"/>
      <c r="F103" s="73"/>
      <c r="G103" s="73"/>
      <c r="H103" s="74"/>
      <c r="I103" s="75"/>
      <c r="J103" s="75"/>
      <c r="K103" s="75"/>
      <c r="L103" s="76" t="s">
        <v>677</v>
      </c>
      <c r="M103" s="77">
        <f ca="1">SUMIF($E$14:$E$101,"T",$M$14:$M$101)</f>
        <v>22815.27</v>
      </c>
    </row>
    <row r="104" spans="2:13" ht="15" customHeight="1" x14ac:dyDescent="0.25">
      <c r="B104" s="72"/>
      <c r="C104" s="496"/>
      <c r="D104" s="496"/>
      <c r="E104" s="73"/>
      <c r="F104" s="73"/>
      <c r="G104" s="73"/>
      <c r="H104" s="74"/>
      <c r="I104" s="75"/>
      <c r="J104" s="75"/>
      <c r="K104" s="75"/>
      <c r="L104" s="76" t="s">
        <v>678</v>
      </c>
      <c r="M104" s="77">
        <f ca="1">SUMIF($E$14:$E$101,"A",$M$14:$M$101)</f>
        <v>4698.09</v>
      </c>
    </row>
    <row r="105" spans="2:13" ht="15" customHeight="1" x14ac:dyDescent="0.25">
      <c r="B105" s="72"/>
      <c r="C105" s="496"/>
      <c r="D105" s="496"/>
      <c r="E105" s="73"/>
      <c r="F105" s="73"/>
      <c r="G105" s="73"/>
      <c r="H105" s="74"/>
      <c r="I105" s="75"/>
      <c r="J105" s="75"/>
      <c r="K105" s="75"/>
      <c r="L105" s="76" t="s">
        <v>693</v>
      </c>
      <c r="M105" s="77">
        <f ca="1">SUM(M102:M104)</f>
        <v>186080.50000000006</v>
      </c>
    </row>
    <row r="106" spans="2:13" ht="15" customHeight="1" x14ac:dyDescent="0.25">
      <c r="B106" s="68" t="s">
        <v>587</v>
      </c>
      <c r="M106" s="331"/>
    </row>
    <row r="107" spans="2:13" ht="9.75" customHeight="1" x14ac:dyDescent="0.25">
      <c r="B107" s="3" t="s">
        <v>679</v>
      </c>
      <c r="M107" s="331"/>
    </row>
    <row r="108" spans="2:13" ht="30" customHeight="1" x14ac:dyDescent="0.25">
      <c r="B108" s="499" t="s">
        <v>858</v>
      </c>
      <c r="C108" s="499"/>
      <c r="D108" s="499"/>
      <c r="E108" s="499"/>
      <c r="F108" s="499"/>
      <c r="G108" s="499"/>
      <c r="H108" s="499"/>
      <c r="I108" s="499"/>
      <c r="J108" s="499"/>
      <c r="K108" s="499"/>
      <c r="L108" s="499"/>
      <c r="M108" s="499"/>
    </row>
    <row r="109" spans="2:13" ht="9" customHeight="1" x14ac:dyDescent="0.25"/>
  </sheetData>
  <mergeCells count="70">
    <mergeCell ref="C95:D95"/>
    <mergeCell ref="C96:D96"/>
    <mergeCell ref="C98:D98"/>
    <mergeCell ref="C86:D86"/>
    <mergeCell ref="C87:D87"/>
    <mergeCell ref="C88:D88"/>
    <mergeCell ref="C93:D93"/>
    <mergeCell ref="C94:D94"/>
    <mergeCell ref="C90:D90"/>
    <mergeCell ref="C91:D91"/>
    <mergeCell ref="B108:M108"/>
    <mergeCell ref="C70:D70"/>
    <mergeCell ref="C73:D73"/>
    <mergeCell ref="C64:D64"/>
    <mergeCell ref="C67:D67"/>
    <mergeCell ref="C104:D104"/>
    <mergeCell ref="C65:D65"/>
    <mergeCell ref="C82:D82"/>
    <mergeCell ref="C83:D83"/>
    <mergeCell ref="C105:D105"/>
    <mergeCell ref="C79:D79"/>
    <mergeCell ref="C80:D80"/>
    <mergeCell ref="C71:D71"/>
    <mergeCell ref="C68:D68"/>
    <mergeCell ref="C74:D74"/>
    <mergeCell ref="C77:D77"/>
    <mergeCell ref="C4:M4"/>
    <mergeCell ref="B10:M10"/>
    <mergeCell ref="B12:B13"/>
    <mergeCell ref="C12:D13"/>
    <mergeCell ref="C15:D15"/>
    <mergeCell ref="E12:E13"/>
    <mergeCell ref="C17:D17"/>
    <mergeCell ref="C21:D21"/>
    <mergeCell ref="C36:D36"/>
    <mergeCell ref="C33:D33"/>
    <mergeCell ref="C29:D29"/>
    <mergeCell ref="C26:D26"/>
    <mergeCell ref="C30:D30"/>
    <mergeCell ref="C31:D31"/>
    <mergeCell ref="C34:D34"/>
    <mergeCell ref="C20:D20"/>
    <mergeCell ref="C23:D23"/>
    <mergeCell ref="C27:D27"/>
    <mergeCell ref="C24:D24"/>
    <mergeCell ref="C18:D18"/>
    <mergeCell ref="C102:D102"/>
    <mergeCell ref="C103:D103"/>
    <mergeCell ref="C49:D49"/>
    <mergeCell ref="C50:D50"/>
    <mergeCell ref="C52:D52"/>
    <mergeCell ref="C59:D59"/>
    <mergeCell ref="C62:D62"/>
    <mergeCell ref="C58:D58"/>
    <mergeCell ref="C61:D61"/>
    <mergeCell ref="C53:D53"/>
    <mergeCell ref="C55:D55"/>
    <mergeCell ref="C56:D56"/>
    <mergeCell ref="C100:D100"/>
    <mergeCell ref="C101:D101"/>
    <mergeCell ref="C76:D76"/>
    <mergeCell ref="C85:D85"/>
    <mergeCell ref="C37:D37"/>
    <mergeCell ref="C46:D46"/>
    <mergeCell ref="C47:D47"/>
    <mergeCell ref="C40:D40"/>
    <mergeCell ref="C42:D42"/>
    <mergeCell ref="C44:D44"/>
    <mergeCell ref="C43:D43"/>
    <mergeCell ref="C39:D39"/>
  </mergeCells>
  <printOptions horizontalCentered="1"/>
  <pageMargins left="0.78740157480314965" right="0.78740157480314965" top="0.39370078740157483" bottom="0.78740157480314965" header="0.19685039370078741" footer="0.19685039370078741"/>
  <pageSetup paperSize="9" scale="86" fitToHeight="0" orientation="landscape" r:id="rId1"/>
  <headerFooter>
    <oddFooter xml:space="preserve">&amp;C&amp;10Av. Des. José Nunes da Cunha, Bloco 14, Parque dos Poderes, Campo Grande (MS), CEP 79031-310
PABX: (67) 3318-5300/ Gab: 5538 – Fax (67) 3318-5386 – gabinete@seinfra.ms.gov.br
</oddFooter>
  </headerFooter>
  <rowBreaks count="4" manualBreakCount="4">
    <brk id="37" max="13" man="1"/>
    <brk id="62" max="13" man="1"/>
    <brk id="83" max="13" man="1"/>
    <brk id="108" max="13" man="1"/>
  </rowBreaks>
  <ignoredErrors>
    <ignoredError sqref="M16 M28 M32 M38 M41 M45 M48 M51 M78 M81 M25" formula="1"/>
  </ignoredErrors>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Planilha8">
    <pageSetUpPr fitToPage="1"/>
  </sheetPr>
  <dimension ref="A1:J24"/>
  <sheetViews>
    <sheetView showGridLines="0" view="pageBreakPreview" zoomScaleNormal="100" zoomScaleSheetLayoutView="100" workbookViewId="0">
      <selection activeCell="I18" sqref="I18"/>
    </sheetView>
  </sheetViews>
  <sheetFormatPr defaultColWidth="0" defaultRowHeight="15" customHeight="1" x14ac:dyDescent="0.25"/>
  <cols>
    <col min="1" max="1" width="1.7109375" style="2" customWidth="1"/>
    <col min="2" max="2" width="9.85546875" style="2" bestFit="1" customWidth="1"/>
    <col min="3" max="3" width="7.28515625" style="2" customWidth="1"/>
    <col min="4" max="4" width="42.85546875" style="2" customWidth="1"/>
    <col min="5" max="7" width="8.7109375" style="2" customWidth="1"/>
    <col min="8" max="8" width="14.7109375" style="2" bestFit="1" customWidth="1"/>
    <col min="9" max="9" width="16.28515625" style="2" bestFit="1" customWidth="1"/>
    <col min="10" max="10" width="1.7109375" style="2" customWidth="1"/>
    <col min="11" max="16384" width="9.140625" style="2" hidden="1"/>
  </cols>
  <sheetData>
    <row r="1" spans="2:9" ht="9" customHeight="1" x14ac:dyDescent="0.25"/>
    <row r="2" spans="2:9" ht="34.5" customHeight="1" x14ac:dyDescent="0.25"/>
    <row r="3" spans="2:9" ht="34.5" customHeight="1" x14ac:dyDescent="0.25"/>
    <row r="5" spans="2:9" x14ac:dyDescent="0.25">
      <c r="B5" s="23" t="s">
        <v>0</v>
      </c>
      <c r="C5" s="459" t="str">
        <f>'Qd abrang'!C4</f>
        <v>Contratação de Projeto Executivo de Engenharia para Implantação do Aeródromo no município de Ribas do Rio Pardo</v>
      </c>
      <c r="D5" s="459"/>
      <c r="E5" s="459"/>
      <c r="F5" s="459"/>
      <c r="G5" s="459"/>
      <c r="H5" s="459"/>
      <c r="I5" s="459"/>
    </row>
    <row r="6" spans="2:9" x14ac:dyDescent="0.25">
      <c r="B6" s="5" t="s">
        <v>862</v>
      </c>
      <c r="C6" s="1" t="str">
        <f>'Qd abrang'!C5</f>
        <v>Ribas do Rio Pardo/MS</v>
      </c>
    </row>
    <row r="7" spans="2:9" x14ac:dyDescent="0.25">
      <c r="B7" s="5" t="s">
        <v>863</v>
      </c>
      <c r="C7" s="1">
        <f>'Qd abrang'!C6</f>
        <v>0</v>
      </c>
    </row>
    <row r="8" spans="2:9" x14ac:dyDescent="0.25">
      <c r="B8" s="5" t="s">
        <v>1</v>
      </c>
      <c r="C8" s="239">
        <f>'Qd abrang'!C7</f>
        <v>1.3</v>
      </c>
      <c r="D8" s="2" t="s">
        <v>1135</v>
      </c>
      <c r="H8" s="5" t="s">
        <v>16</v>
      </c>
      <c r="I8" s="6" t="str">
        <f>'Qd abrang'!N7</f>
        <v>79.009.850-2025</v>
      </c>
    </row>
    <row r="9" spans="2:9" x14ac:dyDescent="0.25">
      <c r="B9" s="5" t="s">
        <v>2</v>
      </c>
      <c r="C9" s="264">
        <f>'Qd abrang'!C8</f>
        <v>365</v>
      </c>
      <c r="D9" s="2" t="s">
        <v>4</v>
      </c>
      <c r="H9" s="5" t="s">
        <v>17</v>
      </c>
      <c r="I9" s="265">
        <f>'Qd abrang'!N8</f>
        <v>45748</v>
      </c>
    </row>
    <row r="11" spans="2:9" s="11" customFormat="1" ht="21" x14ac:dyDescent="0.25">
      <c r="B11" s="458" t="s">
        <v>400</v>
      </c>
      <c r="C11" s="458"/>
      <c r="D11" s="458"/>
      <c r="E11" s="458"/>
      <c r="F11" s="458"/>
      <c r="G11" s="458"/>
      <c r="H11" s="458"/>
      <c r="I11" s="458"/>
    </row>
    <row r="13" spans="2:9" ht="30" customHeight="1" x14ac:dyDescent="0.25">
      <c r="B13" s="473" t="s">
        <v>29</v>
      </c>
      <c r="C13" s="478" t="s">
        <v>15</v>
      </c>
      <c r="D13" s="479"/>
      <c r="E13" s="120" t="s">
        <v>202</v>
      </c>
      <c r="F13" s="120" t="s">
        <v>224</v>
      </c>
      <c r="G13" s="120" t="s">
        <v>361</v>
      </c>
      <c r="H13" s="120" t="s">
        <v>395</v>
      </c>
      <c r="I13" s="120" t="s">
        <v>396</v>
      </c>
    </row>
    <row r="14" spans="2:9" ht="15" customHeight="1" x14ac:dyDescent="0.25">
      <c r="B14" s="473"/>
      <c r="C14" s="478"/>
      <c r="D14" s="479"/>
      <c r="E14" s="120" t="s">
        <v>363</v>
      </c>
      <c r="F14" s="120" t="s">
        <v>330</v>
      </c>
      <c r="G14" s="120" t="s">
        <v>364</v>
      </c>
      <c r="H14" s="120" t="s">
        <v>332</v>
      </c>
      <c r="I14" s="120" t="s">
        <v>365</v>
      </c>
    </row>
    <row r="15" spans="2:9" ht="15" customHeight="1" x14ac:dyDescent="0.25">
      <c r="B15" s="24" t="s">
        <v>398</v>
      </c>
      <c r="C15" s="25"/>
      <c r="D15" s="25"/>
      <c r="E15" s="25"/>
      <c r="F15" s="25"/>
      <c r="G15" s="25"/>
      <c r="H15" s="25"/>
      <c r="I15" s="78">
        <f ca="1">SUM(I16:I16)</f>
        <v>212.45</v>
      </c>
    </row>
    <row r="16" spans="2:9" ht="15" customHeight="1" x14ac:dyDescent="0.25">
      <c r="B16" s="110" t="str">
        <f>'Memo calc'!B663</f>
        <v>E8889</v>
      </c>
      <c r="C16" s="497" t="str">
        <f ca="1">IFERROR(VLOOKUP(B16,Veiculo_Equip_Matriz,2,0),"")</f>
        <v>Veículo leve - 53 kW (sem motorista)</v>
      </c>
      <c r="D16" s="498" t="str">
        <f ca="1">IFERROR(VLOOKUP(C16,MO_Matriz,2,0),"")</f>
        <v/>
      </c>
      <c r="E16" s="41">
        <f>'Memo calc'!G663</f>
        <v>1</v>
      </c>
      <c r="F16" s="44">
        <f>'Memo calc'!H663</f>
        <v>2</v>
      </c>
      <c r="G16" s="44">
        <f>F16/30</f>
        <v>6.6666666666666666E-2</v>
      </c>
      <c r="H16" s="46">
        <f ca="1">IFERROR(VLOOKUP(B16,Veiculo_Equip_Matriz,10,0),"")</f>
        <v>3186.8793000000001</v>
      </c>
      <c r="I16" s="46">
        <f ca="1">TRUNC(E16*G16*H16,2)</f>
        <v>212.45</v>
      </c>
    </row>
    <row r="17" spans="2:9" ht="15" customHeight="1" x14ac:dyDescent="0.25">
      <c r="B17" s="232" t="s">
        <v>732</v>
      </c>
      <c r="C17" s="12"/>
      <c r="D17" s="12"/>
      <c r="E17" s="12"/>
      <c r="F17" s="12"/>
      <c r="G17" s="12"/>
      <c r="H17" s="12"/>
      <c r="I17" s="47">
        <f ca="1">SUM(I18:I18)</f>
        <v>212.45</v>
      </c>
    </row>
    <row r="18" spans="2:9" ht="15" customHeight="1" x14ac:dyDescent="0.25">
      <c r="B18" s="110" t="str">
        <f>'Memo calc'!B86</f>
        <v>E8889</v>
      </c>
      <c r="C18" s="497" t="str">
        <f ca="1">IFERROR(VLOOKUP(B18,Veiculo_Equip_Matriz,2,0),"")</f>
        <v>Veículo leve - 53 kW (sem motorista)</v>
      </c>
      <c r="D18" s="498" t="str">
        <f ca="1">IFERROR(VLOOKUP(C18,MO_Matriz,2,0),"")</f>
        <v/>
      </c>
      <c r="E18" s="290">
        <f>'Memo calc'!G86</f>
        <v>1</v>
      </c>
      <c r="F18" s="44">
        <f>'Memo calc'!H86</f>
        <v>2</v>
      </c>
      <c r="G18" s="44">
        <f t="shared" ref="G18" si="0">F18/30</f>
        <v>6.6666666666666666E-2</v>
      </c>
      <c r="H18" s="46">
        <f ca="1">IFERROR(VLOOKUP(B18,Veiculo_Equip_Matriz,10,0),"")</f>
        <v>3186.8793000000001</v>
      </c>
      <c r="I18" s="46">
        <f t="shared" ref="I18" ca="1" si="1">TRUNC(E18*G18*H18,2)</f>
        <v>212.45</v>
      </c>
    </row>
    <row r="19" spans="2:9" ht="15" customHeight="1" x14ac:dyDescent="0.25">
      <c r="B19" s="232" t="s">
        <v>735</v>
      </c>
      <c r="C19" s="12"/>
      <c r="D19" s="12"/>
      <c r="E19" s="12"/>
      <c r="F19" s="12"/>
      <c r="G19" s="12"/>
      <c r="H19" s="12"/>
      <c r="I19" s="47">
        <f ca="1">SUM(I20:I20)</f>
        <v>264</v>
      </c>
    </row>
    <row r="20" spans="2:9" ht="15" customHeight="1" x14ac:dyDescent="0.25">
      <c r="B20" s="110" t="str">
        <f>'Memo calc'!B338</f>
        <v>E8891</v>
      </c>
      <c r="C20" s="497" t="str">
        <f ca="1">IFERROR(VLOOKUP(B20,Veiculo_Equip_Matriz,2,0),"")</f>
        <v>Veículo leve picape 4 x 4 com capacidade de 1,10 t - 147 kW (sem motorista)</v>
      </c>
      <c r="D20" s="498" t="str">
        <f ca="1">IFERROR(VLOOKUP(C20,MO_Matriz,2,0),"")</f>
        <v/>
      </c>
      <c r="E20" s="290">
        <f>'Memo calc'!G338</f>
        <v>1</v>
      </c>
      <c r="F20" s="44">
        <f>'Memo calc'!H338</f>
        <v>1</v>
      </c>
      <c r="G20" s="44">
        <f>F20/30</f>
        <v>3.3333333333333333E-2</v>
      </c>
      <c r="H20" s="46">
        <f ca="1">IFERROR(VLOOKUP(B20,Veiculo_Equip_Matriz,10,0),"")</f>
        <v>7920.0560999999998</v>
      </c>
      <c r="I20" s="46">
        <f ca="1">TRUNC(E20*G20*H20,2)</f>
        <v>264</v>
      </c>
    </row>
    <row r="21" spans="2:9" ht="15" customHeight="1" x14ac:dyDescent="0.25">
      <c r="B21" s="232" t="s">
        <v>509</v>
      </c>
      <c r="C21" s="12"/>
      <c r="D21" s="12"/>
      <c r="E21" s="12"/>
      <c r="F21" s="12"/>
      <c r="G21" s="12"/>
      <c r="H21" s="12"/>
      <c r="I21" s="47">
        <f ca="1">SUM(I22:I22)</f>
        <v>528</v>
      </c>
    </row>
    <row r="22" spans="2:9" ht="15" customHeight="1" x14ac:dyDescent="0.25">
      <c r="B22" s="110" t="str">
        <f>'Memo calc'!B468</f>
        <v>E8891</v>
      </c>
      <c r="C22" s="497" t="str">
        <f ca="1">IFERROR(VLOOKUP(B22,Veiculo_Equip_Matriz,2,0),"")</f>
        <v>Veículo leve picape 4 x 4 com capacidade de 1,10 t - 147 kW (sem motorista)</v>
      </c>
      <c r="D22" s="498" t="str">
        <f ca="1">IFERROR(VLOOKUP(C22,MO_Matriz,2,0),"")</f>
        <v/>
      </c>
      <c r="E22" s="103">
        <f>'Memo calc'!H468</f>
        <v>1</v>
      </c>
      <c r="F22" s="44">
        <f>'Memo calc'!I468</f>
        <v>2</v>
      </c>
      <c r="G22" s="44">
        <f>F22/30</f>
        <v>6.6666666666666666E-2</v>
      </c>
      <c r="H22" s="46">
        <f ca="1">IFERROR(VLOOKUP(B22,Veiculo_Equip_Matriz,10,0),"")</f>
        <v>7920.0560999999998</v>
      </c>
      <c r="I22" s="46">
        <f ca="1">TRUNC(E22*G22*H22,2)</f>
        <v>528</v>
      </c>
    </row>
    <row r="23" spans="2:9" s="84" customFormat="1" ht="15" customHeight="1" x14ac:dyDescent="0.25">
      <c r="B23" s="126"/>
      <c r="C23" s="125"/>
      <c r="D23" s="125"/>
      <c r="E23" s="125"/>
      <c r="F23" s="125"/>
      <c r="G23" s="125"/>
      <c r="H23" s="136" t="s">
        <v>688</v>
      </c>
      <c r="I23" s="77">
        <f ca="1">I15+I17+I19+I21</f>
        <v>1216.9000000000001</v>
      </c>
    </row>
    <row r="24" spans="2:9" ht="9" customHeight="1" x14ac:dyDescent="0.25"/>
  </sheetData>
  <mergeCells count="8">
    <mergeCell ref="C5:I5"/>
    <mergeCell ref="B13:B14"/>
    <mergeCell ref="C13:D14"/>
    <mergeCell ref="C20:D20"/>
    <mergeCell ref="C22:D22"/>
    <mergeCell ref="C18:D18"/>
    <mergeCell ref="B11:I11"/>
    <mergeCell ref="C16:D16"/>
  </mergeCells>
  <printOptions horizontalCentered="1"/>
  <pageMargins left="0.78740157480314965" right="0.78740157480314965" top="0.39370078740157483" bottom="0.78740157480314965" header="0.19685039370078741" footer="0.19685039370078741"/>
  <pageSetup paperSize="9" fitToWidth="0" orientation="landscape" r:id="rId1"/>
  <headerFooter>
    <oddFooter xml:space="preserve">&amp;C&amp;10Av. Des. José Nunes da Cunha, Bloco 14, Parque dos Poderes, Campo Grande (MS), CEP 79031-310
PABX: (67) 3318-5300/ Gab: 5538 – Fax (67) 3318-5386 – gabinete@seinfra.ms.gov.br
</oddFooter>
  </headerFooter>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Planilha9">
    <pageSetUpPr fitToPage="1"/>
  </sheetPr>
  <dimension ref="A1:L41"/>
  <sheetViews>
    <sheetView showGridLines="0" view="pageBreakPreview" zoomScale="115" zoomScaleNormal="100" zoomScaleSheetLayoutView="115" workbookViewId="0">
      <selection activeCell="B10" sqref="B10:J10"/>
    </sheetView>
  </sheetViews>
  <sheetFormatPr defaultColWidth="0" defaultRowHeight="15" customHeight="1" zeroHeight="1" x14ac:dyDescent="0.25"/>
  <cols>
    <col min="1" max="1" width="1.7109375" style="2" customWidth="1"/>
    <col min="2" max="2" width="9.85546875" style="2" bestFit="1" customWidth="1"/>
    <col min="3" max="3" width="7.28515625" style="2" customWidth="1"/>
    <col min="4" max="4" width="38.5703125" style="2" customWidth="1"/>
    <col min="5" max="5" width="9.42578125" style="2" bestFit="1" customWidth="1"/>
    <col min="6" max="6" width="16.7109375" style="2" bestFit="1" customWidth="1"/>
    <col min="7" max="9" width="8.7109375" style="2" customWidth="1"/>
    <col min="10" max="10" width="16.28515625" style="2" bestFit="1" customWidth="1"/>
    <col min="11" max="11" width="1.7109375" style="2" customWidth="1"/>
    <col min="12" max="12" width="0" style="2" hidden="1" customWidth="1"/>
    <col min="13" max="16384" width="9.140625" style="2" hidden="1"/>
  </cols>
  <sheetData>
    <row r="1" spans="2:10" ht="9" customHeight="1" x14ac:dyDescent="0.25"/>
    <row r="2" spans="2:10" ht="34.5" customHeight="1" x14ac:dyDescent="0.25"/>
    <row r="3" spans="2:10" ht="34.5" customHeight="1" x14ac:dyDescent="0.25"/>
    <row r="4" spans="2:10" x14ac:dyDescent="0.25">
      <c r="B4" s="23" t="s">
        <v>0</v>
      </c>
      <c r="C4" s="459" t="str">
        <f>'Qd abrang'!C4</f>
        <v>Contratação de Projeto Executivo de Engenharia para Implantação do Aeródromo no município de Ribas do Rio Pardo</v>
      </c>
      <c r="D4" s="459"/>
      <c r="E4" s="459"/>
      <c r="F4" s="459"/>
      <c r="G4" s="459"/>
      <c r="H4" s="459"/>
      <c r="I4" s="459"/>
      <c r="J4" s="459"/>
    </row>
    <row r="5" spans="2:10" x14ac:dyDescent="0.25">
      <c r="B5" s="5" t="s">
        <v>862</v>
      </c>
      <c r="C5" s="1" t="str">
        <f>'Qd abrang'!C5</f>
        <v>Ribas do Rio Pardo/MS</v>
      </c>
    </row>
    <row r="6" spans="2:10" x14ac:dyDescent="0.25">
      <c r="B6" s="5" t="s">
        <v>863</v>
      </c>
      <c r="C6" s="1">
        <f>'Qd abrang'!C6</f>
        <v>0</v>
      </c>
    </row>
    <row r="7" spans="2:10" x14ac:dyDescent="0.25">
      <c r="B7" s="5" t="s">
        <v>1</v>
      </c>
      <c r="C7" s="239">
        <f>'Qd abrang'!C7</f>
        <v>1.3</v>
      </c>
      <c r="D7" s="2" t="s">
        <v>1136</v>
      </c>
      <c r="I7" s="5" t="s">
        <v>16</v>
      </c>
      <c r="J7" s="6" t="str">
        <f>'Qd abrang'!N7</f>
        <v>79.009.850-2025</v>
      </c>
    </row>
    <row r="8" spans="2:10" x14ac:dyDescent="0.25">
      <c r="B8" s="5" t="s">
        <v>2</v>
      </c>
      <c r="C8" s="264">
        <f>'Qd abrang'!C8</f>
        <v>365</v>
      </c>
      <c r="D8" s="2" t="s">
        <v>4</v>
      </c>
      <c r="I8" s="5" t="s">
        <v>17</v>
      </c>
      <c r="J8" s="265">
        <f>'Qd abrang'!N8</f>
        <v>45748</v>
      </c>
    </row>
    <row r="9" spans="2:10" ht="15" customHeight="1" x14ac:dyDescent="0.25"/>
    <row r="10" spans="2:10" s="11" customFormat="1" ht="21" x14ac:dyDescent="0.25">
      <c r="B10" s="458" t="s">
        <v>481</v>
      </c>
      <c r="C10" s="458"/>
      <c r="D10" s="458"/>
      <c r="E10" s="458"/>
      <c r="F10" s="458"/>
      <c r="G10" s="458"/>
      <c r="H10" s="458"/>
      <c r="I10" s="458"/>
      <c r="J10" s="458"/>
    </row>
    <row r="11" spans="2:10" ht="15" customHeight="1" x14ac:dyDescent="0.25"/>
    <row r="12" spans="2:10" ht="30" customHeight="1" x14ac:dyDescent="0.25">
      <c r="B12" s="473" t="s">
        <v>29</v>
      </c>
      <c r="C12" s="478" t="s">
        <v>15</v>
      </c>
      <c r="D12" s="479"/>
      <c r="E12" s="474" t="s">
        <v>680</v>
      </c>
      <c r="F12" s="120" t="s">
        <v>681</v>
      </c>
      <c r="G12" s="120" t="s">
        <v>202</v>
      </c>
      <c r="H12" s="120" t="s">
        <v>224</v>
      </c>
      <c r="I12" s="120" t="s">
        <v>361</v>
      </c>
      <c r="J12" s="473" t="s">
        <v>396</v>
      </c>
    </row>
    <row r="13" spans="2:10" ht="15" customHeight="1" x14ac:dyDescent="0.25">
      <c r="B13" s="473"/>
      <c r="C13" s="478"/>
      <c r="D13" s="479"/>
      <c r="E13" s="474"/>
      <c r="F13" s="120" t="s">
        <v>363</v>
      </c>
      <c r="G13" s="120" t="s">
        <v>330</v>
      </c>
      <c r="H13" s="120" t="s">
        <v>331</v>
      </c>
      <c r="I13" s="120" t="s">
        <v>682</v>
      </c>
      <c r="J13" s="473"/>
    </row>
    <row r="14" spans="2:10" ht="15" customHeight="1" x14ac:dyDescent="0.25">
      <c r="B14" s="24" t="s">
        <v>735</v>
      </c>
      <c r="C14" s="25"/>
      <c r="D14" s="25"/>
      <c r="E14" s="25"/>
      <c r="F14" s="25"/>
      <c r="G14" s="25"/>
      <c r="H14" s="25"/>
      <c r="I14" s="25"/>
      <c r="J14" s="78">
        <f>J15</f>
        <v>171.67</v>
      </c>
    </row>
    <row r="15" spans="2:10" ht="15" customHeight="1" x14ac:dyDescent="0.25">
      <c r="B15" s="110" t="str">
        <f>'Memo calc'!B353</f>
        <v>B8958</v>
      </c>
      <c r="C15" s="497" t="str">
        <f>VLOOKUP(B15,'Imóveis-Mobiliários-Cestas-Dive'!B3:F13,3,0)</f>
        <v>Topografia</v>
      </c>
      <c r="D15" s="498"/>
      <c r="E15" s="57" t="s">
        <v>36</v>
      </c>
      <c r="F15" s="46">
        <f>VLOOKUP(B15,'Imóveis-Mobiliários-Cestas-Dive'!B3:F13,5,0)</f>
        <v>5150.2700000000004</v>
      </c>
      <c r="G15" s="41">
        <f>'Memo calc'!E353</f>
        <v>1</v>
      </c>
      <c r="H15" s="52">
        <f>'Memo calc'!F353</f>
        <v>1</v>
      </c>
      <c r="I15" s="45">
        <f>H15/30</f>
        <v>3.3333333333333333E-2</v>
      </c>
      <c r="J15" s="46">
        <f>TRUNC(F15*G15*I15,2)</f>
        <v>171.67</v>
      </c>
    </row>
    <row r="16" spans="2:10" ht="15" customHeight="1" x14ac:dyDescent="0.25">
      <c r="B16" s="232" t="s">
        <v>509</v>
      </c>
      <c r="C16" s="12"/>
      <c r="D16" s="12"/>
      <c r="E16" s="12"/>
      <c r="F16" s="12"/>
      <c r="G16" s="12"/>
      <c r="H16" s="12"/>
      <c r="I16" s="12"/>
      <c r="J16" s="47">
        <f>SUM(J17:J19)</f>
        <v>5442.78</v>
      </c>
    </row>
    <row r="17" spans="2:10" x14ac:dyDescent="0.25">
      <c r="B17" s="110" t="str">
        <f>'Memo calc'!B485</f>
        <v>65.02.02</v>
      </c>
      <c r="C17" s="468" t="str">
        <f>IFERROR(VLOOKUP(B17,Sudecap!$A$1:$K$55,3,0),"")</f>
        <v>Perfuração de solo sondagem a trado (NBR 9603:2015) DN 20CM</v>
      </c>
      <c r="D17" s="470" t="str">
        <f ca="1">IFERROR(VLOOKUP(C17,MO_Matriz,2,0),"")</f>
        <v/>
      </c>
      <c r="E17" s="57" t="str">
        <f>Sudecap!D9</f>
        <v>m</v>
      </c>
      <c r="F17" s="46">
        <f>IFERROR(VLOOKUP(B17,Sudecap!$A$1:$K$55,11,0),"")</f>
        <v>74.97</v>
      </c>
      <c r="G17" s="102">
        <f>'Memo calc'!J485</f>
        <v>15</v>
      </c>
      <c r="H17" s="143">
        <f>'Memo calc'!K485</f>
        <v>0</v>
      </c>
      <c r="I17" s="144">
        <f>H17/30</f>
        <v>0</v>
      </c>
      <c r="J17" s="46">
        <f>TRUNC(F17*G17,2)</f>
        <v>1124.55</v>
      </c>
    </row>
    <row r="18" spans="2:10" ht="23.25" customHeight="1" x14ac:dyDescent="0.25">
      <c r="B18" s="110" t="str">
        <f>'Memo calc'!B486</f>
        <v>65.01.02</v>
      </c>
      <c r="C18" s="468" t="str">
        <f>IFERROR(VLOOKUP(B18,Sudecap!$A$1:$K$55,3,0),"")</f>
        <v>PERFURAÇÃO DE SOLO SONDAGEM À PERCUSSÃO (NBR 6484:2020)</v>
      </c>
      <c r="D18" s="470" t="str">
        <f ca="1">IFERROR(VLOOKUP(C18,MO_Matriz,2,0),"")</f>
        <v/>
      </c>
      <c r="E18" s="57" t="s">
        <v>411</v>
      </c>
      <c r="F18" s="46">
        <f>IFERROR(VLOOKUP(B18,Sudecap!$A$1:$K$55,11,0),"")</f>
        <v>94.96</v>
      </c>
      <c r="G18" s="429">
        <f>'Memo calc'!J486</f>
        <v>36</v>
      </c>
      <c r="H18" s="143">
        <f>'Memo calc'!K486</f>
        <v>0</v>
      </c>
      <c r="I18" s="144">
        <f t="shared" ref="I18:I19" si="0">H18/30</f>
        <v>0</v>
      </c>
      <c r="J18" s="46">
        <f t="shared" ref="J18:J19" si="1">TRUNC(F18*G18,2)</f>
        <v>3418.56</v>
      </c>
    </row>
    <row r="19" spans="2:10" ht="24.75" customHeight="1" x14ac:dyDescent="0.25">
      <c r="B19" s="110" t="str">
        <f>'Memo calc'!B487</f>
        <v>65.01.03</v>
      </c>
      <c r="C19" s="468" t="str">
        <f>IFERROR(VLOOKUP(B19,Sudecap!$A$1:$K$55,3,0),"")</f>
        <v>DESMONTAGEM, TRANSPORTE E MONTAGEM DE EQUIPAMENTOS DE SONDAGEM A PERCUSSÃO POR FURO</v>
      </c>
      <c r="D19" s="470" t="str">
        <f ca="1">IFERROR(VLOOKUP(C19,MO_Matriz,2,0),"")</f>
        <v/>
      </c>
      <c r="E19" s="57" t="s">
        <v>680</v>
      </c>
      <c r="F19" s="46">
        <f>IFERROR(VLOOKUP(B19,Sudecap!$A$1:$K$55,11,0),"")</f>
        <v>299.89</v>
      </c>
      <c r="G19" s="429">
        <f>'Memo calc'!J487</f>
        <v>3</v>
      </c>
      <c r="H19" s="143">
        <f>'Memo calc'!K487</f>
        <v>0</v>
      </c>
      <c r="I19" s="144">
        <f t="shared" si="0"/>
        <v>0</v>
      </c>
      <c r="J19" s="46">
        <f t="shared" si="1"/>
        <v>899.67</v>
      </c>
    </row>
    <row r="20" spans="2:10" ht="15" customHeight="1" x14ac:dyDescent="0.25">
      <c r="B20" s="232" t="s">
        <v>539</v>
      </c>
      <c r="C20" s="12"/>
      <c r="D20" s="12"/>
      <c r="E20" s="12"/>
      <c r="F20" s="12"/>
      <c r="G20" s="12"/>
      <c r="H20" s="12"/>
      <c r="I20" s="12"/>
      <c r="J20" s="47">
        <f>J21</f>
        <v>880.12</v>
      </c>
    </row>
    <row r="21" spans="2:10" ht="15" customHeight="1" x14ac:dyDescent="0.25">
      <c r="B21" s="110" t="str">
        <f>'Memo calc'!B571</f>
        <v>B8957</v>
      </c>
      <c r="C21" s="497" t="str">
        <f>VLOOKUP(B21,'Imóveis-Mobiliários-Cestas-Dive'!$B$2:$F$13,3,0)</f>
        <v>Laboratório de solos</v>
      </c>
      <c r="D21" s="498"/>
      <c r="E21" s="57" t="s">
        <v>36</v>
      </c>
      <c r="F21" s="46">
        <f>VLOOKUP(B21,'Imóveis-Mobiliários-Cestas-Dive'!$B$2:$F$13,5,0)</f>
        <v>3520.5</v>
      </c>
      <c r="G21" s="41">
        <f>'Memo calc'!E571</f>
        <v>1</v>
      </c>
      <c r="H21" s="52">
        <f>'Memo calc'!F571</f>
        <v>7.5</v>
      </c>
      <c r="I21" s="45">
        <f>H21/30</f>
        <v>0.25</v>
      </c>
      <c r="J21" s="46">
        <f>TRUNC(F21*G21*I21,2)</f>
        <v>880.12</v>
      </c>
    </row>
    <row r="22" spans="2:10" s="84" customFormat="1" ht="15" customHeight="1" x14ac:dyDescent="0.25">
      <c r="B22" s="126"/>
      <c r="C22" s="125"/>
      <c r="D22" s="125"/>
      <c r="E22" s="125"/>
      <c r="F22" s="125"/>
      <c r="G22" s="125"/>
      <c r="H22" s="125"/>
      <c r="I22" s="136" t="s">
        <v>692</v>
      </c>
      <c r="J22" s="77">
        <f>J14+J16+J20</f>
        <v>6494.57</v>
      </c>
    </row>
    <row r="23" spans="2:10" ht="15" customHeight="1" x14ac:dyDescent="0.25">
      <c r="B23" s="68"/>
    </row>
    <row r="24" spans="2:10" ht="41.25" customHeight="1" x14ac:dyDescent="0.25">
      <c r="B24" s="502" t="s">
        <v>1032</v>
      </c>
      <c r="C24" s="502"/>
      <c r="D24" s="502"/>
      <c r="E24" s="502"/>
      <c r="F24" s="502"/>
      <c r="G24" s="502"/>
      <c r="H24" s="502"/>
      <c r="I24" s="502"/>
      <c r="J24" s="502"/>
    </row>
    <row r="25" spans="2:10" ht="15" customHeight="1" x14ac:dyDescent="0.25">
      <c r="B25" s="89"/>
      <c r="D25" s="87"/>
      <c r="E25" s="87"/>
    </row>
    <row r="26" spans="2:10" ht="15" customHeight="1" x14ac:dyDescent="0.25">
      <c r="B26" s="89"/>
      <c r="D26" s="87"/>
      <c r="E26" s="87"/>
    </row>
    <row r="27" spans="2:10" ht="15" customHeight="1" x14ac:dyDescent="0.25">
      <c r="B27" s="89"/>
      <c r="D27" s="87"/>
      <c r="E27" s="87"/>
    </row>
    <row r="28" spans="2:10" ht="9" customHeight="1" x14ac:dyDescent="0.25"/>
    <row r="29" spans="2:10" ht="15" hidden="1" customHeight="1" x14ac:dyDescent="0.25"/>
    <row r="30" spans="2:10" ht="15" hidden="1" customHeight="1" x14ac:dyDescent="0.25"/>
    <row r="31" spans="2:10" ht="15" hidden="1" customHeight="1" x14ac:dyDescent="0.25"/>
    <row r="32" spans="2:10" ht="15" hidden="1" customHeight="1" x14ac:dyDescent="0.25"/>
    <row r="33" ht="15" hidden="1" customHeight="1" x14ac:dyDescent="0.25"/>
    <row r="34" ht="15" hidden="1" customHeight="1" x14ac:dyDescent="0.25"/>
    <row r="35" ht="15" hidden="1" customHeight="1" x14ac:dyDescent="0.25"/>
    <row r="36" ht="15" hidden="1" customHeight="1" x14ac:dyDescent="0.25"/>
    <row r="37" ht="15" hidden="1" customHeight="1" x14ac:dyDescent="0.25"/>
    <row r="38" ht="15" hidden="1" customHeight="1" x14ac:dyDescent="0.25"/>
    <row r="39" ht="15" hidden="1" customHeight="1" x14ac:dyDescent="0.25"/>
    <row r="40" ht="15" customHeight="1" x14ac:dyDescent="0.25"/>
    <row r="41" ht="15" customHeight="1" x14ac:dyDescent="0.25"/>
  </sheetData>
  <mergeCells count="12">
    <mergeCell ref="B24:J24"/>
    <mergeCell ref="C15:D15"/>
    <mergeCell ref="C17:D17"/>
    <mergeCell ref="C21:D21"/>
    <mergeCell ref="C4:J4"/>
    <mergeCell ref="B10:J10"/>
    <mergeCell ref="B12:B13"/>
    <mergeCell ref="C12:D13"/>
    <mergeCell ref="E12:E13"/>
    <mergeCell ref="J12:J13"/>
    <mergeCell ref="C18:D18"/>
    <mergeCell ref="C19:D19"/>
  </mergeCells>
  <printOptions horizontalCentered="1"/>
  <pageMargins left="0.78740157480314965" right="0.78740157480314965" top="0.39370078740157483" bottom="0.78740157480314965" header="0.19685039370078741" footer="0.19685039370078741"/>
  <pageSetup paperSize="9" fitToHeight="0" orientation="landscape" r:id="rId1"/>
  <headerFooter>
    <oddFooter xml:space="preserve">&amp;C&amp;10Av. Des. José Nunes da Cunha, Bloco 14, Parque dos Poderes, Campo Grande (MS), CEP 79031-310
PABX: (67) 3318-5300/ Gab: 5538 – Fax (67) 3318-5386 – gabinete@seinfra.ms.gov.br
</oddFooter>
  </headerFooter>
  <ignoredErrors>
    <ignoredError sqref="J20" formula="1"/>
  </ignoredErrors>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Planilha10">
    <pageSetUpPr fitToPage="1"/>
  </sheetPr>
  <dimension ref="A1:M88"/>
  <sheetViews>
    <sheetView showGridLines="0" view="pageBreakPreview" zoomScaleNormal="100" zoomScaleSheetLayoutView="100" workbookViewId="0">
      <selection activeCell="B35" sqref="B35"/>
    </sheetView>
  </sheetViews>
  <sheetFormatPr defaultColWidth="0" defaultRowHeight="15" customHeight="1" zeroHeight="1" x14ac:dyDescent="0.25"/>
  <cols>
    <col min="1" max="1" width="1.7109375" style="2" customWidth="1"/>
    <col min="2" max="2" width="9.85546875" style="2" bestFit="1" customWidth="1"/>
    <col min="3" max="3" width="7.28515625" style="2" customWidth="1"/>
    <col min="4" max="4" width="26.85546875" style="2" customWidth="1"/>
    <col min="5" max="5" width="8.7109375" style="2" customWidth="1"/>
    <col min="6" max="6" width="14.140625" style="2" bestFit="1" customWidth="1"/>
    <col min="7" max="7" width="13.5703125" style="2" bestFit="1" customWidth="1"/>
    <col min="8" max="8" width="9" style="2" bestFit="1" customWidth="1"/>
    <col min="9" max="9" width="14.140625" style="2" bestFit="1" customWidth="1"/>
    <col min="10" max="10" width="11.7109375" style="2" bestFit="1" customWidth="1"/>
    <col min="11" max="11" width="15.5703125" style="2" bestFit="1" customWidth="1"/>
    <col min="12" max="12" width="16.28515625" style="2" bestFit="1" customWidth="1"/>
    <col min="13" max="13" width="1.7109375" style="2" customWidth="1"/>
    <col min="14" max="16384" width="9.140625" style="2" hidden="1"/>
  </cols>
  <sheetData>
    <row r="1" spans="2:12" ht="9" customHeight="1" x14ac:dyDescent="0.25"/>
    <row r="2" spans="2:12" ht="34.5" customHeight="1" x14ac:dyDescent="0.25"/>
    <row r="3" spans="2:12" ht="15" customHeight="1" x14ac:dyDescent="0.25"/>
    <row r="4" spans="2:12" ht="15" customHeight="1" x14ac:dyDescent="0.25"/>
    <row r="5" spans="2:12" x14ac:dyDescent="0.25">
      <c r="B5" s="23" t="s">
        <v>0</v>
      </c>
      <c r="C5" s="459" t="str">
        <f>'Qd abrang'!C4</f>
        <v>Contratação de Projeto Executivo de Engenharia para Implantação do Aeródromo no município de Ribas do Rio Pardo</v>
      </c>
      <c r="D5" s="459"/>
      <c r="E5" s="459"/>
      <c r="F5" s="459"/>
      <c r="G5" s="459"/>
      <c r="H5" s="459"/>
      <c r="I5" s="459"/>
      <c r="J5" s="459"/>
      <c r="K5" s="459"/>
      <c r="L5" s="459"/>
    </row>
    <row r="6" spans="2:12" x14ac:dyDescent="0.25">
      <c r="B6" s="5" t="s">
        <v>862</v>
      </c>
      <c r="C6" s="1" t="str">
        <f>'Qd abrang'!C5</f>
        <v>Ribas do Rio Pardo/MS</v>
      </c>
    </row>
    <row r="7" spans="2:12" x14ac:dyDescent="0.25">
      <c r="B7" s="5" t="s">
        <v>863</v>
      </c>
      <c r="C7" s="1">
        <f>'Qd abrang'!C6</f>
        <v>0</v>
      </c>
    </row>
    <row r="8" spans="2:12" x14ac:dyDescent="0.25">
      <c r="B8" s="5" t="s">
        <v>1</v>
      </c>
      <c r="C8" s="239">
        <f>'Qd abrang'!C7</f>
        <v>1.3</v>
      </c>
      <c r="D8" s="2" t="s">
        <v>3</v>
      </c>
      <c r="E8" s="340" t="s">
        <v>960</v>
      </c>
      <c r="F8" s="2" t="s">
        <v>1137</v>
      </c>
      <c r="K8" s="5" t="s">
        <v>16</v>
      </c>
      <c r="L8" s="6" t="str">
        <f>'Qd abrang'!N7</f>
        <v>79.009.850-2025</v>
      </c>
    </row>
    <row r="9" spans="2:12" x14ac:dyDescent="0.25">
      <c r="B9" s="5" t="s">
        <v>2</v>
      </c>
      <c r="C9" s="264">
        <f>'Qd abrang'!C8</f>
        <v>365</v>
      </c>
      <c r="D9" s="2" t="s">
        <v>4</v>
      </c>
      <c r="K9" s="5" t="s">
        <v>17</v>
      </c>
      <c r="L9" s="265">
        <f>'Qd abrang'!N8</f>
        <v>45748</v>
      </c>
    </row>
    <row r="10" spans="2:12" ht="15" customHeight="1" x14ac:dyDescent="0.25"/>
    <row r="11" spans="2:12" s="11" customFormat="1" ht="21" x14ac:dyDescent="0.25">
      <c r="B11" s="458" t="s">
        <v>24</v>
      </c>
      <c r="C11" s="458"/>
      <c r="D11" s="458"/>
      <c r="E11" s="458"/>
      <c r="F11" s="458"/>
      <c r="G11" s="458"/>
      <c r="H11" s="458"/>
      <c r="I11" s="458"/>
      <c r="J11" s="458"/>
      <c r="K11" s="458"/>
      <c r="L11" s="458"/>
    </row>
    <row r="12" spans="2:12" ht="15" customHeight="1" x14ac:dyDescent="0.25"/>
    <row r="13" spans="2:12" ht="30" customHeight="1" x14ac:dyDescent="0.25">
      <c r="B13" s="473" t="s">
        <v>29</v>
      </c>
      <c r="C13" s="478" t="s">
        <v>15</v>
      </c>
      <c r="D13" s="479"/>
      <c r="E13" s="473" t="s">
        <v>390</v>
      </c>
      <c r="F13" s="120" t="s">
        <v>462</v>
      </c>
      <c r="G13" s="120" t="s">
        <v>463</v>
      </c>
      <c r="H13" s="120" t="s">
        <v>408</v>
      </c>
      <c r="I13" s="120" t="s">
        <v>465</v>
      </c>
      <c r="J13" s="120" t="s">
        <v>466</v>
      </c>
      <c r="K13" s="120" t="s">
        <v>467</v>
      </c>
      <c r="L13" s="120" t="s">
        <v>396</v>
      </c>
    </row>
    <row r="14" spans="2:12" ht="15" customHeight="1" x14ac:dyDescent="0.25">
      <c r="B14" s="473"/>
      <c r="C14" s="478"/>
      <c r="D14" s="479"/>
      <c r="E14" s="473"/>
      <c r="F14" s="120" t="s">
        <v>330</v>
      </c>
      <c r="G14" s="120" t="s">
        <v>331</v>
      </c>
      <c r="H14" s="120" t="s">
        <v>464</v>
      </c>
      <c r="I14" s="120" t="s">
        <v>333</v>
      </c>
      <c r="J14" s="120" t="s">
        <v>378</v>
      </c>
      <c r="K14" s="120" t="s">
        <v>468</v>
      </c>
      <c r="L14" s="120" t="s">
        <v>469</v>
      </c>
    </row>
    <row r="15" spans="2:12" ht="15" customHeight="1" x14ac:dyDescent="0.25">
      <c r="B15" s="24" t="s">
        <v>397</v>
      </c>
      <c r="C15" s="25"/>
      <c r="D15" s="25"/>
      <c r="E15" s="25"/>
      <c r="F15" s="25"/>
      <c r="G15" s="25"/>
      <c r="H15" s="25"/>
      <c r="I15" s="25"/>
      <c r="J15" s="25"/>
      <c r="K15" s="25"/>
      <c r="L15" s="78">
        <f>L16</f>
        <v>700</v>
      </c>
    </row>
    <row r="16" spans="2:12" ht="15" customHeight="1" x14ac:dyDescent="0.25">
      <c r="B16" s="110" t="str">
        <f>'Memo calc'!B1237</f>
        <v>P8061</v>
      </c>
      <c r="C16" s="497" t="str">
        <f ca="1">IFERROR(VLOOKUP(B16,MO_Matriz,2,0),"")</f>
        <v>Engenheiro coordenador</v>
      </c>
      <c r="D16" s="498" t="str">
        <f ca="1">IFERROR(VLOOKUP(C16,MO_Matriz,2,0),"")</f>
        <v/>
      </c>
      <c r="E16" s="41" t="str">
        <f ca="1">IFERROR(VLOOKUP(B16,MO_Matriz,3,0),"")</f>
        <v>S</v>
      </c>
      <c r="F16" s="49">
        <f>'Memo calc'!H1237</f>
        <v>400</v>
      </c>
      <c r="G16" s="49">
        <f>'Memo calc'!I1237</f>
        <v>300</v>
      </c>
      <c r="H16" s="46">
        <f>F16+G16</f>
        <v>700</v>
      </c>
      <c r="I16" s="46">
        <v>0</v>
      </c>
      <c r="J16" s="46">
        <v>0</v>
      </c>
      <c r="K16" s="46">
        <f>I16+J16</f>
        <v>0</v>
      </c>
      <c r="L16" s="46">
        <f>TRUNC(H16+K16,2)</f>
        <v>700</v>
      </c>
    </row>
    <row r="17" spans="2:13" ht="15" customHeight="1" x14ac:dyDescent="0.25">
      <c r="B17" s="232" t="s">
        <v>398</v>
      </c>
      <c r="C17" s="12"/>
      <c r="D17" s="12"/>
      <c r="E17" s="12"/>
      <c r="F17" s="12"/>
      <c r="G17" s="12"/>
      <c r="H17" s="12"/>
      <c r="I17" s="12"/>
      <c r="J17" s="12"/>
      <c r="K17" s="12"/>
      <c r="L17" s="47">
        <f>SUM(L18:L19)</f>
        <v>1628.56</v>
      </c>
    </row>
    <row r="18" spans="2:13" ht="15" customHeight="1" x14ac:dyDescent="0.25">
      <c r="B18" s="110" t="str">
        <f>'Memo calc'!B695</f>
        <v>P8061</v>
      </c>
      <c r="C18" s="497" t="str">
        <f ca="1">IFERROR(VLOOKUP(B18,MO_Matriz,2,0),"")</f>
        <v>Engenheiro coordenador</v>
      </c>
      <c r="D18" s="498" t="str">
        <f ca="1">IFERROR(VLOOKUP(C18,MO_Matriz,2,0),"")</f>
        <v/>
      </c>
      <c r="E18" s="41" t="str">
        <f ca="1">IFERROR(VLOOKUP(B18,MO_Matriz,3,0),"")</f>
        <v>S</v>
      </c>
      <c r="F18" s="49">
        <f>'Memo calc'!H695</f>
        <v>457.14285714285711</v>
      </c>
      <c r="G18" s="49">
        <f>'Memo calc'!I695</f>
        <v>357.14285714285711</v>
      </c>
      <c r="H18" s="46">
        <f>F18+G18</f>
        <v>814.28571428571422</v>
      </c>
      <c r="I18" s="46">
        <v>0</v>
      </c>
      <c r="J18" s="46">
        <v>0</v>
      </c>
      <c r="K18" s="46">
        <f>I18+J18</f>
        <v>0</v>
      </c>
      <c r="L18" s="46">
        <f>TRUNC(H18+K18,2)</f>
        <v>814.28</v>
      </c>
    </row>
    <row r="19" spans="2:13" ht="15" customHeight="1" x14ac:dyDescent="0.25">
      <c r="B19" s="110" t="str">
        <f>'Memo calc'!B696</f>
        <v>P8147</v>
      </c>
      <c r="C19" s="497" t="str">
        <f ca="1">IFERROR(VLOOKUP(B19,MO_Matriz,2,0),"")</f>
        <v>Técnico de obras</v>
      </c>
      <c r="D19" s="498" t="str">
        <f ca="1">IFERROR(VLOOKUP(C19,MO_Matriz,2,0),"")</f>
        <v/>
      </c>
      <c r="E19" s="326" t="str">
        <f ca="1">IFERROR(VLOOKUP(B19,MO_Matriz,3,0),"")</f>
        <v>T</v>
      </c>
      <c r="F19" s="49">
        <f>'Memo calc'!H696</f>
        <v>457.14285714285711</v>
      </c>
      <c r="G19" s="49">
        <f>'Memo calc'!I696</f>
        <v>357.14285714285711</v>
      </c>
      <c r="H19" s="46">
        <f>F19+G19</f>
        <v>814.28571428571422</v>
      </c>
      <c r="I19" s="46">
        <v>0</v>
      </c>
      <c r="J19" s="46">
        <v>0</v>
      </c>
      <c r="K19" s="46">
        <f>I19+J19</f>
        <v>0</v>
      </c>
      <c r="L19" s="46">
        <f>TRUNC(H19+K19,2)</f>
        <v>814.28</v>
      </c>
    </row>
    <row r="20" spans="2:13" ht="15" customHeight="1" x14ac:dyDescent="0.25">
      <c r="B20" s="232" t="s">
        <v>732</v>
      </c>
      <c r="C20" s="12"/>
      <c r="D20" s="12"/>
      <c r="E20" s="12"/>
      <c r="F20" s="12"/>
      <c r="G20" s="12"/>
      <c r="H20" s="12"/>
      <c r="I20" s="12"/>
      <c r="J20" s="12"/>
      <c r="K20" s="12"/>
      <c r="L20" s="47">
        <f>SUM(L21:L21)</f>
        <v>500</v>
      </c>
    </row>
    <row r="21" spans="2:13" ht="15" customHeight="1" x14ac:dyDescent="0.25">
      <c r="B21" s="110" t="str">
        <f>'Memo calc'!B112</f>
        <v>P8058</v>
      </c>
      <c r="C21" s="497" t="str">
        <f t="shared" ref="C21:D21" ca="1" si="0">IFERROR(VLOOKUP(B21,MO_Matriz,2,0),"")</f>
        <v>Engenheiro ambiental pleno</v>
      </c>
      <c r="D21" s="498" t="str">
        <f t="shared" ca="1" si="0"/>
        <v/>
      </c>
      <c r="E21" s="103" t="str">
        <f ca="1">IFERROR(VLOOKUP(B21,MO_Matriz,3,0),"")</f>
        <v>S</v>
      </c>
      <c r="F21" s="49">
        <f>'Memo calc'!H112</f>
        <v>300</v>
      </c>
      <c r="G21" s="49">
        <f>'Memo calc'!J112</f>
        <v>200</v>
      </c>
      <c r="H21" s="46">
        <f>F21+G21</f>
        <v>500</v>
      </c>
      <c r="I21" s="46">
        <v>0</v>
      </c>
      <c r="J21" s="46">
        <v>0</v>
      </c>
      <c r="K21" s="46">
        <f>I21+J21</f>
        <v>0</v>
      </c>
      <c r="L21" s="46">
        <f>TRUNC(H21+K21,2)</f>
        <v>500</v>
      </c>
    </row>
    <row r="22" spans="2:13" ht="15" customHeight="1" x14ac:dyDescent="0.25">
      <c r="B22" s="232" t="s">
        <v>735</v>
      </c>
      <c r="C22" s="12"/>
      <c r="D22" s="12"/>
      <c r="E22" s="12"/>
      <c r="F22" s="12"/>
      <c r="G22" s="12"/>
      <c r="H22" s="12"/>
      <c r="I22" s="12"/>
      <c r="J22" s="12"/>
      <c r="K22" s="12"/>
      <c r="L22" s="47">
        <f>SUM(L23:L23)</f>
        <v>500</v>
      </c>
    </row>
    <row r="23" spans="2:13" ht="15" customHeight="1" x14ac:dyDescent="0.25">
      <c r="B23" s="110" t="str">
        <f>'Memo calc'!B366</f>
        <v>P8163</v>
      </c>
      <c r="C23" s="497" t="str">
        <f t="shared" ref="C23:D23" ca="1" si="1">IFERROR(VLOOKUP(B23,MO_Matriz,2,0),"")</f>
        <v>Topógrafo</v>
      </c>
      <c r="D23" s="498" t="str">
        <f t="shared" ca="1" si="1"/>
        <v/>
      </c>
      <c r="E23" s="41" t="str">
        <f ca="1">IFERROR(VLOOKUP(B23,MO_Matriz,3,0),"")</f>
        <v>T</v>
      </c>
      <c r="F23" s="49">
        <f>'Memo calc'!H366</f>
        <v>300</v>
      </c>
      <c r="G23" s="49">
        <f>'Memo calc'!J366</f>
        <v>200</v>
      </c>
      <c r="H23" s="46">
        <f>F23+G23</f>
        <v>500</v>
      </c>
      <c r="I23" s="46">
        <v>0</v>
      </c>
      <c r="J23" s="46">
        <v>0</v>
      </c>
      <c r="K23" s="46">
        <f>I23+J23</f>
        <v>0</v>
      </c>
      <c r="L23" s="46">
        <f>TRUNC(H23+K23,2)</f>
        <v>500</v>
      </c>
    </row>
    <row r="24" spans="2:13" ht="15" customHeight="1" x14ac:dyDescent="0.25">
      <c r="B24" s="232" t="s">
        <v>509</v>
      </c>
      <c r="C24" s="12"/>
      <c r="D24" s="12"/>
      <c r="E24" s="12"/>
      <c r="F24" s="12"/>
      <c r="G24" s="12"/>
      <c r="H24" s="12"/>
      <c r="I24" s="12"/>
      <c r="J24" s="12"/>
      <c r="K24" s="12"/>
      <c r="L24" s="47">
        <f>SUM(L25:L25)</f>
        <v>900</v>
      </c>
    </row>
    <row r="25" spans="2:13" ht="15" customHeight="1" x14ac:dyDescent="0.25">
      <c r="B25" s="110" t="str">
        <f>'Memo calc'!B501</f>
        <v>P8139</v>
      </c>
      <c r="C25" s="497" t="str">
        <f t="shared" ref="C25:D25" ca="1" si="2">IFERROR(VLOOKUP(B25,MO_Matriz,2,0),"")</f>
        <v>Sondador</v>
      </c>
      <c r="D25" s="498" t="str">
        <f t="shared" ca="1" si="2"/>
        <v/>
      </c>
      <c r="E25" s="41" t="str">
        <f ca="1">IFERROR(VLOOKUP(B25,MO_Matriz,3,0),"")</f>
        <v>T</v>
      </c>
      <c r="F25" s="49">
        <f>'Memo calc'!H501</f>
        <v>500</v>
      </c>
      <c r="G25" s="49">
        <f>'Memo calc'!J501</f>
        <v>400</v>
      </c>
      <c r="H25" s="46">
        <f>F25+G25</f>
        <v>900</v>
      </c>
      <c r="I25" s="46">
        <v>0</v>
      </c>
      <c r="J25" s="46">
        <v>0</v>
      </c>
      <c r="K25" s="46">
        <f>I25+J25</f>
        <v>0</v>
      </c>
      <c r="L25" s="46">
        <f>TRUNC(H25+K25,2)</f>
        <v>900</v>
      </c>
    </row>
    <row r="26" spans="2:13" s="84" customFormat="1" ht="15" customHeight="1" x14ac:dyDescent="0.25">
      <c r="B26" s="126"/>
      <c r="C26" s="125"/>
      <c r="D26" s="125"/>
      <c r="E26" s="125"/>
      <c r="F26" s="125"/>
      <c r="G26" s="125"/>
      <c r="H26" s="125"/>
      <c r="I26" s="125"/>
      <c r="J26" s="125"/>
      <c r="K26" s="136" t="s">
        <v>689</v>
      </c>
      <c r="L26" s="77">
        <f ca="1">SUMIF($E$15:$E$25,"S",$L$15:$L$25)</f>
        <v>2014.28</v>
      </c>
    </row>
    <row r="27" spans="2:13" ht="15" customHeight="1" x14ac:dyDescent="0.25">
      <c r="B27" s="126"/>
      <c r="C27" s="125"/>
      <c r="D27" s="125"/>
      <c r="E27" s="125"/>
      <c r="F27" s="125"/>
      <c r="G27" s="125"/>
      <c r="H27" s="125"/>
      <c r="I27" s="125"/>
      <c r="J27" s="125"/>
      <c r="K27" s="136" t="s">
        <v>690</v>
      </c>
      <c r="L27" s="77">
        <f ca="1">SUMIF($E$15:$E$25,"T",$L$15:$L$25)</f>
        <v>2214.2799999999997</v>
      </c>
    </row>
    <row r="28" spans="2:13" ht="15" customHeight="1" x14ac:dyDescent="0.25">
      <c r="B28" s="287"/>
      <c r="C28" s="286"/>
      <c r="D28" s="286"/>
      <c r="E28" s="286"/>
      <c r="F28" s="286"/>
      <c r="G28" s="286"/>
      <c r="H28" s="286"/>
      <c r="I28" s="286"/>
      <c r="J28" s="286"/>
      <c r="K28" s="136" t="s">
        <v>1045</v>
      </c>
      <c r="L28" s="77">
        <f ca="1">SUMIF($E$15:$E$25,"A",$L$15:$L$25)</f>
        <v>0</v>
      </c>
    </row>
    <row r="29" spans="2:13" ht="15" customHeight="1" x14ac:dyDescent="0.25">
      <c r="B29" s="126"/>
      <c r="C29" s="125"/>
      <c r="D29" s="125"/>
      <c r="E29" s="125"/>
      <c r="F29" s="125"/>
      <c r="G29" s="125"/>
      <c r="H29" s="125"/>
      <c r="I29" s="125"/>
      <c r="J29" s="125"/>
      <c r="K29" s="136" t="s">
        <v>691</v>
      </c>
      <c r="L29" s="77">
        <f ca="1">SUM(L26:L28)</f>
        <v>4228.5599999999995</v>
      </c>
    </row>
    <row r="30" spans="2:13" ht="15" customHeight="1" x14ac:dyDescent="0.25">
      <c r="B30" s="68" t="s">
        <v>587</v>
      </c>
      <c r="C30" s="3"/>
      <c r="D30" s="3"/>
      <c r="E30" s="3"/>
      <c r="F30" s="3"/>
      <c r="G30" s="3"/>
      <c r="H30" s="3"/>
      <c r="I30" s="3"/>
      <c r="J30" s="3"/>
      <c r="K30" s="3"/>
      <c r="L30" s="3"/>
      <c r="M30" s="3"/>
    </row>
    <row r="31" spans="2:13" ht="15" customHeight="1" x14ac:dyDescent="0.25">
      <c r="B31" s="87" t="s">
        <v>694</v>
      </c>
      <c r="C31" s="87"/>
      <c r="D31" s="87"/>
      <c r="E31" s="87"/>
      <c r="F31" s="87"/>
      <c r="G31" s="87"/>
      <c r="H31" s="87"/>
      <c r="I31" s="87"/>
      <c r="K31" s="87"/>
      <c r="L31" s="291"/>
      <c r="M31" s="3"/>
    </row>
    <row r="32" spans="2:13" ht="15" customHeight="1" x14ac:dyDescent="0.25">
      <c r="B32" s="87" t="str">
        <f>"Passagem de ônibus de Campo Grande para "&amp;Listas!$D$17&amp;", em 28/08/25: R$ 35,00"</f>
        <v>Passagem de ônibus de Campo Grande para Ribas do Rio Pardo, em 28/08/25: R$ 35,00</v>
      </c>
      <c r="C32" s="87"/>
      <c r="D32" s="87"/>
      <c r="E32" s="87"/>
      <c r="F32" s="87"/>
      <c r="G32" s="87"/>
      <c r="H32" s="87"/>
      <c r="I32" s="89"/>
      <c r="K32" s="87"/>
      <c r="L32" s="87"/>
      <c r="M32" s="3"/>
    </row>
    <row r="33" spans="2:13" ht="15" customHeight="1" x14ac:dyDescent="0.25">
      <c r="B33" s="87"/>
      <c r="C33" s="87"/>
      <c r="D33" s="87"/>
      <c r="E33" s="87"/>
      <c r="F33" s="87"/>
      <c r="G33" s="87"/>
      <c r="H33" s="87"/>
      <c r="I33" s="89"/>
      <c r="K33" s="87"/>
      <c r="L33" s="87"/>
      <c r="M33" s="3"/>
    </row>
    <row r="34" spans="2:13" ht="15" customHeight="1" x14ac:dyDescent="0.25">
      <c r="B34" s="241" t="str">
        <f>"Segundo Decreto nº 16.536, de 26 de dezembro de 2024, os valores de diárias para "&amp;Listas!$D$17&amp;" são:"</f>
        <v>Segundo Decreto nº 16.536, de 26 de dezembro de 2024, os valores de diárias para Ribas do Rio Pardo são:</v>
      </c>
      <c r="C34" s="87"/>
      <c r="D34" s="87"/>
      <c r="E34" s="87"/>
      <c r="F34" s="87"/>
      <c r="G34" s="87"/>
      <c r="H34" s="87"/>
      <c r="I34" s="89"/>
      <c r="K34" s="87"/>
      <c r="L34" s="87"/>
      <c r="M34" s="3"/>
    </row>
    <row r="35" spans="2:13" ht="15" customHeight="1" x14ac:dyDescent="0.25">
      <c r="B35" s="242" t="str">
        <f>"Diária completa: R$ "&amp;Listas!$D$19&amp;",00"</f>
        <v>Diária completa: R$ 200,00</v>
      </c>
      <c r="C35" s="87"/>
      <c r="D35" s="87"/>
      <c r="E35" s="87"/>
      <c r="F35" s="87"/>
      <c r="G35" s="87"/>
      <c r="H35" s="87"/>
      <c r="I35" s="87"/>
      <c r="J35" s="87"/>
      <c r="K35" s="87"/>
      <c r="L35" s="87"/>
      <c r="M35" s="3"/>
    </row>
    <row r="36" spans="2:13" ht="15" customHeight="1" x14ac:dyDescent="0.25">
      <c r="B36" s="242" t="str">
        <f>"Diária de alimentação: R$ "&amp;Listas!$D$19/2&amp;",00"</f>
        <v>Diária de alimentação: R$ 100,00</v>
      </c>
      <c r="C36" s="87"/>
      <c r="D36" s="87"/>
      <c r="E36" s="87"/>
      <c r="F36" s="87"/>
      <c r="G36" s="87"/>
      <c r="H36" s="87"/>
      <c r="I36" s="87"/>
      <c r="J36" s="87"/>
      <c r="K36" s="87"/>
      <c r="L36" s="87"/>
      <c r="M36" s="3"/>
    </row>
    <row r="37" spans="2:13" ht="15" customHeight="1" x14ac:dyDescent="0.25">
      <c r="B37" s="242" t="str">
        <f>"Diária de hospedagem: R$ "&amp;Listas!$D$19/2&amp;",00"</f>
        <v>Diária de hospedagem: R$ 100,00</v>
      </c>
      <c r="C37" s="87"/>
      <c r="D37" s="87"/>
      <c r="E37" s="87"/>
      <c r="F37" s="87"/>
      <c r="G37" s="87"/>
      <c r="H37" s="87"/>
      <c r="I37" s="87"/>
      <c r="J37" s="87"/>
      <c r="K37" s="87"/>
      <c r="L37" s="87"/>
      <c r="M37" s="3"/>
    </row>
    <row r="38" spans="2:13" ht="9" customHeight="1" x14ac:dyDescent="0.25"/>
    <row r="39" spans="2:13" ht="15" hidden="1" customHeight="1" x14ac:dyDescent="0.25"/>
    <row r="40" spans="2:13" ht="15" hidden="1" customHeight="1" x14ac:dyDescent="0.25"/>
    <row r="41" spans="2:13" ht="15" hidden="1" customHeight="1" x14ac:dyDescent="0.25"/>
    <row r="42" spans="2:13" ht="15" hidden="1" customHeight="1" x14ac:dyDescent="0.25"/>
    <row r="43" spans="2:13" ht="15" hidden="1" customHeight="1" x14ac:dyDescent="0.25"/>
    <row r="44" spans="2:13" ht="15" hidden="1" customHeight="1" x14ac:dyDescent="0.25"/>
    <row r="45" spans="2:13" ht="15" hidden="1" customHeight="1" x14ac:dyDescent="0.25"/>
    <row r="46" spans="2:13" ht="15" hidden="1" customHeight="1" x14ac:dyDescent="0.25"/>
    <row r="47" spans="2:13" ht="15" hidden="1" customHeight="1" x14ac:dyDescent="0.25"/>
    <row r="48" spans="2:13" ht="15" hidden="1" customHeight="1" x14ac:dyDescent="0.25"/>
    <row r="49" ht="15" hidden="1" customHeight="1" x14ac:dyDescent="0.25"/>
    <row r="50" ht="15" hidden="1" customHeight="1" x14ac:dyDescent="0.25"/>
    <row r="51" ht="15" hidden="1" customHeight="1" x14ac:dyDescent="0.25"/>
    <row r="52" ht="15" hidden="1" customHeight="1" x14ac:dyDescent="0.25"/>
    <row r="53" ht="15" hidden="1" customHeight="1" x14ac:dyDescent="0.25"/>
    <row r="54" ht="15" hidden="1" customHeight="1" x14ac:dyDescent="0.25"/>
    <row r="55" ht="15" hidden="1" customHeight="1" x14ac:dyDescent="0.25"/>
    <row r="56" ht="15" hidden="1" customHeight="1" x14ac:dyDescent="0.25"/>
    <row r="57" ht="15" hidden="1" customHeight="1" x14ac:dyDescent="0.25"/>
    <row r="58" ht="15" hidden="1" customHeight="1" x14ac:dyDescent="0.25"/>
    <row r="59" ht="15" hidden="1" customHeight="1" x14ac:dyDescent="0.25"/>
    <row r="60" ht="15" hidden="1" customHeight="1" x14ac:dyDescent="0.25"/>
    <row r="61" ht="15" hidden="1" customHeight="1" x14ac:dyDescent="0.25"/>
    <row r="62" ht="15" hidden="1" customHeight="1" x14ac:dyDescent="0.25"/>
    <row r="63" ht="15" hidden="1" customHeight="1" x14ac:dyDescent="0.25"/>
    <row r="64" ht="15" hidden="1" customHeight="1" x14ac:dyDescent="0.25"/>
    <row r="65" spans="5:5" ht="15" hidden="1" customHeight="1" x14ac:dyDescent="0.25"/>
    <row r="66" spans="5:5" ht="15" hidden="1" customHeight="1" x14ac:dyDescent="0.25"/>
    <row r="67" spans="5:5" ht="15" hidden="1" customHeight="1" x14ac:dyDescent="0.25"/>
    <row r="68" spans="5:5" ht="15" hidden="1" customHeight="1" x14ac:dyDescent="0.25"/>
    <row r="69" spans="5:5" ht="15" hidden="1" customHeight="1" x14ac:dyDescent="0.25"/>
    <row r="70" spans="5:5" ht="15" hidden="1" customHeight="1" x14ac:dyDescent="0.25"/>
    <row r="71" spans="5:5" ht="15" hidden="1" customHeight="1" x14ac:dyDescent="0.25"/>
    <row r="72" spans="5:5" ht="15" hidden="1" customHeight="1" x14ac:dyDescent="0.25"/>
    <row r="73" spans="5:5" ht="15" hidden="1" customHeight="1" x14ac:dyDescent="0.25"/>
    <row r="74" spans="5:5" ht="15" customHeight="1" x14ac:dyDescent="0.25"/>
    <row r="75" spans="5:5" ht="15" customHeight="1" x14ac:dyDescent="0.25"/>
    <row r="76" spans="5:5" ht="15" customHeight="1" x14ac:dyDescent="0.25">
      <c r="E76" t="s">
        <v>1126</v>
      </c>
    </row>
    <row r="77" spans="5:5" ht="15" customHeight="1" x14ac:dyDescent="0.25"/>
    <row r="78" spans="5:5" ht="15" customHeight="1" x14ac:dyDescent="0.25"/>
    <row r="79" spans="5:5" ht="15" customHeight="1" x14ac:dyDescent="0.25"/>
    <row r="80" spans="5:5" ht="15" customHeight="1" x14ac:dyDescent="0.25"/>
    <row r="81" ht="15" customHeight="1" x14ac:dyDescent="0.25"/>
    <row r="82" ht="15" customHeight="1" x14ac:dyDescent="0.25"/>
    <row r="83" ht="15" customHeight="1" x14ac:dyDescent="0.25"/>
    <row r="84" ht="15" customHeight="1" x14ac:dyDescent="0.25"/>
    <row r="85" ht="15" customHeight="1" x14ac:dyDescent="0.25"/>
    <row r="86" ht="15" customHeight="1" x14ac:dyDescent="0.25"/>
    <row r="87" ht="15" customHeight="1" x14ac:dyDescent="0.25"/>
    <row r="88" ht="15" customHeight="1" x14ac:dyDescent="0.25"/>
  </sheetData>
  <mergeCells count="11">
    <mergeCell ref="C5:L5"/>
    <mergeCell ref="C21:D21"/>
    <mergeCell ref="B11:L11"/>
    <mergeCell ref="C23:D23"/>
    <mergeCell ref="C25:D25"/>
    <mergeCell ref="C18:D18"/>
    <mergeCell ref="B13:B14"/>
    <mergeCell ref="C13:D14"/>
    <mergeCell ref="E13:E14"/>
    <mergeCell ref="C16:D16"/>
    <mergeCell ref="C19:D19"/>
  </mergeCells>
  <printOptions horizontalCentered="1"/>
  <pageMargins left="0.78740157480314965" right="0.78740157480314965" top="0.39370078740157483" bottom="0.78740157480314965" header="0.19685039370078741" footer="0.19685039370078741"/>
  <pageSetup paperSize="9" scale="85" orientation="landscape" r:id="rId1"/>
  <headerFooter>
    <oddFooter xml:space="preserve">&amp;C&amp;10Av. Des. José Nunes da Cunha, Bloco 14, Parque dos Poderes, Campo Grande (MS), CEP 79031-310
PABX: (67) 3318-5300/ Gab: 5538 – Fax (67) 3318-5386 – gabinete@seinfra.ms.gov.br
</oddFooter>
  </headerFooter>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Planilha11">
    <pageSetUpPr fitToPage="1"/>
  </sheetPr>
  <dimension ref="A1:P88"/>
  <sheetViews>
    <sheetView showGridLines="0" view="pageBreakPreview" zoomScaleNormal="100" zoomScaleSheetLayoutView="100" workbookViewId="0">
      <selection activeCell="B30" sqref="B30"/>
    </sheetView>
  </sheetViews>
  <sheetFormatPr defaultColWidth="0" defaultRowHeight="15" customHeight="1" zeroHeight="1" x14ac:dyDescent="0.25"/>
  <cols>
    <col min="1" max="1" width="1.7109375" style="2" customWidth="1"/>
    <col min="2" max="2" width="9.85546875" style="2" bestFit="1" customWidth="1"/>
    <col min="3" max="3" width="7.28515625" style="2" customWidth="1"/>
    <col min="4" max="4" width="20.7109375" style="2" customWidth="1"/>
    <col min="5" max="5" width="8.7109375" style="2" customWidth="1"/>
    <col min="6" max="6" width="8.28515625" style="2" bestFit="1" customWidth="1"/>
    <col min="7" max="7" width="10.7109375" style="2" bestFit="1" customWidth="1"/>
    <col min="8" max="8" width="14.140625" style="2" bestFit="1" customWidth="1"/>
    <col min="9" max="9" width="12.140625" style="2" bestFit="1" customWidth="1"/>
    <col min="10" max="10" width="9.42578125" style="2" bestFit="1" customWidth="1"/>
    <col min="11" max="11" width="15.5703125" style="2" bestFit="1" customWidth="1"/>
    <col min="12" max="12" width="6.85546875" style="2" bestFit="1" customWidth="1"/>
    <col min="13" max="13" width="10.7109375" style="2" bestFit="1" customWidth="1"/>
    <col min="14" max="14" width="13.85546875" style="2" bestFit="1" customWidth="1"/>
    <col min="15" max="15" width="16.28515625" style="2" bestFit="1" customWidth="1"/>
    <col min="16" max="16" width="1.7109375" style="2" customWidth="1"/>
    <col min="17" max="16384" width="9.140625" style="2" hidden="1"/>
  </cols>
  <sheetData>
    <row r="1" spans="2:15" ht="9" customHeight="1" x14ac:dyDescent="0.25"/>
    <row r="2" spans="2:15" ht="34.5" customHeight="1" x14ac:dyDescent="0.25"/>
    <row r="3" spans="2:15" ht="15" customHeight="1" x14ac:dyDescent="0.25"/>
    <row r="4" spans="2:15" ht="15" customHeight="1" x14ac:dyDescent="0.25"/>
    <row r="5" spans="2:15" x14ac:dyDescent="0.25">
      <c r="B5" s="23" t="s">
        <v>0</v>
      </c>
      <c r="C5" s="459" t="str">
        <f>'Qd abrang'!C4</f>
        <v>Contratação de Projeto Executivo de Engenharia para Implantação do Aeródromo no município de Ribas do Rio Pardo</v>
      </c>
      <c r="D5" s="459"/>
      <c r="E5" s="459"/>
      <c r="F5" s="459"/>
      <c r="G5" s="459"/>
      <c r="H5" s="459"/>
      <c r="I5" s="459"/>
      <c r="J5" s="459"/>
      <c r="K5" s="459"/>
      <c r="L5" s="459"/>
      <c r="M5" s="459"/>
      <c r="N5" s="459"/>
      <c r="O5" s="459"/>
    </row>
    <row r="6" spans="2:15" x14ac:dyDescent="0.25">
      <c r="B6" s="5" t="s">
        <v>862</v>
      </c>
      <c r="C6" s="1" t="str">
        <f>'Qd abrang'!C5</f>
        <v>Ribas do Rio Pardo/MS</v>
      </c>
    </row>
    <row r="7" spans="2:15" x14ac:dyDescent="0.25">
      <c r="B7" s="5" t="s">
        <v>863</v>
      </c>
      <c r="C7" s="1">
        <f>'Qd abrang'!C6</f>
        <v>0</v>
      </c>
    </row>
    <row r="8" spans="2:15" x14ac:dyDescent="0.25">
      <c r="B8" s="5" t="s">
        <v>1</v>
      </c>
      <c r="C8" s="239">
        <f>'Qd abrang'!C7</f>
        <v>1.3</v>
      </c>
      <c r="D8" s="2" t="s">
        <v>3</v>
      </c>
      <c r="F8" s="340" t="s">
        <v>960</v>
      </c>
      <c r="G8" s="2" t="s">
        <v>1137</v>
      </c>
      <c r="N8" s="5" t="s">
        <v>16</v>
      </c>
      <c r="O8" s="6" t="str">
        <f>'Qd abrang'!N7</f>
        <v>79.009.850-2025</v>
      </c>
    </row>
    <row r="9" spans="2:15" x14ac:dyDescent="0.25">
      <c r="B9" s="5" t="s">
        <v>2</v>
      </c>
      <c r="C9" s="264">
        <f>'Qd abrang'!C8</f>
        <v>365</v>
      </c>
      <c r="D9" s="2" t="s">
        <v>4</v>
      </c>
      <c r="N9" s="5" t="s">
        <v>17</v>
      </c>
      <c r="O9" s="265">
        <f>'Qd abrang'!N8</f>
        <v>45748</v>
      </c>
    </row>
    <row r="10" spans="2:15" ht="15" customHeight="1" x14ac:dyDescent="0.25"/>
    <row r="11" spans="2:15" s="11" customFormat="1" ht="21" x14ac:dyDescent="0.25">
      <c r="B11" s="458" t="s">
        <v>25</v>
      </c>
      <c r="C11" s="458"/>
      <c r="D11" s="458"/>
      <c r="E11" s="458"/>
      <c r="F11" s="458"/>
      <c r="G11" s="458"/>
      <c r="H11" s="458"/>
      <c r="I11" s="458"/>
      <c r="J11" s="458"/>
      <c r="K11" s="458"/>
      <c r="L11" s="458"/>
      <c r="M11" s="458"/>
      <c r="N11" s="458"/>
      <c r="O11" s="458"/>
    </row>
    <row r="12" spans="2:15" ht="15" customHeight="1" x14ac:dyDescent="0.25"/>
    <row r="13" spans="2:15" ht="45" customHeight="1" x14ac:dyDescent="0.25">
      <c r="B13" s="473" t="s">
        <v>29</v>
      </c>
      <c r="C13" s="478" t="s">
        <v>15</v>
      </c>
      <c r="D13" s="479"/>
      <c r="E13" s="473" t="s">
        <v>390</v>
      </c>
      <c r="F13" s="120" t="s">
        <v>202</v>
      </c>
      <c r="G13" s="120" t="s">
        <v>510</v>
      </c>
      <c r="H13" s="120" t="s">
        <v>511</v>
      </c>
      <c r="I13" s="120" t="s">
        <v>512</v>
      </c>
      <c r="J13" s="120" t="s">
        <v>495</v>
      </c>
      <c r="K13" s="120" t="s">
        <v>513</v>
      </c>
      <c r="L13" s="120" t="s">
        <v>224</v>
      </c>
      <c r="M13" s="120" t="s">
        <v>496</v>
      </c>
      <c r="N13" s="120" t="s">
        <v>514</v>
      </c>
      <c r="O13" s="120" t="s">
        <v>396</v>
      </c>
    </row>
    <row r="14" spans="2:15" ht="15" customHeight="1" x14ac:dyDescent="0.25">
      <c r="B14" s="473"/>
      <c r="C14" s="478"/>
      <c r="D14" s="479"/>
      <c r="E14" s="473"/>
      <c r="F14" s="120" t="s">
        <v>363</v>
      </c>
      <c r="G14" s="120" t="s">
        <v>330</v>
      </c>
      <c r="H14" s="120" t="s">
        <v>331</v>
      </c>
      <c r="I14" s="120" t="s">
        <v>464</v>
      </c>
      <c r="J14" s="120" t="s">
        <v>333</v>
      </c>
      <c r="K14" s="120" t="s">
        <v>1030</v>
      </c>
      <c r="L14" s="120" t="s">
        <v>497</v>
      </c>
      <c r="M14" s="120" t="s">
        <v>498</v>
      </c>
      <c r="N14" s="120" t="s">
        <v>499</v>
      </c>
      <c r="O14" s="120" t="s">
        <v>500</v>
      </c>
    </row>
    <row r="15" spans="2:15" ht="15" customHeight="1" x14ac:dyDescent="0.25">
      <c r="B15" s="327" t="str">
        <f>'Diárias + passagens'!B15</f>
        <v>COORDENAÇÃO DO PROJETO</v>
      </c>
      <c r="C15" s="12"/>
      <c r="D15" s="12"/>
      <c r="E15" s="12"/>
      <c r="F15" s="12"/>
      <c r="G15" s="12"/>
      <c r="H15" s="12"/>
      <c r="I15" s="12"/>
      <c r="J15" s="12"/>
      <c r="K15" s="12"/>
      <c r="L15" s="12"/>
      <c r="M15" s="12"/>
      <c r="N15" s="12"/>
      <c r="O15" s="47">
        <f>O16</f>
        <v>400</v>
      </c>
    </row>
    <row r="16" spans="2:15" ht="15" customHeight="1" x14ac:dyDescent="0.25">
      <c r="B16" s="111" t="str">
        <f>'Diárias + passagens'!B16</f>
        <v>P8061</v>
      </c>
      <c r="C16" s="500" t="str">
        <f t="shared" ref="C16" ca="1" si="0">IFERROR(VLOOKUP(B16,MO_Matriz,2,0),"")</f>
        <v>Engenheiro coordenador</v>
      </c>
      <c r="D16" s="501" t="str">
        <f t="shared" ref="D16" ca="1" si="1">IFERROR(VLOOKUP(C16,MO_Matriz,2,0),"")</f>
        <v/>
      </c>
      <c r="E16" s="122" t="str">
        <f ca="1">IFERROR(VLOOKUP(B16,MO_Matriz,3,0),"")</f>
        <v>S</v>
      </c>
      <c r="F16" s="88">
        <f>'Memo calc'!H1210</f>
        <v>1</v>
      </c>
      <c r="G16" s="88">
        <v>0</v>
      </c>
      <c r="H16" s="80">
        <f>'Memo calc'!H1237</f>
        <v>400</v>
      </c>
      <c r="I16" s="80">
        <f>G16+H16</f>
        <v>400</v>
      </c>
      <c r="J16" s="80">
        <v>1</v>
      </c>
      <c r="K16" s="80">
        <f>F16*I16*J16</f>
        <v>400</v>
      </c>
      <c r="L16" s="80">
        <f>2</f>
        <v>2</v>
      </c>
      <c r="M16" s="80">
        <f>INT(L16/30)</f>
        <v>0</v>
      </c>
      <c r="N16" s="80">
        <f>2*F16*I16*M16</f>
        <v>0</v>
      </c>
      <c r="O16" s="80">
        <f>TRUNC(K16+N16,2)</f>
        <v>400</v>
      </c>
    </row>
    <row r="17" spans="2:15" ht="15" customHeight="1" x14ac:dyDescent="0.25">
      <c r="B17" s="325" t="str">
        <f>'Diárias + passagens'!B17</f>
        <v>ADMINISTRAÇÃO DE CAMPO</v>
      </c>
      <c r="C17" s="12"/>
      <c r="D17" s="12"/>
      <c r="E17" s="12"/>
      <c r="F17" s="12"/>
      <c r="G17" s="12"/>
      <c r="H17" s="12"/>
      <c r="I17" s="12"/>
      <c r="J17" s="12"/>
      <c r="K17" s="12"/>
      <c r="L17" s="12"/>
      <c r="M17" s="12"/>
      <c r="N17" s="12"/>
      <c r="O17" s="47">
        <f>SUM(O18:O19)</f>
        <v>914.28</v>
      </c>
    </row>
    <row r="18" spans="2:15" ht="15" customHeight="1" x14ac:dyDescent="0.25">
      <c r="B18" s="111" t="str">
        <f>'Diárias + passagens'!B18</f>
        <v>P8061</v>
      </c>
      <c r="C18" s="500" t="str">
        <f t="shared" ref="C18" ca="1" si="2">IFERROR(VLOOKUP(B18,MO_Matriz,2,0),"")</f>
        <v>Engenheiro coordenador</v>
      </c>
      <c r="D18" s="501" t="str">
        <f t="shared" ref="D18" ca="1" si="3">IFERROR(VLOOKUP(C18,MO_Matriz,2,0),"")</f>
        <v/>
      </c>
      <c r="E18" s="122" t="str">
        <f ca="1">IFERROR(VLOOKUP(B18,MO_Matriz,3,0),"")</f>
        <v>S</v>
      </c>
      <c r="F18" s="88">
        <f>'Memo calc'!H656</f>
        <v>1</v>
      </c>
      <c r="G18" s="88">
        <v>0</v>
      </c>
      <c r="H18" s="80">
        <f>'Memo calc'!H695</f>
        <v>457.14285714285711</v>
      </c>
      <c r="I18" s="80">
        <f>G18+H18</f>
        <v>457.14285714285711</v>
      </c>
      <c r="J18" s="80">
        <v>1</v>
      </c>
      <c r="K18" s="80">
        <f>F18*I18*J18</f>
        <v>457.14285714285711</v>
      </c>
      <c r="L18" s="80">
        <f>L16</f>
        <v>2</v>
      </c>
      <c r="M18" s="80">
        <f>INT(L18/30)</f>
        <v>0</v>
      </c>
      <c r="N18" s="80">
        <f>2*F18*I18*M18</f>
        <v>0</v>
      </c>
      <c r="O18" s="80">
        <f>TRUNC(K18+N18,2)</f>
        <v>457.14</v>
      </c>
    </row>
    <row r="19" spans="2:15" ht="15" customHeight="1" x14ac:dyDescent="0.25">
      <c r="B19" s="111" t="str">
        <f>'Diárias + passagens'!B19</f>
        <v>P8147</v>
      </c>
      <c r="C19" s="500" t="str">
        <f t="shared" ref="C19" ca="1" si="4">IFERROR(VLOOKUP(B19,MO_Matriz,2,0),"")</f>
        <v>Técnico de obras</v>
      </c>
      <c r="D19" s="501" t="str">
        <f t="shared" ref="D19" ca="1" si="5">IFERROR(VLOOKUP(C19,MO_Matriz,2,0),"")</f>
        <v/>
      </c>
      <c r="E19" s="122" t="str">
        <f ca="1">IFERROR(VLOOKUP(B19,MO_Matriz,3,0),"")</f>
        <v>T</v>
      </c>
      <c r="F19" s="88">
        <f>'Memo calc'!H657</f>
        <v>1</v>
      </c>
      <c r="G19" s="88">
        <v>0</v>
      </c>
      <c r="H19" s="80">
        <f>'Memo calc'!H696</f>
        <v>457.14285714285711</v>
      </c>
      <c r="I19" s="80">
        <f>G19+H19</f>
        <v>457.14285714285711</v>
      </c>
      <c r="J19" s="80">
        <v>1</v>
      </c>
      <c r="K19" s="80">
        <f>F19*I19*J19</f>
        <v>457.14285714285711</v>
      </c>
      <c r="L19" s="80">
        <f>L18</f>
        <v>2</v>
      </c>
      <c r="M19" s="80">
        <f>INT(L19/30)</f>
        <v>0</v>
      </c>
      <c r="N19" s="80">
        <f>2*F19*I19*M19</f>
        <v>0</v>
      </c>
      <c r="O19" s="80">
        <f>TRUNC(K19+N19,2)</f>
        <v>457.14</v>
      </c>
    </row>
    <row r="20" spans="2:15" ht="15" customHeight="1" x14ac:dyDescent="0.25">
      <c r="B20" s="232" t="str">
        <f>'Diárias + passagens'!B20</f>
        <v>COMPONENTE AMBIENTAL DO PROJETO: INVESTIGAÇÃO DE CAMPO</v>
      </c>
      <c r="C20" s="12"/>
      <c r="D20" s="12"/>
      <c r="E20" s="12"/>
      <c r="F20" s="12"/>
      <c r="G20" s="12"/>
      <c r="H20" s="12"/>
      <c r="I20" s="12"/>
      <c r="J20" s="12"/>
      <c r="K20" s="12"/>
      <c r="L20" s="12"/>
      <c r="M20" s="12"/>
      <c r="N20" s="12"/>
      <c r="O20" s="47">
        <f>SUM(O21:O21)</f>
        <v>300</v>
      </c>
    </row>
    <row r="21" spans="2:15" ht="15" customHeight="1" x14ac:dyDescent="0.25">
      <c r="B21" s="111" t="str">
        <f>'Diárias + passagens'!B21</f>
        <v>P8058</v>
      </c>
      <c r="C21" s="500" t="str">
        <f t="shared" ref="C21:D21" ca="1" si="6">IFERROR(VLOOKUP(B21,MO_Matriz,2,0),"")</f>
        <v>Engenheiro ambiental pleno</v>
      </c>
      <c r="D21" s="501" t="str">
        <f t="shared" ca="1" si="6"/>
        <v/>
      </c>
      <c r="E21" s="22" t="str">
        <f ca="1">IFERROR(VLOOKUP(B21,MO_Matriz,3,0),"")</f>
        <v>S</v>
      </c>
      <c r="F21" s="88">
        <f>'Memo calc'!J80</f>
        <v>1</v>
      </c>
      <c r="G21" s="88">
        <v>0</v>
      </c>
      <c r="H21" s="80">
        <f>'Memo calc'!H112</f>
        <v>300</v>
      </c>
      <c r="I21" s="80">
        <f>G21+H21</f>
        <v>300</v>
      </c>
      <c r="J21" s="80">
        <v>1</v>
      </c>
      <c r="K21" s="80">
        <f>F21*I21*J21</f>
        <v>300</v>
      </c>
      <c r="L21" s="80">
        <f>L16</f>
        <v>2</v>
      </c>
      <c r="M21" s="80">
        <f>INT(L21/30)</f>
        <v>0</v>
      </c>
      <c r="N21" s="80">
        <f>2*F21*I21*M21</f>
        <v>0</v>
      </c>
      <c r="O21" s="80">
        <f>TRUNC(K21+N21,2)</f>
        <v>300</v>
      </c>
    </row>
    <row r="22" spans="2:15" ht="15" customHeight="1" x14ac:dyDescent="0.25">
      <c r="B22" s="299" t="str">
        <f>'Diárias + passagens'!B22</f>
        <v>ESTUDOS TOPOGRÁFICOS: SERVIÇOS DE CAMPO</v>
      </c>
      <c r="C22" s="12"/>
      <c r="D22" s="12"/>
      <c r="E22" s="12"/>
      <c r="F22" s="12"/>
      <c r="G22" s="12"/>
      <c r="H22" s="12"/>
      <c r="I22" s="12"/>
      <c r="J22" s="12"/>
      <c r="K22" s="12"/>
      <c r="L22" s="12"/>
      <c r="M22" s="12"/>
      <c r="N22" s="12"/>
      <c r="O22" s="47">
        <f>SUM(O23:O23)</f>
        <v>300</v>
      </c>
    </row>
    <row r="23" spans="2:15" ht="15" customHeight="1" x14ac:dyDescent="0.25">
      <c r="B23" s="111" t="str">
        <f>'Diárias + passagens'!B23</f>
        <v>P8163</v>
      </c>
      <c r="C23" s="500" t="str">
        <f t="shared" ref="C23:D23" ca="1" si="7">IFERROR(VLOOKUP(B23,MO_Matriz,2,0),"")</f>
        <v>Topógrafo</v>
      </c>
      <c r="D23" s="501" t="str">
        <f t="shared" ca="1" si="7"/>
        <v/>
      </c>
      <c r="E23" s="122" t="str">
        <f ca="1">IFERROR(VLOOKUP(B23,MO_Matriz,3,0),"")</f>
        <v>T</v>
      </c>
      <c r="F23" s="88">
        <f>'Memo calc'!J332</f>
        <v>1</v>
      </c>
      <c r="G23" s="88">
        <v>0</v>
      </c>
      <c r="H23" s="80">
        <f>'Memo calc'!H366</f>
        <v>300</v>
      </c>
      <c r="I23" s="80">
        <f>G23+H23</f>
        <v>300</v>
      </c>
      <c r="J23" s="80">
        <v>1</v>
      </c>
      <c r="K23" s="80">
        <f>F23*I23*J23</f>
        <v>300</v>
      </c>
      <c r="L23" s="80">
        <f>L16</f>
        <v>2</v>
      </c>
      <c r="M23" s="80">
        <f>INT(L23/30)</f>
        <v>0</v>
      </c>
      <c r="N23" s="80">
        <f>2*F23*I23*M23</f>
        <v>0</v>
      </c>
      <c r="O23" s="80">
        <f>TRUNC(K23+N23,2)</f>
        <v>300</v>
      </c>
    </row>
    <row r="24" spans="2:15" ht="15" customHeight="1" x14ac:dyDescent="0.25">
      <c r="B24" s="299" t="str">
        <f>'Diárias + passagens'!B24</f>
        <v>ESTUDOS GEOTÉCNICOS: SONDAGENS SUBLEITO, CORTES, CAIXAS DE EMPRÉSTIMO E JAZIDAS DE SOLO</v>
      </c>
      <c r="C24" s="12"/>
      <c r="D24" s="12"/>
      <c r="E24" s="12"/>
      <c r="F24" s="12"/>
      <c r="G24" s="12"/>
      <c r="H24" s="12"/>
      <c r="I24" s="12"/>
      <c r="J24" s="12"/>
      <c r="K24" s="12"/>
      <c r="L24" s="12"/>
      <c r="M24" s="12"/>
      <c r="N24" s="12"/>
      <c r="O24" s="47">
        <f>SUM(O25:O25)</f>
        <v>500</v>
      </c>
    </row>
    <row r="25" spans="2:15" ht="15" customHeight="1" x14ac:dyDescent="0.25">
      <c r="B25" s="111" t="str">
        <f>'Diárias + passagens'!B25</f>
        <v>P8139</v>
      </c>
      <c r="C25" s="500" t="str">
        <f t="shared" ref="C25:D25" ca="1" si="8">IFERROR(VLOOKUP(B25,MO_Matriz,2,0),"")</f>
        <v>Sondador</v>
      </c>
      <c r="D25" s="501" t="str">
        <f t="shared" ca="1" si="8"/>
        <v/>
      </c>
      <c r="E25" s="122" t="str">
        <f ca="1">IFERROR(VLOOKUP(B25,MO_Matriz,3,0),"")</f>
        <v>T</v>
      </c>
      <c r="F25" s="88">
        <f>'Memo calc'!J462</f>
        <v>1</v>
      </c>
      <c r="G25" s="88">
        <v>0</v>
      </c>
      <c r="H25" s="80">
        <f>'Memo calc'!H501</f>
        <v>500</v>
      </c>
      <c r="I25" s="80">
        <f>G25+H25</f>
        <v>500</v>
      </c>
      <c r="J25" s="80">
        <v>1</v>
      </c>
      <c r="K25" s="80">
        <f>F25*I25*J25</f>
        <v>500</v>
      </c>
      <c r="L25" s="80">
        <f>L16</f>
        <v>2</v>
      </c>
      <c r="M25" s="80">
        <f>INT(L25/30)</f>
        <v>0</v>
      </c>
      <c r="N25" s="80">
        <f>2*F25*I25*M25</f>
        <v>0</v>
      </c>
      <c r="O25" s="80">
        <f>TRUNC(K25+N25,2)</f>
        <v>500</v>
      </c>
    </row>
    <row r="26" spans="2:15" s="84" customFormat="1" ht="15" customHeight="1" x14ac:dyDescent="0.25">
      <c r="B26" s="126"/>
      <c r="C26" s="125"/>
      <c r="D26" s="125"/>
      <c r="E26" s="125"/>
      <c r="F26" s="125"/>
      <c r="G26" s="125"/>
      <c r="H26" s="125"/>
      <c r="I26" s="125"/>
      <c r="J26" s="125"/>
      <c r="K26" s="125"/>
      <c r="L26" s="125"/>
      <c r="M26" s="125"/>
      <c r="N26" s="136" t="s">
        <v>695</v>
      </c>
      <c r="O26" s="77">
        <f>O15+O17+O20+O22+O24</f>
        <v>2414.2799999999997</v>
      </c>
    </row>
    <row r="27" spans="2:15" ht="15" customHeight="1" x14ac:dyDescent="0.25">
      <c r="B27" s="68" t="s">
        <v>587</v>
      </c>
      <c r="C27" s="3"/>
      <c r="D27" s="3"/>
      <c r="E27" s="3"/>
      <c r="F27" s="3"/>
      <c r="G27" s="3"/>
      <c r="H27" s="3"/>
      <c r="I27" s="3"/>
      <c r="J27" s="3"/>
      <c r="K27" s="3"/>
      <c r="L27" s="3"/>
    </row>
    <row r="28" spans="2:15" ht="15" customHeight="1" x14ac:dyDescent="0.25">
      <c r="B28" s="87" t="s">
        <v>694</v>
      </c>
      <c r="C28" s="87"/>
      <c r="D28" s="87"/>
      <c r="E28" s="87"/>
      <c r="F28" s="87"/>
      <c r="G28" s="87"/>
      <c r="H28" s="87"/>
      <c r="K28" s="87"/>
    </row>
    <row r="29" spans="2:15" ht="15" customHeight="1" x14ac:dyDescent="0.25">
      <c r="B29" s="87" t="str">
        <f>"Passagem de ônibus de Campo Grande para "&amp;Listas!$D$17&amp;", em 28/08/25: R$ 35,00"</f>
        <v>Passagem de ônibus de Campo Grande para Ribas do Rio Pardo, em 28/08/25: R$ 35,00</v>
      </c>
      <c r="C29" s="87"/>
      <c r="D29" s="87"/>
      <c r="E29" s="87"/>
      <c r="F29" s="87"/>
      <c r="G29" s="87"/>
      <c r="H29" s="87"/>
      <c r="K29" s="89"/>
    </row>
    <row r="30" spans="2:15" ht="15" customHeight="1" x14ac:dyDescent="0.25">
      <c r="B30" s="87"/>
      <c r="C30" s="87"/>
      <c r="D30" s="87"/>
      <c r="E30" s="87"/>
      <c r="F30" s="87"/>
      <c r="G30" s="87"/>
      <c r="H30" s="87"/>
      <c r="K30" s="89"/>
    </row>
    <row r="31" spans="2:15" ht="15" customHeight="1" x14ac:dyDescent="0.25">
      <c r="B31" s="241" t="str">
        <f>"Segundo Decreto nº 16.536, de 26 de dezembro de 2024, os valores de diárias para "&amp;Listas!$D$17&amp;" são:"</f>
        <v>Segundo Decreto nº 16.536, de 26 de dezembro de 2024, os valores de diárias para Ribas do Rio Pardo são:</v>
      </c>
      <c r="C31" s="87"/>
      <c r="D31" s="87"/>
      <c r="E31" s="87"/>
      <c r="F31" s="87"/>
      <c r="G31" s="87"/>
      <c r="H31" s="87"/>
      <c r="K31" s="89"/>
    </row>
    <row r="32" spans="2:15" ht="15" customHeight="1" x14ac:dyDescent="0.25">
      <c r="B32" s="242" t="str">
        <f>"Diária completa: R$ "&amp;Listas!$D$19&amp;",00"</f>
        <v>Diária completa: R$ 200,00</v>
      </c>
      <c r="C32" s="87"/>
      <c r="D32" s="87"/>
      <c r="E32" s="87"/>
      <c r="F32" s="87"/>
      <c r="G32" s="87"/>
      <c r="H32" s="87"/>
      <c r="I32" s="87"/>
      <c r="J32" s="87"/>
      <c r="K32" s="87"/>
      <c r="L32" s="87"/>
    </row>
    <row r="33" spans="2:12" ht="15" customHeight="1" x14ac:dyDescent="0.25">
      <c r="B33" s="242" t="str">
        <f>"Diária de alimentação: R$ "&amp;Listas!$D$19/2&amp;",00"</f>
        <v>Diária de alimentação: R$ 100,00</v>
      </c>
      <c r="C33" s="87"/>
      <c r="D33" s="87"/>
      <c r="E33" s="87"/>
      <c r="F33" s="87"/>
      <c r="G33" s="87"/>
      <c r="H33" s="87"/>
      <c r="I33" s="87"/>
      <c r="J33" s="87"/>
      <c r="K33" s="87"/>
      <c r="L33" s="87"/>
    </row>
    <row r="34" spans="2:12" ht="15" customHeight="1" x14ac:dyDescent="0.25">
      <c r="B34" s="242" t="str">
        <f>"Diária de hospedagem: R$ "&amp;Listas!$D$19/2&amp;",00"</f>
        <v>Diária de hospedagem: R$ 100,00</v>
      </c>
      <c r="C34" s="87"/>
      <c r="D34" s="87"/>
      <c r="E34" s="87"/>
      <c r="F34" s="87"/>
      <c r="G34" s="87"/>
      <c r="H34" s="87"/>
      <c r="I34" s="87"/>
      <c r="J34" s="87"/>
      <c r="K34" s="87"/>
      <c r="L34" s="87"/>
    </row>
    <row r="35" spans="2:12" ht="9" customHeight="1" x14ac:dyDescent="0.25"/>
    <row r="36" spans="2:12" ht="15" hidden="1" customHeight="1" x14ac:dyDescent="0.25"/>
    <row r="37" spans="2:12" ht="15" hidden="1" customHeight="1" x14ac:dyDescent="0.25"/>
    <row r="38" spans="2:12" ht="15" hidden="1" customHeight="1" x14ac:dyDescent="0.25"/>
    <row r="39" spans="2:12" ht="15" hidden="1" customHeight="1" x14ac:dyDescent="0.25"/>
    <row r="40" spans="2:12" ht="15" hidden="1" customHeight="1" x14ac:dyDescent="0.25"/>
    <row r="41" spans="2:12" ht="15" hidden="1" customHeight="1" x14ac:dyDescent="0.25"/>
    <row r="42" spans="2:12" ht="15" hidden="1" customHeight="1" x14ac:dyDescent="0.25"/>
    <row r="43" spans="2:12" ht="15" hidden="1" customHeight="1" x14ac:dyDescent="0.25"/>
    <row r="44" spans="2:12" ht="15" hidden="1" customHeight="1" x14ac:dyDescent="0.25"/>
    <row r="45" spans="2:12" ht="15" hidden="1" customHeight="1" x14ac:dyDescent="0.25"/>
    <row r="46" spans="2:12" ht="15" hidden="1" customHeight="1" x14ac:dyDescent="0.25"/>
    <row r="47" spans="2:12" ht="15" hidden="1" customHeight="1" x14ac:dyDescent="0.25"/>
    <row r="48" spans="2:12" ht="15" hidden="1" customHeight="1" x14ac:dyDescent="0.25"/>
    <row r="49" ht="15" hidden="1" customHeight="1" x14ac:dyDescent="0.25"/>
    <row r="50" ht="15" hidden="1" customHeight="1" x14ac:dyDescent="0.25"/>
    <row r="51" ht="15" hidden="1" customHeight="1" x14ac:dyDescent="0.25"/>
    <row r="52" ht="15" hidden="1" customHeight="1" x14ac:dyDescent="0.25"/>
    <row r="53" ht="15" hidden="1" customHeight="1" x14ac:dyDescent="0.25"/>
    <row r="54" ht="15" hidden="1" customHeight="1" x14ac:dyDescent="0.25"/>
    <row r="55" ht="15" hidden="1" customHeight="1" x14ac:dyDescent="0.25"/>
    <row r="56" ht="15" hidden="1" customHeight="1" x14ac:dyDescent="0.25"/>
    <row r="57" ht="15" hidden="1" customHeight="1" x14ac:dyDescent="0.25"/>
    <row r="58" ht="15" hidden="1" customHeight="1" x14ac:dyDescent="0.25"/>
    <row r="59" ht="15" hidden="1" customHeight="1" x14ac:dyDescent="0.25"/>
    <row r="60" ht="15" hidden="1" customHeight="1" x14ac:dyDescent="0.25"/>
    <row r="61" ht="15" hidden="1" customHeight="1" x14ac:dyDescent="0.25"/>
    <row r="62" ht="15" hidden="1" customHeight="1" x14ac:dyDescent="0.25"/>
    <row r="63" ht="15" hidden="1" customHeight="1" x14ac:dyDescent="0.25"/>
    <row r="64" ht="15" hidden="1" customHeight="1" x14ac:dyDescent="0.25"/>
    <row r="65" ht="15" hidden="1" customHeight="1" x14ac:dyDescent="0.25"/>
    <row r="66" ht="15" hidden="1" customHeight="1" x14ac:dyDescent="0.25"/>
    <row r="67" ht="15" hidden="1" customHeight="1" x14ac:dyDescent="0.25"/>
    <row r="68" ht="15" hidden="1" customHeight="1" x14ac:dyDescent="0.25"/>
    <row r="69" ht="15" hidden="1" customHeight="1" x14ac:dyDescent="0.25"/>
    <row r="70" ht="15" hidden="1" customHeight="1" x14ac:dyDescent="0.25"/>
    <row r="71" ht="15" customHeight="1" x14ac:dyDescent="0.25"/>
    <row r="72" ht="15" customHeight="1" x14ac:dyDescent="0.25"/>
    <row r="73" ht="15" customHeight="1" x14ac:dyDescent="0.25"/>
    <row r="74" ht="15" customHeight="1" x14ac:dyDescent="0.25"/>
    <row r="75" ht="15" customHeight="1" x14ac:dyDescent="0.25"/>
    <row r="76" ht="15" customHeight="1" x14ac:dyDescent="0.25"/>
    <row r="77" ht="15" customHeight="1" x14ac:dyDescent="0.25"/>
    <row r="78" ht="15" customHeight="1" x14ac:dyDescent="0.25"/>
    <row r="79" ht="15" customHeight="1" x14ac:dyDescent="0.25"/>
    <row r="80" ht="15" customHeight="1" x14ac:dyDescent="0.25"/>
    <row r="81" ht="15" customHeight="1" x14ac:dyDescent="0.25"/>
    <row r="82" ht="15" customHeight="1" x14ac:dyDescent="0.25"/>
    <row r="83" ht="15" customHeight="1" x14ac:dyDescent="0.25"/>
    <row r="84" ht="15" customHeight="1" x14ac:dyDescent="0.25"/>
    <row r="85" ht="15" customHeight="1" x14ac:dyDescent="0.25"/>
    <row r="86" ht="15" customHeight="1" x14ac:dyDescent="0.25"/>
    <row r="87" ht="15" customHeight="1" x14ac:dyDescent="0.25"/>
    <row r="88" ht="15" customHeight="1" x14ac:dyDescent="0.25"/>
  </sheetData>
  <mergeCells count="11">
    <mergeCell ref="C23:D23"/>
    <mergeCell ref="C21:D21"/>
    <mergeCell ref="C25:D25"/>
    <mergeCell ref="C5:O5"/>
    <mergeCell ref="B13:B14"/>
    <mergeCell ref="C13:D14"/>
    <mergeCell ref="E13:E14"/>
    <mergeCell ref="B11:O11"/>
    <mergeCell ref="C18:D18"/>
    <mergeCell ref="C19:D19"/>
    <mergeCell ref="C16:D16"/>
  </mergeCells>
  <printOptions horizontalCentered="1"/>
  <pageMargins left="0.78740157480314965" right="0.78740157480314965" top="0.39370078740157483" bottom="0.78740157480314965" header="0.19685039370078741" footer="0.19685039370078741"/>
  <pageSetup paperSize="9" scale="76" fitToHeight="0" orientation="landscape" r:id="rId1"/>
  <headerFooter>
    <oddFooter xml:space="preserve">&amp;C&amp;10Av. Des. José Nunes da Cunha, Bloco 14, Parque dos Poderes, Campo Grande (MS), CEP 79031-310
PABX: (67) 3318-5300/ Gab: 5538 – Fax (67) 3318-5386 – gabinete@seinfra.ms.gov.br
</oddFooter>
  </headerFooter>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Planilha12">
    <pageSetUpPr fitToPage="1"/>
  </sheetPr>
  <dimension ref="A1:R64"/>
  <sheetViews>
    <sheetView showGridLines="0" view="pageBreakPreview" zoomScale="85" zoomScaleNormal="100" zoomScaleSheetLayoutView="85" workbookViewId="0">
      <selection activeCell="Q23" sqref="Q23"/>
    </sheetView>
  </sheetViews>
  <sheetFormatPr defaultColWidth="0" defaultRowHeight="15" customHeight="1" zeroHeight="1" x14ac:dyDescent="0.25"/>
  <cols>
    <col min="1" max="1" width="1.7109375" style="2" customWidth="1"/>
    <col min="2" max="2" width="9.85546875" style="2" bestFit="1" customWidth="1"/>
    <col min="3" max="3" width="7.28515625" style="2" customWidth="1"/>
    <col min="4" max="4" width="42.7109375" style="2" customWidth="1"/>
    <col min="5" max="5" width="8" style="2" bestFit="1" customWidth="1"/>
    <col min="6" max="6" width="10.5703125" style="2" customWidth="1"/>
    <col min="7" max="7" width="13.5703125" style="2" bestFit="1" customWidth="1"/>
    <col min="8" max="8" width="11.140625" style="2" bestFit="1" customWidth="1"/>
    <col min="9" max="10" width="5.7109375" style="2" customWidth="1"/>
    <col min="11" max="11" width="7.7109375" style="2" customWidth="1"/>
    <col min="12" max="12" width="12.28515625" style="2" bestFit="1" customWidth="1"/>
    <col min="13" max="13" width="11.7109375" style="2" customWidth="1"/>
    <col min="14" max="14" width="9.5703125" style="2" bestFit="1" customWidth="1"/>
    <col min="15" max="15" width="8.140625" style="2" bestFit="1" customWidth="1"/>
    <col min="16" max="16" width="10.7109375" style="2" bestFit="1" customWidth="1"/>
    <col min="17" max="17" width="16.28515625" style="2" bestFit="1" customWidth="1"/>
    <col min="18" max="18" width="1.7109375" style="2" customWidth="1"/>
    <col min="19" max="16384" width="9.140625" style="2" hidden="1"/>
  </cols>
  <sheetData>
    <row r="1" spans="2:17" ht="9" customHeight="1" x14ac:dyDescent="0.25"/>
    <row r="2" spans="2:17" ht="34.5" customHeight="1" x14ac:dyDescent="0.25"/>
    <row r="3" spans="2:17" ht="15" customHeight="1" x14ac:dyDescent="0.25"/>
    <row r="4" spans="2:17" ht="15" customHeight="1" x14ac:dyDescent="0.25"/>
    <row r="5" spans="2:17" x14ac:dyDescent="0.25">
      <c r="B5" s="23" t="s">
        <v>0</v>
      </c>
      <c r="C5" s="459" t="str">
        <f>'Qd abrang'!C4</f>
        <v>Contratação de Projeto Executivo de Engenharia para Implantação do Aeródromo no município de Ribas do Rio Pardo</v>
      </c>
      <c r="D5" s="459"/>
      <c r="E5" s="459"/>
      <c r="F5" s="459"/>
      <c r="G5" s="459"/>
      <c r="H5" s="459"/>
      <c r="I5" s="459"/>
      <c r="J5" s="459"/>
      <c r="K5" s="459"/>
      <c r="L5" s="459"/>
      <c r="M5" s="459"/>
      <c r="N5" s="459"/>
      <c r="O5" s="459"/>
      <c r="P5" s="459"/>
      <c r="Q5" s="459"/>
    </row>
    <row r="6" spans="2:17" x14ac:dyDescent="0.25">
      <c r="B6" s="5" t="s">
        <v>862</v>
      </c>
      <c r="C6" s="1" t="str">
        <f>'Qd abrang'!C5</f>
        <v>Ribas do Rio Pardo/MS</v>
      </c>
    </row>
    <row r="7" spans="2:17" x14ac:dyDescent="0.25">
      <c r="B7" s="5" t="s">
        <v>863</v>
      </c>
      <c r="C7" s="1">
        <f>'Qd abrang'!C6</f>
        <v>0</v>
      </c>
    </row>
    <row r="8" spans="2:17" x14ac:dyDescent="0.25">
      <c r="B8" s="5" t="s">
        <v>1</v>
      </c>
      <c r="C8" s="239">
        <f>'Qd abrang'!C7</f>
        <v>1.3</v>
      </c>
      <c r="D8" s="2" t="s">
        <v>3</v>
      </c>
      <c r="E8" s="340" t="s">
        <v>960</v>
      </c>
      <c r="F8" s="2" t="s">
        <v>1137</v>
      </c>
      <c r="P8" s="5" t="s">
        <v>16</v>
      </c>
      <c r="Q8" s="6" t="str">
        <f>'Qd abrang'!N7</f>
        <v>79.009.850-2025</v>
      </c>
    </row>
    <row r="9" spans="2:17" x14ac:dyDescent="0.25">
      <c r="B9" s="5" t="s">
        <v>2</v>
      </c>
      <c r="C9" s="264">
        <f>'Qd abrang'!C8</f>
        <v>365</v>
      </c>
      <c r="D9" s="2" t="s">
        <v>4</v>
      </c>
      <c r="P9" s="5" t="s">
        <v>17</v>
      </c>
      <c r="Q9" s="265">
        <f>'Qd abrang'!N8</f>
        <v>45748</v>
      </c>
    </row>
    <row r="10" spans="2:17" ht="15" customHeight="1" x14ac:dyDescent="0.25"/>
    <row r="11" spans="2:17" s="11" customFormat="1" ht="21" x14ac:dyDescent="0.25">
      <c r="B11" s="458" t="s">
        <v>26</v>
      </c>
      <c r="C11" s="458"/>
      <c r="D11" s="458"/>
      <c r="E11" s="458"/>
      <c r="F11" s="458"/>
      <c r="G11" s="458"/>
      <c r="H11" s="458"/>
      <c r="I11" s="458"/>
      <c r="J11" s="458"/>
      <c r="K11" s="458"/>
      <c r="L11" s="458"/>
      <c r="M11" s="458"/>
      <c r="N11" s="458"/>
      <c r="O11" s="458"/>
      <c r="P11" s="458"/>
      <c r="Q11" s="458"/>
    </row>
    <row r="12" spans="2:17" ht="15" customHeight="1" x14ac:dyDescent="0.25"/>
    <row r="13" spans="2:17" ht="30" customHeight="1" x14ac:dyDescent="0.25">
      <c r="B13" s="473" t="s">
        <v>29</v>
      </c>
      <c r="C13" s="478" t="s">
        <v>15</v>
      </c>
      <c r="D13" s="479"/>
      <c r="E13" s="473" t="s">
        <v>202</v>
      </c>
      <c r="F13" s="473" t="s">
        <v>401</v>
      </c>
      <c r="G13" s="473" t="s">
        <v>402</v>
      </c>
      <c r="H13" s="473" t="s">
        <v>371</v>
      </c>
      <c r="I13" s="473" t="s">
        <v>372</v>
      </c>
      <c r="J13" s="473" t="s">
        <v>373</v>
      </c>
      <c r="K13" s="484" t="s">
        <v>404</v>
      </c>
      <c r="L13" s="485"/>
      <c r="M13" s="473" t="s">
        <v>375</v>
      </c>
      <c r="N13" s="473" t="s">
        <v>376</v>
      </c>
      <c r="O13" s="473" t="s">
        <v>408</v>
      </c>
      <c r="P13" s="473" t="s">
        <v>409</v>
      </c>
      <c r="Q13" s="473" t="s">
        <v>396</v>
      </c>
    </row>
    <row r="14" spans="2:17" x14ac:dyDescent="0.25">
      <c r="B14" s="473"/>
      <c r="C14" s="478"/>
      <c r="D14" s="479"/>
      <c r="E14" s="473"/>
      <c r="F14" s="473"/>
      <c r="G14" s="473"/>
      <c r="H14" s="473"/>
      <c r="I14" s="473"/>
      <c r="J14" s="473"/>
      <c r="K14" s="120" t="s">
        <v>405</v>
      </c>
      <c r="L14" s="120" t="s">
        <v>406</v>
      </c>
      <c r="M14" s="473"/>
      <c r="N14" s="473"/>
      <c r="O14" s="473"/>
      <c r="P14" s="473"/>
      <c r="Q14" s="473"/>
    </row>
    <row r="15" spans="2:17" ht="15" customHeight="1" x14ac:dyDescent="0.25">
      <c r="B15" s="473"/>
      <c r="C15" s="478"/>
      <c r="D15" s="479"/>
      <c r="E15" s="120" t="s">
        <v>363</v>
      </c>
      <c r="F15" s="120" t="s">
        <v>330</v>
      </c>
      <c r="G15" s="120" t="s">
        <v>331</v>
      </c>
      <c r="H15" s="120" t="s">
        <v>403</v>
      </c>
      <c r="I15" s="473"/>
      <c r="J15" s="120" t="s">
        <v>333</v>
      </c>
      <c r="K15" s="120" t="s">
        <v>378</v>
      </c>
      <c r="L15" s="120" t="s">
        <v>407</v>
      </c>
      <c r="M15" s="120" t="s">
        <v>389</v>
      </c>
      <c r="N15" s="120" t="s">
        <v>413</v>
      </c>
      <c r="O15" s="120" t="s">
        <v>410</v>
      </c>
      <c r="P15" s="120" t="s">
        <v>411</v>
      </c>
      <c r="Q15" s="120" t="s">
        <v>412</v>
      </c>
    </row>
    <row r="16" spans="2:17" ht="15" customHeight="1" x14ac:dyDescent="0.25">
      <c r="B16" s="232" t="s">
        <v>398</v>
      </c>
      <c r="C16" s="25"/>
      <c r="D16" s="25"/>
      <c r="E16" s="25"/>
      <c r="F16" s="25"/>
      <c r="G16" s="25"/>
      <c r="H16" s="25"/>
      <c r="I16" s="25"/>
      <c r="J16" s="25"/>
      <c r="K16" s="25"/>
      <c r="L16" s="25"/>
      <c r="M16" s="25"/>
      <c r="N16" s="25"/>
      <c r="O16" s="25"/>
      <c r="P16" s="25"/>
      <c r="Q16" s="78">
        <f ca="1">Q17</f>
        <v>199.76</v>
      </c>
    </row>
    <row r="17" spans="2:17" x14ac:dyDescent="0.25">
      <c r="B17" s="110" t="str">
        <f>'Memo calc'!B721</f>
        <v>E8889</v>
      </c>
      <c r="C17" s="461" t="str">
        <f ca="1">IFERROR(VLOOKUP(B17,Veiculo_Equip_Matriz,2,0),"")</f>
        <v>Veículo leve - 53 kW (sem motorista)</v>
      </c>
      <c r="D17" s="461" t="str">
        <f ca="1">IFERROR(VLOOKUP(C17,MO_Matriz,2,0),"")</f>
        <v/>
      </c>
      <c r="E17" s="224">
        <f>'Memo calc'!G721</f>
        <v>1</v>
      </c>
      <c r="F17" s="31">
        <f>'Memo calc'!I721</f>
        <v>103</v>
      </c>
      <c r="G17" s="44">
        <f>'Memo calc'!K721</f>
        <v>60</v>
      </c>
      <c r="H17" s="44">
        <f>F17/G17</f>
        <v>1.7166666666666666</v>
      </c>
      <c r="I17" s="48">
        <f>'Memo calc'!O721</f>
        <v>2</v>
      </c>
      <c r="J17" s="48">
        <f>'Memo calc'!P721</f>
        <v>1</v>
      </c>
      <c r="K17" s="31">
        <f ca="1">'Memo calc'!S721</f>
        <v>36.69</v>
      </c>
      <c r="L17" s="46">
        <f ca="1">E17*H17*I17*J17*K17</f>
        <v>125.96899999999998</v>
      </c>
      <c r="M17" s="44">
        <f>((INT(H17/4))*30)/60</f>
        <v>0</v>
      </c>
      <c r="N17" s="44">
        <f>H17+M17</f>
        <v>1.7166666666666666</v>
      </c>
      <c r="O17" s="46">
        <f>'Memo calc'!AA721</f>
        <v>0</v>
      </c>
      <c r="P17" s="46">
        <f>'Memo calc'!AB721</f>
        <v>73.8</v>
      </c>
      <c r="Q17" s="46">
        <f ca="1">TRUNC(L17+O17+P17,2)</f>
        <v>199.76</v>
      </c>
    </row>
    <row r="18" spans="2:17" ht="15" customHeight="1" x14ac:dyDescent="0.25">
      <c r="B18" s="24" t="s">
        <v>732</v>
      </c>
      <c r="C18" s="25"/>
      <c r="D18" s="25"/>
      <c r="E18" s="25"/>
      <c r="F18" s="25"/>
      <c r="G18" s="25"/>
      <c r="H18" s="25"/>
      <c r="I18" s="25"/>
      <c r="J18" s="25"/>
      <c r="K18" s="25"/>
      <c r="L18" s="25"/>
      <c r="M18" s="25"/>
      <c r="N18" s="25"/>
      <c r="O18" s="25"/>
      <c r="P18" s="25"/>
      <c r="Q18" s="78">
        <f ca="1">Q19</f>
        <v>125.96</v>
      </c>
    </row>
    <row r="19" spans="2:17" ht="15" customHeight="1" x14ac:dyDescent="0.25">
      <c r="B19" s="110" t="str">
        <f>'Memo calc'!B135</f>
        <v>E8889</v>
      </c>
      <c r="C19" s="497" t="str">
        <f ca="1">IFERROR(VLOOKUP(B19,Veiculo_Equip_Matriz,2,0),"")</f>
        <v>Veículo leve - 53 kW (sem motorista)</v>
      </c>
      <c r="D19" s="498" t="str">
        <f ca="1">IFERROR(VLOOKUP(C19,MO_Matriz,2,0),"")</f>
        <v/>
      </c>
      <c r="E19" s="298">
        <f>'Memo calc'!F135</f>
        <v>1</v>
      </c>
      <c r="F19" s="31">
        <f>'Memo calc'!H135</f>
        <v>103</v>
      </c>
      <c r="G19" s="44">
        <f>'Memo calc'!J135</f>
        <v>60</v>
      </c>
      <c r="H19" s="44">
        <f>F19/G19</f>
        <v>1.7166666666666666</v>
      </c>
      <c r="I19" s="48">
        <f>'Memo calc'!N135</f>
        <v>2</v>
      </c>
      <c r="J19" s="48">
        <f>'Memo calc'!O135</f>
        <v>1</v>
      </c>
      <c r="K19" s="31">
        <f ca="1">'Memo calc'!R135</f>
        <v>36.69</v>
      </c>
      <c r="L19" s="46">
        <f ca="1">E19*H19*I19*J19*K19</f>
        <v>125.96899999999998</v>
      </c>
      <c r="M19" s="44">
        <f>((INT(H19/4))*30)/60</f>
        <v>0</v>
      </c>
      <c r="N19" s="135">
        <f>H19+M19</f>
        <v>1.7166666666666666</v>
      </c>
      <c r="O19" s="46">
        <v>0</v>
      </c>
      <c r="P19" s="46">
        <v>0</v>
      </c>
      <c r="Q19" s="46">
        <f ca="1">TRUNC(L19+O19+P19,2)</f>
        <v>125.96</v>
      </c>
    </row>
    <row r="20" spans="2:17" ht="15" customHeight="1" x14ac:dyDescent="0.25">
      <c r="B20" s="24" t="s">
        <v>735</v>
      </c>
      <c r="C20" s="12"/>
      <c r="D20" s="12"/>
      <c r="E20" s="12"/>
      <c r="F20" s="12"/>
      <c r="G20" s="12"/>
      <c r="H20" s="12"/>
      <c r="I20" s="12"/>
      <c r="J20" s="12"/>
      <c r="K20" s="12"/>
      <c r="L20" s="12"/>
      <c r="M20" s="12"/>
      <c r="N20" s="12"/>
      <c r="O20" s="12"/>
      <c r="P20" s="12"/>
      <c r="Q20" s="47">
        <f ca="1">Q21</f>
        <v>273.29000000000002</v>
      </c>
    </row>
    <row r="21" spans="2:17" ht="15" customHeight="1" x14ac:dyDescent="0.25">
      <c r="B21" s="122" t="str">
        <f>'Memo calc'!B389</f>
        <v>E8891</v>
      </c>
      <c r="C21" s="500" t="str">
        <f ca="1">IFERROR(VLOOKUP(B21,Veiculo_Equip_Matriz,2,0),"")</f>
        <v>Veículo leve picape 4 x 4 com capacidade de 1,10 t - 147 kW (sem motorista)</v>
      </c>
      <c r="D21" s="501" t="str">
        <f ca="1">IFERROR(VLOOKUP(C21,MO_Matriz,2,0),"")</f>
        <v/>
      </c>
      <c r="E21" s="122">
        <f>'Memo calc'!G389</f>
        <v>1</v>
      </c>
      <c r="F21" s="137">
        <f>'Memo calc'!I389</f>
        <v>103</v>
      </c>
      <c r="G21" s="135">
        <f>'Memo calc'!K389</f>
        <v>60</v>
      </c>
      <c r="H21" s="135">
        <f>F21/G21</f>
        <v>1.7166666666666666</v>
      </c>
      <c r="I21" s="138">
        <f>'Memo calc'!O389</f>
        <v>2</v>
      </c>
      <c r="J21" s="138">
        <f>'Memo calc'!P389</f>
        <v>1</v>
      </c>
      <c r="K21" s="137">
        <f ca="1">'Memo calc'!S389</f>
        <v>79.599999999999994</v>
      </c>
      <c r="L21" s="80">
        <f ca="1">E21*H21*I21*J21*K21</f>
        <v>273.29333333333329</v>
      </c>
      <c r="M21" s="44">
        <f>((INT(H21/4))*30)/60</f>
        <v>0</v>
      </c>
      <c r="N21" s="135">
        <f>H21+M21</f>
        <v>1.7166666666666666</v>
      </c>
      <c r="O21" s="80">
        <v>0</v>
      </c>
      <c r="P21" s="80">
        <v>0</v>
      </c>
      <c r="Q21" s="80">
        <f ca="1">TRUNC(L21+O21+P21,2)</f>
        <v>273.29000000000002</v>
      </c>
    </row>
    <row r="22" spans="2:17" ht="15" customHeight="1" x14ac:dyDescent="0.25">
      <c r="B22" s="232" t="s">
        <v>509</v>
      </c>
      <c r="C22" s="12"/>
      <c r="D22" s="12"/>
      <c r="E22" s="12"/>
      <c r="F22" s="12"/>
      <c r="G22" s="12"/>
      <c r="H22" s="12"/>
      <c r="I22" s="12"/>
      <c r="J22" s="12"/>
      <c r="K22" s="12"/>
      <c r="L22" s="12"/>
      <c r="M22" s="12"/>
      <c r="N22" s="12"/>
      <c r="O22" s="12"/>
      <c r="P22" s="12"/>
      <c r="Q22" s="47">
        <f ca="1">Q23</f>
        <v>273.29000000000002</v>
      </c>
    </row>
    <row r="23" spans="2:17" ht="15" customHeight="1" x14ac:dyDescent="0.25">
      <c r="B23" s="122" t="str">
        <f>'Memo calc'!B524</f>
        <v>E8891</v>
      </c>
      <c r="C23" s="500" t="str">
        <f ca="1">IFERROR(VLOOKUP(B23,Veiculo_Equip_Matriz,2,0),"")</f>
        <v>Veículo leve picape 4 x 4 com capacidade de 1,10 t - 147 kW (sem motorista)</v>
      </c>
      <c r="D23" s="501" t="str">
        <f ca="1">IFERROR(VLOOKUP(C23,MO_Matriz,2,0),"")</f>
        <v/>
      </c>
      <c r="E23" s="122">
        <f>'Memo calc'!G524</f>
        <v>1</v>
      </c>
      <c r="F23" s="137">
        <f>'Memo calc'!I524</f>
        <v>103</v>
      </c>
      <c r="G23" s="135">
        <f>'Memo calc'!K524</f>
        <v>60</v>
      </c>
      <c r="H23" s="135">
        <f>F23/G23</f>
        <v>1.7166666666666666</v>
      </c>
      <c r="I23" s="138">
        <f>'Memo calc'!O524</f>
        <v>2</v>
      </c>
      <c r="J23" s="138">
        <f>'Memo calc'!P524</f>
        <v>1</v>
      </c>
      <c r="K23" s="137">
        <f ca="1">'Memo calc'!S524</f>
        <v>79.599999999999994</v>
      </c>
      <c r="L23" s="80">
        <f ca="1">E23*H23*I23*J23*K23</f>
        <v>273.29333333333329</v>
      </c>
      <c r="M23" s="44">
        <f>((INT(H23/4))*30)/60</f>
        <v>0</v>
      </c>
      <c r="N23" s="135">
        <f>H23+M23</f>
        <v>1.7166666666666666</v>
      </c>
      <c r="O23" s="80">
        <v>0</v>
      </c>
      <c r="P23" s="80">
        <v>0</v>
      </c>
      <c r="Q23" s="80">
        <f ca="1">TRUNC(L23+O23+P23,2)</f>
        <v>273.29000000000002</v>
      </c>
    </row>
    <row r="24" spans="2:17" s="84" customFormat="1" ht="15" customHeight="1" x14ac:dyDescent="0.25">
      <c r="B24" s="126"/>
      <c r="C24" s="125"/>
      <c r="D24" s="125"/>
      <c r="E24" s="125"/>
      <c r="F24" s="125"/>
      <c r="G24" s="125"/>
      <c r="H24" s="125"/>
      <c r="I24" s="125"/>
      <c r="J24" s="125"/>
      <c r="K24" s="125"/>
      <c r="L24" s="125"/>
      <c r="M24" s="125"/>
      <c r="N24" s="125"/>
      <c r="O24" s="125"/>
      <c r="P24" s="136" t="s">
        <v>460</v>
      </c>
      <c r="Q24" s="77">
        <f ca="1">Q16+Q18+Q20+Q22</f>
        <v>872.3</v>
      </c>
    </row>
    <row r="25" spans="2:17" ht="15" customHeight="1" x14ac:dyDescent="0.25">
      <c r="B25" s="126"/>
      <c r="C25" s="125"/>
      <c r="D25" s="125"/>
      <c r="E25" s="125"/>
      <c r="F25" s="125"/>
      <c r="G25" s="125"/>
      <c r="H25" s="125"/>
      <c r="I25" s="125"/>
      <c r="J25" s="125"/>
      <c r="K25" s="125"/>
      <c r="L25" s="125"/>
      <c r="M25" s="125"/>
      <c r="N25" s="125"/>
      <c r="O25" s="125"/>
      <c r="P25" s="136" t="s">
        <v>461</v>
      </c>
      <c r="Q25" s="77">
        <f ca="1">Q24</f>
        <v>872.3</v>
      </c>
    </row>
    <row r="26" spans="2:17" ht="15" customHeight="1" x14ac:dyDescent="0.25">
      <c r="B26" s="68" t="s">
        <v>587</v>
      </c>
      <c r="C26" s="3"/>
      <c r="D26" s="3"/>
      <c r="E26" s="3"/>
      <c r="F26" s="3"/>
      <c r="G26" s="3"/>
      <c r="H26" s="3"/>
      <c r="I26" s="3"/>
      <c r="J26" s="3"/>
      <c r="K26" s="3"/>
      <c r="L26" s="3"/>
      <c r="P26" s="51"/>
    </row>
    <row r="27" spans="2:17" ht="15" customHeight="1" x14ac:dyDescent="0.25">
      <c r="B27" s="241" t="str">
        <f>"Segundo Decreto nº 16.536, de 26 de dezembro de 2024, os valores de diárias para "&amp;Listas!$D$17&amp;" são:"</f>
        <v>Segundo Decreto nº 16.536, de 26 de dezembro de 2024, os valores de diárias para Ribas do Rio Pardo são:</v>
      </c>
      <c r="C27" s="87"/>
      <c r="D27" s="87"/>
      <c r="E27" s="87"/>
      <c r="F27" s="87"/>
      <c r="G27" s="87"/>
      <c r="H27" s="87"/>
      <c r="M27" s="87"/>
    </row>
    <row r="28" spans="2:17" ht="15" customHeight="1" x14ac:dyDescent="0.25">
      <c r="B28" s="89" t="str">
        <f>"Diária completa: R$ "&amp;Listas!$D$19&amp;",00"</f>
        <v>Diária completa: R$ 200,00</v>
      </c>
      <c r="C28" s="87"/>
      <c r="D28" s="87"/>
      <c r="E28" s="87"/>
      <c r="F28" s="87"/>
      <c r="G28" s="87"/>
      <c r="H28" s="87"/>
      <c r="M28" s="89"/>
    </row>
    <row r="29" spans="2:17" ht="15" customHeight="1" x14ac:dyDescent="0.25">
      <c r="B29" s="89" t="str">
        <f>"Diária de alimentação: R$ "&amp;Listas!$D$19/2&amp;",00"</f>
        <v>Diária de alimentação: R$ 100,00</v>
      </c>
      <c r="C29" s="87"/>
      <c r="D29" s="87"/>
      <c r="E29" s="87"/>
      <c r="F29" s="87"/>
      <c r="G29" s="87"/>
      <c r="H29" s="87"/>
      <c r="M29" s="89"/>
    </row>
    <row r="30" spans="2:17" ht="15" customHeight="1" x14ac:dyDescent="0.25">
      <c r="B30" s="89" t="str">
        <f>"Diária de hospedagem: R$ "&amp;Listas!$D$19/2&amp;",00"</f>
        <v>Diária de hospedagem: R$ 100,00</v>
      </c>
      <c r="C30" s="87"/>
      <c r="D30" s="87"/>
      <c r="E30" s="87"/>
      <c r="F30" s="87"/>
      <c r="G30" s="87"/>
      <c r="H30" s="87"/>
      <c r="M30" s="89"/>
    </row>
    <row r="31" spans="2:17" ht="9" customHeight="1" x14ac:dyDescent="0.25">
      <c r="C31" s="87"/>
      <c r="D31" s="87"/>
      <c r="E31" s="87"/>
      <c r="F31" s="87"/>
      <c r="G31" s="87"/>
      <c r="H31" s="87"/>
      <c r="I31" s="87"/>
      <c r="J31" s="87"/>
      <c r="K31" s="87"/>
      <c r="L31" s="87"/>
    </row>
    <row r="32" spans="2:17" ht="15" hidden="1" customHeight="1" x14ac:dyDescent="0.25"/>
    <row r="33" ht="15" hidden="1" customHeight="1" x14ac:dyDescent="0.25"/>
    <row r="34" ht="15" hidden="1" customHeight="1" x14ac:dyDescent="0.25"/>
    <row r="35" ht="15" hidden="1" customHeight="1" x14ac:dyDescent="0.25"/>
    <row r="36" ht="15" hidden="1" customHeight="1" x14ac:dyDescent="0.25"/>
    <row r="37" ht="15" hidden="1" customHeight="1" x14ac:dyDescent="0.25"/>
    <row r="38" ht="15" hidden="1" customHeight="1" x14ac:dyDescent="0.25"/>
    <row r="39" ht="15" hidden="1" customHeight="1" x14ac:dyDescent="0.25"/>
    <row r="40" ht="15" hidden="1" customHeight="1" x14ac:dyDescent="0.25"/>
    <row r="41" ht="15" hidden="1" customHeight="1" x14ac:dyDescent="0.25"/>
    <row r="42" ht="15" hidden="1" customHeight="1" x14ac:dyDescent="0.25"/>
    <row r="43" ht="15" hidden="1" customHeight="1" x14ac:dyDescent="0.25"/>
    <row r="44" ht="15" hidden="1" customHeight="1" x14ac:dyDescent="0.25"/>
    <row r="45" ht="15" hidden="1" customHeight="1" x14ac:dyDescent="0.25"/>
    <row r="46" ht="15" hidden="1" customHeight="1" x14ac:dyDescent="0.25"/>
    <row r="47" ht="15" hidden="1" customHeight="1" x14ac:dyDescent="0.25"/>
    <row r="48" ht="15" hidden="1" customHeight="1" x14ac:dyDescent="0.25"/>
    <row r="49" ht="15" hidden="1" customHeight="1" x14ac:dyDescent="0.25"/>
    <row r="50" ht="15" hidden="1" customHeight="1" x14ac:dyDescent="0.25"/>
    <row r="51" ht="15" hidden="1" customHeight="1" x14ac:dyDescent="0.25"/>
    <row r="52" ht="15" hidden="1" customHeight="1" x14ac:dyDescent="0.25"/>
    <row r="53" ht="15" hidden="1" customHeight="1" x14ac:dyDescent="0.25"/>
    <row r="54" ht="15" hidden="1" customHeight="1" x14ac:dyDescent="0.25"/>
    <row r="55" ht="15" hidden="1" customHeight="1" x14ac:dyDescent="0.25"/>
    <row r="56" ht="15" hidden="1" customHeight="1" x14ac:dyDescent="0.25"/>
    <row r="57" ht="15" hidden="1" customHeight="1" x14ac:dyDescent="0.25"/>
    <row r="58" ht="15" hidden="1" customHeight="1" x14ac:dyDescent="0.25"/>
    <row r="59" ht="15" hidden="1" customHeight="1" x14ac:dyDescent="0.25"/>
    <row r="60" ht="15" customHeight="1" x14ac:dyDescent="0.25"/>
    <row r="61" ht="15" customHeight="1" x14ac:dyDescent="0.25"/>
    <row r="62" ht="15" customHeight="1" x14ac:dyDescent="0.25"/>
    <row r="63" ht="15" customHeight="1" x14ac:dyDescent="0.25"/>
    <row r="64" ht="15" customHeight="1" x14ac:dyDescent="0.25"/>
  </sheetData>
  <mergeCells count="20">
    <mergeCell ref="C23:D23"/>
    <mergeCell ref="C17:D17"/>
    <mergeCell ref="C21:D21"/>
    <mergeCell ref="C19:D19"/>
    <mergeCell ref="B11:Q11"/>
    <mergeCell ref="C5:Q5"/>
    <mergeCell ref="B13:B15"/>
    <mergeCell ref="C13:D15"/>
    <mergeCell ref="P13:P14"/>
    <mergeCell ref="Q13:Q14"/>
    <mergeCell ref="M13:M14"/>
    <mergeCell ref="N13:N14"/>
    <mergeCell ref="O13:O14"/>
    <mergeCell ref="K13:L13"/>
    <mergeCell ref="E13:E14"/>
    <mergeCell ref="F13:F14"/>
    <mergeCell ref="J13:J14"/>
    <mergeCell ref="G13:G14"/>
    <mergeCell ref="H13:H14"/>
    <mergeCell ref="I13:I15"/>
  </mergeCells>
  <printOptions horizontalCentered="1"/>
  <pageMargins left="0.78740157480314965" right="0.98425196850393704" top="0.39370078740157483" bottom="0.78740157480314965" header="0.19685039370078741" footer="0.19685039370078741"/>
  <pageSetup paperSize="9" scale="65" fitToHeight="0" orientation="landscape" r:id="rId1"/>
  <headerFooter>
    <oddFooter xml:space="preserve">&amp;C&amp;10Av. Des. José Nunes da Cunha, Bloco 14, Parque dos Poderes, Campo Grande (MS), CEP 79031-310
PABX: (67) 3318-5300/ Gab: 5538 – Fax (67) 3318-5386 – gabinete@seinfra.ms.gov.br
</oddFooter>
  </headerFooter>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Planilha13">
    <pageSetUpPr fitToPage="1"/>
  </sheetPr>
  <dimension ref="A1:N44"/>
  <sheetViews>
    <sheetView showGridLines="0" view="pageBreakPreview" topLeftCell="A4" zoomScaleNormal="100" zoomScaleSheetLayoutView="100" workbookViewId="0">
      <selection activeCell="M30" sqref="M30"/>
    </sheetView>
  </sheetViews>
  <sheetFormatPr defaultColWidth="0" defaultRowHeight="15" customHeight="1" zeroHeight="1" x14ac:dyDescent="0.25"/>
  <cols>
    <col min="1" max="1" width="1.7109375" style="2" customWidth="1"/>
    <col min="2" max="2" width="9.85546875" style="2" bestFit="1" customWidth="1"/>
    <col min="3" max="3" width="7.28515625" style="2" customWidth="1"/>
    <col min="4" max="4" width="26.7109375" style="2" customWidth="1"/>
    <col min="5" max="5" width="20.42578125" style="2" bestFit="1" customWidth="1"/>
    <col min="6" max="6" width="13.28515625" style="2" bestFit="1" customWidth="1"/>
    <col min="7" max="7" width="10" style="2" bestFit="1" customWidth="1"/>
    <col min="8" max="8" width="8" style="2" bestFit="1" customWidth="1"/>
    <col min="9" max="9" width="11.7109375" style="2" bestFit="1" customWidth="1"/>
    <col min="10" max="11" width="8.7109375" style="2" customWidth="1"/>
    <col min="12" max="12" width="10.7109375" style="2" bestFit="1" customWidth="1"/>
    <col min="13" max="13" width="16.28515625" style="2" bestFit="1" customWidth="1"/>
    <col min="14" max="14" width="1.7109375" style="2" customWidth="1"/>
    <col min="15" max="16384" width="9.140625" style="2" hidden="1"/>
  </cols>
  <sheetData>
    <row r="1" spans="2:13" ht="9" customHeight="1" x14ac:dyDescent="0.25"/>
    <row r="2" spans="2:13" ht="34.5" customHeight="1" x14ac:dyDescent="0.25"/>
    <row r="3" spans="2:13" ht="15" customHeight="1" x14ac:dyDescent="0.25"/>
    <row r="4" spans="2:13" ht="15" customHeight="1" x14ac:dyDescent="0.25"/>
    <row r="5" spans="2:13" x14ac:dyDescent="0.25">
      <c r="B5" s="23" t="s">
        <v>0</v>
      </c>
      <c r="C5" s="459" t="str">
        <f>'Qd abrang'!C4</f>
        <v>Contratação de Projeto Executivo de Engenharia para Implantação do Aeródromo no município de Ribas do Rio Pardo</v>
      </c>
      <c r="D5" s="459"/>
      <c r="E5" s="459"/>
      <c r="F5" s="459"/>
      <c r="G5" s="459"/>
      <c r="H5" s="459"/>
      <c r="I5" s="459"/>
      <c r="J5" s="459"/>
      <c r="K5" s="459"/>
      <c r="L5" s="459"/>
      <c r="M5" s="459"/>
    </row>
    <row r="6" spans="2:13" x14ac:dyDescent="0.25">
      <c r="B6" s="5" t="s">
        <v>862</v>
      </c>
      <c r="C6" s="1" t="str">
        <f>'Qd abrang'!C5</f>
        <v>Ribas do Rio Pardo/MS</v>
      </c>
    </row>
    <row r="7" spans="2:13" x14ac:dyDescent="0.25">
      <c r="B7" s="5" t="s">
        <v>863</v>
      </c>
      <c r="C7" s="1">
        <f>'Qd abrang'!C6</f>
        <v>0</v>
      </c>
    </row>
    <row r="8" spans="2:13" x14ac:dyDescent="0.25">
      <c r="B8" s="5" t="s">
        <v>1</v>
      </c>
      <c r="C8" s="239">
        <f>'Qd abrang'!C7</f>
        <v>1.3</v>
      </c>
      <c r="D8" s="2" t="s">
        <v>3</v>
      </c>
      <c r="E8" s="2" t="s">
        <v>1132</v>
      </c>
      <c r="L8" s="5" t="s">
        <v>16</v>
      </c>
      <c r="M8" s="6" t="str">
        <f>'Qd abrang'!N7</f>
        <v>79.009.850-2025</v>
      </c>
    </row>
    <row r="9" spans="2:13" x14ac:dyDescent="0.25">
      <c r="B9" s="5" t="s">
        <v>2</v>
      </c>
      <c r="C9" s="1">
        <f>'Qd abrang'!C8</f>
        <v>365</v>
      </c>
      <c r="D9" s="2" t="s">
        <v>4</v>
      </c>
      <c r="L9" s="5" t="s">
        <v>17</v>
      </c>
      <c r="M9" s="6">
        <f>'Qd abrang'!N8</f>
        <v>45748</v>
      </c>
    </row>
    <row r="10" spans="2:13" ht="15" customHeight="1" x14ac:dyDescent="0.25"/>
    <row r="11" spans="2:13" s="11" customFormat="1" ht="21" x14ac:dyDescent="0.25">
      <c r="B11" s="458" t="s">
        <v>27</v>
      </c>
      <c r="C11" s="458"/>
      <c r="D11" s="458"/>
      <c r="E11" s="458"/>
      <c r="F11" s="458"/>
      <c r="G11" s="458"/>
      <c r="H11" s="458"/>
      <c r="I11" s="458"/>
      <c r="J11" s="458"/>
      <c r="K11" s="458"/>
      <c r="L11" s="458"/>
      <c r="M11" s="458"/>
    </row>
    <row r="12" spans="2:13" ht="15" customHeight="1" x14ac:dyDescent="0.25"/>
    <row r="13" spans="2:13" ht="45" customHeight="1" x14ac:dyDescent="0.25">
      <c r="B13" s="473" t="s">
        <v>29</v>
      </c>
      <c r="C13" s="478" t="s">
        <v>30</v>
      </c>
      <c r="D13" s="479"/>
      <c r="E13" s="474" t="s">
        <v>15</v>
      </c>
      <c r="F13" s="474" t="s">
        <v>680</v>
      </c>
      <c r="G13" s="120" t="s">
        <v>681</v>
      </c>
      <c r="H13" s="120" t="s">
        <v>202</v>
      </c>
      <c r="I13" s="473" t="s">
        <v>635</v>
      </c>
      <c r="J13" s="120" t="s">
        <v>242</v>
      </c>
      <c r="K13" s="120" t="s">
        <v>224</v>
      </c>
      <c r="L13" s="120" t="s">
        <v>361</v>
      </c>
      <c r="M13" s="473" t="s">
        <v>396</v>
      </c>
    </row>
    <row r="14" spans="2:13" ht="15" customHeight="1" x14ac:dyDescent="0.25">
      <c r="B14" s="473"/>
      <c r="C14" s="478"/>
      <c r="D14" s="479"/>
      <c r="E14" s="474"/>
      <c r="F14" s="474"/>
      <c r="G14" s="121" t="s">
        <v>363</v>
      </c>
      <c r="H14" s="120" t="s">
        <v>330</v>
      </c>
      <c r="I14" s="473"/>
      <c r="J14" s="120" t="s">
        <v>331</v>
      </c>
      <c r="K14" s="120" t="s">
        <v>332</v>
      </c>
      <c r="L14" s="120" t="s">
        <v>685</v>
      </c>
      <c r="M14" s="473"/>
    </row>
    <row r="15" spans="2:13" ht="15" customHeight="1" x14ac:dyDescent="0.25">
      <c r="B15" s="24" t="s">
        <v>684</v>
      </c>
      <c r="C15" s="25"/>
      <c r="D15" s="25"/>
      <c r="E15" s="25"/>
      <c r="F15" s="25"/>
      <c r="G15" s="25"/>
      <c r="H15" s="25"/>
      <c r="I15" s="25"/>
      <c r="J15" s="25"/>
      <c r="K15" s="25"/>
      <c r="L15" s="25"/>
      <c r="M15" s="78">
        <f>SUM(M16:M19)</f>
        <v>18784.64</v>
      </c>
    </row>
    <row r="16" spans="2:13" ht="15" customHeight="1" x14ac:dyDescent="0.25">
      <c r="B16" s="61" t="str">
        <f>'Memo calc'!$C$1267</f>
        <v>B8952</v>
      </c>
      <c r="C16" s="503" t="str">
        <f>IFERROR(VLOOKUP(B16,'Imóveis-Mobiliários-Cestas-Dive'!$B$2:$F$13,3,0),"")</f>
        <v>Residencial (2,45% do CMCC - SINAPI)</v>
      </c>
      <c r="D16" s="504"/>
      <c r="E16" s="58" t="s">
        <v>283</v>
      </c>
      <c r="F16" s="82" t="str">
        <f>IFERROR(VLOOKUP(B16,'Imóveis-Mobiliários-Cestas-Dive'!$B$2:$F$13,4,0),"")</f>
        <v>m² x mês</v>
      </c>
      <c r="G16" s="26">
        <f>IFERROR(VLOOKUP(B16,'Imóveis-Mobiliários-Cestas-Dive'!$B$2:$F$13,5,0),"")</f>
        <v>47.46</v>
      </c>
      <c r="H16" s="81">
        <v>1</v>
      </c>
      <c r="I16" s="81">
        <f>'Memo calc'!F1280</f>
        <v>13</v>
      </c>
      <c r="J16" s="45">
        <f>'Memo calc'!I1280</f>
        <v>87.474999999999994</v>
      </c>
      <c r="K16" s="45">
        <f>'Memo calc'!K1280</f>
        <v>130.28571428571428</v>
      </c>
      <c r="L16" s="45">
        <f>K16/30</f>
        <v>4.3428571428571425</v>
      </c>
      <c r="M16" s="46">
        <f>TRUNC(G16*J16*L16,2)</f>
        <v>18029.64</v>
      </c>
    </row>
    <row r="17" spans="2:13" ht="15" customHeight="1" x14ac:dyDescent="0.25">
      <c r="B17" s="109" t="str">
        <f>'Memo calc'!$C$1267</f>
        <v>B8952</v>
      </c>
      <c r="C17" s="503" t="str">
        <f>IFERROR(VLOOKUP(B17,'Imóveis-Mobiliários-Cestas-Dive'!$B$2:$F$13,3,0),"")</f>
        <v>Residencial (2,45% do CMCC - SINAPI)</v>
      </c>
      <c r="D17" s="504"/>
      <c r="E17" s="58" t="s">
        <v>286</v>
      </c>
      <c r="F17" s="82" t="str">
        <f>IFERROR(VLOOKUP(B17,'Imóveis-Mobiliários-Cestas-Dive'!$B$2:$F$13,4,0),"")</f>
        <v>m² x mês</v>
      </c>
      <c r="G17" s="26">
        <f>IFERROR(VLOOKUP(B17,'Imóveis-Mobiliários-Cestas-Dive'!$B$2:$F$13,5,0),"")</f>
        <v>47.46</v>
      </c>
      <c r="H17" s="81">
        <v>1</v>
      </c>
      <c r="I17" s="81">
        <f>'Memo calc'!F1289</f>
        <v>5</v>
      </c>
      <c r="J17" s="45">
        <f>'Memo calc'!H1289</f>
        <v>62.05</v>
      </c>
      <c r="K17" s="45">
        <f>'Memo calc'!J1289</f>
        <v>5.8333333333333339</v>
      </c>
      <c r="L17" s="45">
        <f>K17/30</f>
        <v>0.19444444444444448</v>
      </c>
      <c r="M17" s="46">
        <f t="shared" ref="M17:M19" si="0">TRUNC(G17*J17*L17,2)</f>
        <v>572.61</v>
      </c>
    </row>
    <row r="18" spans="2:13" ht="15" customHeight="1" x14ac:dyDescent="0.25">
      <c r="B18" s="109" t="str">
        <f>'Memo calc'!$C$1267</f>
        <v>B8952</v>
      </c>
      <c r="C18" s="503" t="str">
        <f>IFERROR(VLOOKUP(B18,'Imóveis-Mobiliários-Cestas-Dive'!$B$2:$F$13,3,0),"")</f>
        <v>Residencial (2,45% do CMCC - SINAPI)</v>
      </c>
      <c r="D18" s="504"/>
      <c r="E18" s="58" t="s">
        <v>643</v>
      </c>
      <c r="F18" s="82" t="str">
        <f>IFERROR(VLOOKUP(B18,'Imóveis-Mobiliários-Cestas-Dive'!$B$2:$F$13,4,0),"")</f>
        <v>m² x mês</v>
      </c>
      <c r="G18" s="26">
        <f>IFERROR(VLOOKUP(B18,'Imóveis-Mobiliários-Cestas-Dive'!$B$2:$F$13,5,0),"")</f>
        <v>47.46</v>
      </c>
      <c r="H18" s="81">
        <f>'Memo calc'!G1294</f>
        <v>1</v>
      </c>
      <c r="I18" s="81">
        <v>3</v>
      </c>
      <c r="J18" s="45">
        <f>'Memo calc'!I1294</f>
        <v>14.77</v>
      </c>
      <c r="K18" s="45">
        <f>'Memo calc'!K1294</f>
        <v>1</v>
      </c>
      <c r="L18" s="45">
        <f>K18/30</f>
        <v>3.3333333333333333E-2</v>
      </c>
      <c r="M18" s="46">
        <f t="shared" si="0"/>
        <v>23.36</v>
      </c>
    </row>
    <row r="19" spans="2:13" ht="15" customHeight="1" x14ac:dyDescent="0.25">
      <c r="B19" s="109" t="str">
        <f>'Memo calc'!$C$1267</f>
        <v>B8952</v>
      </c>
      <c r="C19" s="503" t="str">
        <f>IFERROR(VLOOKUP(B19,'Imóveis-Mobiliários-Cestas-Dive'!$B$2:$F$13,3,0),"")</f>
        <v>Residencial (2,45% do CMCC - SINAPI)</v>
      </c>
      <c r="D19" s="504"/>
      <c r="E19" s="58" t="s">
        <v>293</v>
      </c>
      <c r="F19" s="82" t="str">
        <f>IFERROR(VLOOKUP(B19,'Imóveis-Mobiliários-Cestas-Dive'!$B$2:$F$13,4,0),"")</f>
        <v>m² x mês</v>
      </c>
      <c r="G19" s="26">
        <f>IFERROR(VLOOKUP(B19,'Imóveis-Mobiliários-Cestas-Dive'!$B$2:$F$13,5,0),"")</f>
        <v>47.46</v>
      </c>
      <c r="H19" s="81">
        <f>'Memo calc'!G1299</f>
        <v>1</v>
      </c>
      <c r="I19" s="81">
        <v>2</v>
      </c>
      <c r="J19" s="45">
        <f>'Memo calc'!I1299</f>
        <v>11.17</v>
      </c>
      <c r="K19" s="45">
        <f>'Memo calc'!K1299</f>
        <v>9</v>
      </c>
      <c r="L19" s="45">
        <f>K19/30</f>
        <v>0.3</v>
      </c>
      <c r="M19" s="46">
        <f t="shared" si="0"/>
        <v>159.03</v>
      </c>
    </row>
    <row r="20" spans="2:13" ht="15" customHeight="1" x14ac:dyDescent="0.25">
      <c r="B20" s="232" t="s">
        <v>686</v>
      </c>
      <c r="C20" s="12"/>
      <c r="D20" s="12"/>
      <c r="E20" s="12"/>
      <c r="F20" s="12"/>
      <c r="G20" s="12"/>
      <c r="H20" s="12"/>
      <c r="I20" s="12"/>
      <c r="J20" s="12"/>
      <c r="K20" s="12"/>
      <c r="L20" s="12"/>
      <c r="M20" s="47">
        <f>SUM(M21:M24)</f>
        <v>26759.040000000001</v>
      </c>
    </row>
    <row r="21" spans="2:13" ht="15" customHeight="1" x14ac:dyDescent="0.25">
      <c r="B21" s="61" t="str">
        <f>'Memo calc'!B1314</f>
        <v>B8953</v>
      </c>
      <c r="C21" s="503" t="str">
        <f>IFERROR(VLOOKUP(B21,'Imóveis-Mobiliários-Cestas-Dive'!$B$2:$F$13,3,0),"")</f>
        <v>Escritório</v>
      </c>
      <c r="D21" s="504"/>
      <c r="E21" s="58" t="str">
        <f>'Memo calc'!E1314</f>
        <v>Escritório</v>
      </c>
      <c r="F21" s="82" t="str">
        <f>IFERROR(VLOOKUP(B21,'Imóveis-Mobiliários-Cestas-Dive'!$B$2:$F$13,4,0),"")</f>
        <v>ocupante x mês</v>
      </c>
      <c r="G21" s="26">
        <f>IFERROR(VLOOKUP(B21,'Imóveis-Mobiliários-Cestas-Dive'!$B$2:$F$13,5,0),"")</f>
        <v>467.45</v>
      </c>
      <c r="H21" s="83">
        <v>0</v>
      </c>
      <c r="I21" s="81">
        <f>'Memo calc'!K1314</f>
        <v>13</v>
      </c>
      <c r="J21" s="83">
        <v>0</v>
      </c>
      <c r="K21" s="45">
        <f>'Memo calc'!L1314</f>
        <v>130.28571428571428</v>
      </c>
      <c r="L21" s="45">
        <f>K21/30</f>
        <v>4.3428571428571425</v>
      </c>
      <c r="M21" s="46">
        <f>TRUNC(G21*I21*L21,2)</f>
        <v>26390.89</v>
      </c>
    </row>
    <row r="22" spans="2:13" ht="15" customHeight="1" x14ac:dyDescent="0.25">
      <c r="B22" s="109" t="str">
        <f>'Memo calc'!B1315</f>
        <v>B8953</v>
      </c>
      <c r="C22" s="503" t="str">
        <f>IFERROR(VLOOKUP(B22,'Imóveis-Mobiliários-Cestas-Dive'!$B$2:$F$13,3,0),"")</f>
        <v>Escritório</v>
      </c>
      <c r="D22" s="504"/>
      <c r="E22" s="108" t="str">
        <f>'Memo calc'!E1315</f>
        <v>Topografia convencional</v>
      </c>
      <c r="F22" s="82" t="str">
        <f>IFERROR(VLOOKUP(B22,'Imóveis-Mobiliários-Cestas-Dive'!$B$2:$F$13,4,0),"")</f>
        <v>ocupante x mês</v>
      </c>
      <c r="G22" s="26">
        <f>IFERROR(VLOOKUP(B22,'Imóveis-Mobiliários-Cestas-Dive'!$B$2:$F$13,5,0),"")</f>
        <v>467.45</v>
      </c>
      <c r="H22" s="83">
        <v>0</v>
      </c>
      <c r="I22" s="81">
        <f>'Memo calc'!K1315</f>
        <v>3</v>
      </c>
      <c r="J22" s="83">
        <v>0</v>
      </c>
      <c r="K22" s="45">
        <f>'Memo calc'!L1315</f>
        <v>1</v>
      </c>
      <c r="L22" s="45">
        <f>K22/30</f>
        <v>3.3333333333333333E-2</v>
      </c>
      <c r="M22" s="46">
        <f t="shared" ref="M22:M24" si="1">TRUNC(G22*I22*L22,2)</f>
        <v>46.74</v>
      </c>
    </row>
    <row r="23" spans="2:13" ht="15" customHeight="1" x14ac:dyDescent="0.25">
      <c r="B23" s="109" t="str">
        <f>'Memo calc'!B1316</f>
        <v>B8953</v>
      </c>
      <c r="C23" s="503" t="str">
        <f>IFERROR(VLOOKUP(B23,'Imóveis-Mobiliários-Cestas-Dive'!$B$2:$F$13,3,0),"")</f>
        <v>Escritório</v>
      </c>
      <c r="D23" s="504"/>
      <c r="E23" s="108" t="str">
        <f>'Memo calc'!E1316</f>
        <v>Laboratório de solos</v>
      </c>
      <c r="F23" s="82" t="str">
        <f>IFERROR(VLOOKUP(B23,'Imóveis-Mobiliários-Cestas-Dive'!$B$2:$F$13,4,0),"")</f>
        <v>ocupante x mês</v>
      </c>
      <c r="G23" s="26">
        <f>IFERROR(VLOOKUP(B23,'Imóveis-Mobiliários-Cestas-Dive'!$B$2:$F$13,5,0),"")</f>
        <v>467.45</v>
      </c>
      <c r="H23" s="83">
        <v>0</v>
      </c>
      <c r="I23" s="81">
        <f>'Memo calc'!K1316</f>
        <v>2</v>
      </c>
      <c r="J23" s="83">
        <v>0</v>
      </c>
      <c r="K23" s="45">
        <f>'Memo calc'!L1316</f>
        <v>9</v>
      </c>
      <c r="L23" s="45">
        <f>K23/30</f>
        <v>0.3</v>
      </c>
      <c r="M23" s="46">
        <f t="shared" si="1"/>
        <v>280.47000000000003</v>
      </c>
    </row>
    <row r="24" spans="2:13" ht="15" customHeight="1" x14ac:dyDescent="0.25">
      <c r="B24" s="109" t="str">
        <f>'Memo calc'!B1317</f>
        <v>B8954</v>
      </c>
      <c r="C24" s="503" t="str">
        <f>IFERROR(VLOOKUP(B24,'Imóveis-Mobiliários-Cestas-Dive'!$B$2:$F$13,3,0),"")</f>
        <v>Residência</v>
      </c>
      <c r="D24" s="504"/>
      <c r="E24" s="108" t="str">
        <f>'Memo calc'!E1317</f>
        <v>Residência</v>
      </c>
      <c r="F24" s="82" t="str">
        <f>IFERROR(VLOOKUP(B24,'Imóveis-Mobiliários-Cestas-Dive'!$B$2:$F$13,4,0),"")</f>
        <v>ocupante x mês</v>
      </c>
      <c r="G24" s="26">
        <f>IFERROR(VLOOKUP(B24,'Imóveis-Mobiliários-Cestas-Dive'!$B$2:$F$13,5,0),"")</f>
        <v>42.11</v>
      </c>
      <c r="H24" s="83">
        <v>0</v>
      </c>
      <c r="I24" s="81">
        <f>'Memo calc'!K1317</f>
        <v>5</v>
      </c>
      <c r="J24" s="83">
        <v>0</v>
      </c>
      <c r="K24" s="45">
        <f>'Memo calc'!L1317</f>
        <v>5.8333333333333339</v>
      </c>
      <c r="L24" s="45">
        <f>K24/30</f>
        <v>0.19444444444444448</v>
      </c>
      <c r="M24" s="46">
        <f t="shared" si="1"/>
        <v>40.94</v>
      </c>
    </row>
    <row r="25" spans="2:13" ht="15" customHeight="1" x14ac:dyDescent="0.25">
      <c r="B25" s="232" t="s">
        <v>742</v>
      </c>
      <c r="C25" s="12"/>
      <c r="D25" s="12"/>
      <c r="E25" s="12"/>
      <c r="F25" s="12"/>
      <c r="G25" s="12"/>
      <c r="H25" s="12"/>
      <c r="I25" s="12"/>
      <c r="J25" s="12"/>
      <c r="K25" s="12"/>
      <c r="L25" s="12"/>
      <c r="M25" s="47">
        <f>SUM(M26:M29)</f>
        <v>8060.37</v>
      </c>
    </row>
    <row r="26" spans="2:13" ht="15" customHeight="1" x14ac:dyDescent="0.25">
      <c r="B26" s="61" t="str">
        <f>'Memo calc'!B1325</f>
        <v>B8959</v>
      </c>
      <c r="C26" s="503" t="str">
        <f>IFERROR(VLOOKUP(B26,'Imóveis-Mobiliários-Cestas-Dive'!$B$2:$F$13,3,0),"")</f>
        <v>Escritório</v>
      </c>
      <c r="D26" s="504"/>
      <c r="E26" s="58" t="str">
        <f>'Memo calc'!E1325</f>
        <v>Escritório</v>
      </c>
      <c r="F26" s="82" t="str">
        <f>IFERROR(VLOOKUP(B26,'Imóveis-Mobiliários-Cestas-Dive'!$B$2:$F$13,4,0),"")</f>
        <v>ocupante x mês</v>
      </c>
      <c r="G26" s="26">
        <f>IFERROR(VLOOKUP(B26,'Imóveis-Mobiliários-Cestas-Dive'!$B$2:$F$13,5,0),"")</f>
        <v>137.55000000000001</v>
      </c>
      <c r="H26" s="83">
        <v>0</v>
      </c>
      <c r="I26" s="81">
        <f>'Memo calc'!J1325</f>
        <v>13</v>
      </c>
      <c r="J26" s="83">
        <v>0</v>
      </c>
      <c r="K26" s="45">
        <f>'Memo calc'!K1325</f>
        <v>130.28571428571428</v>
      </c>
      <c r="L26" s="45">
        <f>K26/30</f>
        <v>4.3428571428571425</v>
      </c>
      <c r="M26" s="46">
        <f>TRUNC(G26*I26*L26,2)</f>
        <v>7765.68</v>
      </c>
    </row>
    <row r="27" spans="2:13" ht="15" customHeight="1" x14ac:dyDescent="0.25">
      <c r="B27" s="109" t="str">
        <f>'Memo calc'!B1326</f>
        <v>B8959</v>
      </c>
      <c r="C27" s="503" t="str">
        <f>IFERROR(VLOOKUP(B27,'Imóveis-Mobiliários-Cestas-Dive'!$B$2:$F$13,3,0),"")</f>
        <v>Escritório</v>
      </c>
      <c r="D27" s="504"/>
      <c r="E27" s="108" t="str">
        <f>'Memo calc'!E1326</f>
        <v>Topografia convencional</v>
      </c>
      <c r="F27" s="82" t="str">
        <f>IFERROR(VLOOKUP(B27,'Imóveis-Mobiliários-Cestas-Dive'!$B$2:$F$13,4,0),"")</f>
        <v>ocupante x mês</v>
      </c>
      <c r="G27" s="26">
        <f>IFERROR(VLOOKUP(B27,'Imóveis-Mobiliários-Cestas-Dive'!$B$2:$F$13,5,0),"")</f>
        <v>137.55000000000001</v>
      </c>
      <c r="H27" s="83">
        <v>0</v>
      </c>
      <c r="I27" s="81">
        <f>'Memo calc'!J1326</f>
        <v>3</v>
      </c>
      <c r="J27" s="83">
        <v>0</v>
      </c>
      <c r="K27" s="45">
        <f>'Memo calc'!K1326</f>
        <v>1</v>
      </c>
      <c r="L27" s="45">
        <f>K27/30</f>
        <v>3.3333333333333333E-2</v>
      </c>
      <c r="M27" s="46">
        <f t="shared" ref="M27:M29" si="2">TRUNC(G27*I27*L27,2)</f>
        <v>13.75</v>
      </c>
    </row>
    <row r="28" spans="2:13" ht="15" customHeight="1" x14ac:dyDescent="0.25">
      <c r="B28" s="109" t="str">
        <f>'Memo calc'!B1327</f>
        <v>B8959</v>
      </c>
      <c r="C28" s="503" t="str">
        <f>IFERROR(VLOOKUP(B28,'Imóveis-Mobiliários-Cestas-Dive'!$B$2:$F$13,3,0),"")</f>
        <v>Escritório</v>
      </c>
      <c r="D28" s="504"/>
      <c r="E28" s="108" t="str">
        <f>'Memo calc'!E1327</f>
        <v>Laboratório de solos</v>
      </c>
      <c r="F28" s="82" t="str">
        <f>IFERROR(VLOOKUP(B28,'Imóveis-Mobiliários-Cestas-Dive'!$B$2:$F$13,4,0),"")</f>
        <v>ocupante x mês</v>
      </c>
      <c r="G28" s="26">
        <f>IFERROR(VLOOKUP(B28,'Imóveis-Mobiliários-Cestas-Dive'!$B$2:$F$13,5,0),"")</f>
        <v>137.55000000000001</v>
      </c>
      <c r="H28" s="83">
        <v>0</v>
      </c>
      <c r="I28" s="81">
        <f>'Memo calc'!J1327</f>
        <v>2</v>
      </c>
      <c r="J28" s="83">
        <v>0</v>
      </c>
      <c r="K28" s="45">
        <f>'Memo calc'!K1327</f>
        <v>9</v>
      </c>
      <c r="L28" s="45">
        <f>K28/30</f>
        <v>0.3</v>
      </c>
      <c r="M28" s="46">
        <f t="shared" si="2"/>
        <v>82.53</v>
      </c>
    </row>
    <row r="29" spans="2:13" ht="15" customHeight="1" x14ac:dyDescent="0.25">
      <c r="B29" s="122" t="str">
        <f>'Memo calc'!B1328</f>
        <v>B8960</v>
      </c>
      <c r="C29" s="503" t="str">
        <f>IFERROR(VLOOKUP(B29,'Imóveis-Mobiliários-Cestas-Dive'!$B$2:$F$13,3,0),"")</f>
        <v>Residência</v>
      </c>
      <c r="D29" s="504"/>
      <c r="E29" s="124" t="str">
        <f>'Memo calc'!E1328</f>
        <v>Residência</v>
      </c>
      <c r="F29" s="82" t="str">
        <f>IFERROR(VLOOKUP(B29,'Imóveis-Mobiliários-Cestas-Dive'!$B$2:$F$13,4,0),"")</f>
        <v>ocupante x mês</v>
      </c>
      <c r="G29" s="26">
        <f>IFERROR(VLOOKUP(B29,'Imóveis-Mobiliários-Cestas-Dive'!$B$2:$F$13,5,0),"")</f>
        <v>204.08</v>
      </c>
      <c r="H29" s="85">
        <v>0</v>
      </c>
      <c r="I29" s="86">
        <f>'Memo calc'!J1328</f>
        <v>5</v>
      </c>
      <c r="J29" s="85">
        <v>0</v>
      </c>
      <c r="K29" s="79">
        <f>'Memo calc'!K1328</f>
        <v>5.8333333333333339</v>
      </c>
      <c r="L29" s="79">
        <f>K29/30</f>
        <v>0.19444444444444448</v>
      </c>
      <c r="M29" s="46">
        <f t="shared" si="2"/>
        <v>198.41</v>
      </c>
    </row>
    <row r="30" spans="2:13" s="84" customFormat="1" ht="15" customHeight="1" x14ac:dyDescent="0.25">
      <c r="B30" s="126"/>
      <c r="C30" s="125"/>
      <c r="D30" s="125"/>
      <c r="E30" s="125"/>
      <c r="F30" s="125"/>
      <c r="G30" s="125"/>
      <c r="H30" s="125"/>
      <c r="I30" s="125"/>
      <c r="J30" s="125"/>
      <c r="K30" s="125"/>
      <c r="L30" s="136" t="s">
        <v>687</v>
      </c>
      <c r="M30" s="77">
        <f>M15+M20+M25</f>
        <v>53604.05</v>
      </c>
    </row>
    <row r="31" spans="2:13" ht="9" customHeight="1" x14ac:dyDescent="0.25"/>
    <row r="32" spans="2:13" ht="15" hidden="1" customHeight="1" x14ac:dyDescent="0.25"/>
    <row r="33" ht="15" hidden="1" customHeight="1" x14ac:dyDescent="0.25"/>
    <row r="34" ht="15" hidden="1" customHeight="1" x14ac:dyDescent="0.25"/>
    <row r="35" ht="15" hidden="1" customHeight="1" x14ac:dyDescent="0.25"/>
    <row r="36" ht="15" hidden="1" customHeight="1" x14ac:dyDescent="0.25"/>
    <row r="37" ht="15" hidden="1" customHeight="1" x14ac:dyDescent="0.25"/>
    <row r="38" ht="15" hidden="1" customHeight="1" x14ac:dyDescent="0.25"/>
    <row r="39" ht="15" hidden="1" customHeight="1" x14ac:dyDescent="0.25"/>
    <row r="40" ht="15" hidden="1" customHeight="1" x14ac:dyDescent="0.25"/>
    <row r="41" ht="15" hidden="1" customHeight="1" x14ac:dyDescent="0.25"/>
    <row r="42" ht="15" hidden="1" customHeight="1" x14ac:dyDescent="0.25"/>
    <row r="43" ht="15" hidden="1" customHeight="1" x14ac:dyDescent="0.25"/>
    <row r="44" ht="15" hidden="1" customHeight="1" x14ac:dyDescent="0.25"/>
  </sheetData>
  <mergeCells count="20">
    <mergeCell ref="C26:D26"/>
    <mergeCell ref="C27:D27"/>
    <mergeCell ref="C28:D28"/>
    <mergeCell ref="C29:D29"/>
    <mergeCell ref="C24:D24"/>
    <mergeCell ref="C5:M5"/>
    <mergeCell ref="B13:B14"/>
    <mergeCell ref="C13:D14"/>
    <mergeCell ref="C16:D16"/>
    <mergeCell ref="C18:D18"/>
    <mergeCell ref="E13:E14"/>
    <mergeCell ref="C22:D22"/>
    <mergeCell ref="C23:D23"/>
    <mergeCell ref="B11:M11"/>
    <mergeCell ref="F13:F14"/>
    <mergeCell ref="I13:I14"/>
    <mergeCell ref="M13:M14"/>
    <mergeCell ref="C17:D17"/>
    <mergeCell ref="C19:D19"/>
    <mergeCell ref="C21:D21"/>
  </mergeCells>
  <printOptions horizontalCentered="1"/>
  <pageMargins left="0.78740157480314965" right="0.98425196850393704" top="0.39370078740157483" bottom="0.78740157480314965" header="0.19685039370078741" footer="0.19685039370078741"/>
  <pageSetup paperSize="9" scale="81" fitToHeight="0" orientation="landscape" r:id="rId1"/>
  <headerFooter>
    <oddFooter xml:space="preserve">&amp;C&amp;10Av. Des. José Nunes da Cunha, Bloco 14, Parque dos Poderes, Campo Grande (MS), CEP 79031-310
PABX: (67) 3318-5300/ Gab: 5538 – Fax (67) 3318-5386 – gabinete@seinfra.ms.gov.br
</oddFooter>
  </headerFooter>
  <ignoredErrors>
    <ignoredError sqref="M25" formula="1"/>
  </ignoredErrors>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J29"/>
  <sheetViews>
    <sheetView showGridLines="0" view="pageBreakPreview" topLeftCell="A3" zoomScaleNormal="100" zoomScaleSheetLayoutView="100" workbookViewId="0">
      <selection activeCell="C11" sqref="C11:F29"/>
    </sheetView>
  </sheetViews>
  <sheetFormatPr defaultColWidth="0" defaultRowHeight="33" customHeight="1" x14ac:dyDescent="0.25"/>
  <cols>
    <col min="1" max="1" width="1.7109375" style="2" customWidth="1"/>
    <col min="2" max="2" width="12.85546875" style="2" customWidth="1"/>
    <col min="3" max="3" width="35.42578125" style="2" customWidth="1"/>
    <col min="4" max="4" width="24" style="2" customWidth="1"/>
    <col min="5" max="5" width="13.85546875" style="2" customWidth="1"/>
    <col min="6" max="6" width="13.7109375" style="2" customWidth="1"/>
    <col min="7" max="7" width="1.7109375" style="2" customWidth="1"/>
    <col min="8" max="8" width="16.7109375" style="2" bestFit="1" customWidth="1"/>
    <col min="9" max="9" width="16.28515625" style="2" bestFit="1" customWidth="1"/>
    <col min="10" max="10" width="1.7109375" style="2" customWidth="1"/>
    <col min="11" max="16384" width="9.140625" style="2" hidden="1"/>
  </cols>
  <sheetData>
    <row r="1" spans="2:9" ht="9" customHeight="1" x14ac:dyDescent="0.25"/>
    <row r="2" spans="2:9" ht="34.5" customHeight="1" x14ac:dyDescent="0.25"/>
    <row r="3" spans="2:9" ht="15" customHeight="1" x14ac:dyDescent="0.25"/>
    <row r="4" spans="2:9" ht="15" customHeight="1" x14ac:dyDescent="0.25"/>
    <row r="5" spans="2:9" ht="26.25" customHeight="1" x14ac:dyDescent="0.25">
      <c r="B5" s="5" t="s">
        <v>0</v>
      </c>
      <c r="C5" s="506" t="str">
        <f>'Qd abrang'!C4</f>
        <v>Contratação de Projeto Executivo de Engenharia para Implantação do Aeródromo no município de Ribas do Rio Pardo</v>
      </c>
      <c r="D5" s="506"/>
      <c r="E5" s="506"/>
      <c r="F5" s="506"/>
      <c r="G5" s="319"/>
      <c r="H5" s="319"/>
      <c r="I5" s="319"/>
    </row>
    <row r="6" spans="2:9" ht="15" x14ac:dyDescent="0.25">
      <c r="B6" s="5" t="s">
        <v>862</v>
      </c>
      <c r="C6" s="2" t="str">
        <f>'Qd abrang'!C5</f>
        <v>Ribas do Rio Pardo/MS</v>
      </c>
    </row>
    <row r="7" spans="2:9" ht="15" x14ac:dyDescent="0.25">
      <c r="B7" s="5" t="s">
        <v>863</v>
      </c>
      <c r="C7" s="2">
        <f>'Qd abrang'!C6</f>
        <v>0</v>
      </c>
    </row>
    <row r="8" spans="2:9" ht="15" x14ac:dyDescent="0.25">
      <c r="B8" s="5" t="s">
        <v>1</v>
      </c>
      <c r="C8" s="322" t="s">
        <v>1225</v>
      </c>
      <c r="E8" s="5" t="s">
        <v>16</v>
      </c>
      <c r="F8" s="6" t="str">
        <f>'Qd abrang'!N7</f>
        <v>79.009.850-2025</v>
      </c>
    </row>
    <row r="9" spans="2:9" ht="15" x14ac:dyDescent="0.25">
      <c r="B9" s="5" t="s">
        <v>2</v>
      </c>
      <c r="C9" s="323" t="s">
        <v>1103</v>
      </c>
      <c r="E9" s="5" t="s">
        <v>17</v>
      </c>
      <c r="F9" s="265">
        <f>'Qd abrang'!N8</f>
        <v>45748</v>
      </c>
    </row>
    <row r="10" spans="2:9" ht="15" customHeight="1" x14ac:dyDescent="0.25"/>
    <row r="11" spans="2:9" s="11" customFormat="1" ht="21" x14ac:dyDescent="0.25">
      <c r="C11" s="505" t="s">
        <v>1099</v>
      </c>
      <c r="D11" s="505"/>
      <c r="E11" s="505"/>
      <c r="F11" s="505"/>
    </row>
    <row r="12" spans="2:9" s="11" customFormat="1" ht="21" x14ac:dyDescent="0.25">
      <c r="C12" s="505" t="s">
        <v>1096</v>
      </c>
      <c r="D12" s="505"/>
      <c r="E12" s="505"/>
      <c r="F12" s="505"/>
    </row>
    <row r="13" spans="2:9" s="11" customFormat="1" ht="21" x14ac:dyDescent="0.25">
      <c r="B13" s="4"/>
      <c r="C13" s="507" t="s">
        <v>298</v>
      </c>
      <c r="D13" s="507"/>
      <c r="E13" s="321" t="s">
        <v>1097</v>
      </c>
      <c r="F13" s="321" t="s">
        <v>1098</v>
      </c>
      <c r="G13" s="317"/>
      <c r="H13" s="317"/>
      <c r="I13" s="317"/>
    </row>
    <row r="14" spans="2:9" s="11" customFormat="1" ht="21" x14ac:dyDescent="0.25">
      <c r="B14" s="2"/>
      <c r="C14" s="318" t="s">
        <v>299</v>
      </c>
      <c r="D14" s="318" t="s">
        <v>300</v>
      </c>
      <c r="E14" s="414">
        <f>BDI!C4</f>
        <v>6.8913238233064567</v>
      </c>
      <c r="F14" s="37">
        <f>BDI!D4</f>
        <v>10</v>
      </c>
      <c r="G14" s="317"/>
      <c r="H14" s="317"/>
      <c r="I14" s="317"/>
    </row>
    <row r="15" spans="2:9" s="11" customFormat="1" ht="21" x14ac:dyDescent="0.25">
      <c r="B15" s="2"/>
      <c r="C15" s="318" t="s">
        <v>301</v>
      </c>
      <c r="D15" s="318" t="s">
        <v>1046</v>
      </c>
      <c r="E15" s="414">
        <f>BDI!C5</f>
        <v>1.07</v>
      </c>
      <c r="F15" s="37">
        <f>BDI!D5</f>
        <v>1.56</v>
      </c>
      <c r="G15" s="317"/>
      <c r="H15" s="317"/>
      <c r="I15" s="317"/>
    </row>
    <row r="16" spans="2:9" s="11" customFormat="1" ht="21" x14ac:dyDescent="0.25">
      <c r="B16" s="2"/>
      <c r="C16" s="318" t="s">
        <v>302</v>
      </c>
      <c r="D16" s="318" t="s">
        <v>303</v>
      </c>
      <c r="E16" s="414">
        <f>BDI!C6</f>
        <v>0.5</v>
      </c>
      <c r="F16" s="37">
        <f>BDI!D6</f>
        <v>0.72555000000000003</v>
      </c>
      <c r="G16" s="317"/>
      <c r="H16" s="317"/>
      <c r="I16" s="317"/>
    </row>
    <row r="17" spans="2:9" s="11" customFormat="1" ht="21" x14ac:dyDescent="0.25">
      <c r="B17" s="2"/>
      <c r="C17" s="318" t="s">
        <v>1100</v>
      </c>
      <c r="D17" s="318" t="s">
        <v>304</v>
      </c>
      <c r="E17" s="414">
        <f>BDI!C7</f>
        <v>0.1</v>
      </c>
      <c r="F17" s="37">
        <f>BDI!D7</f>
        <v>0.14511000000000002</v>
      </c>
      <c r="G17" s="317"/>
      <c r="H17" s="317"/>
      <c r="I17" s="317"/>
    </row>
    <row r="18" spans="2:9" s="11" customFormat="1" ht="21" x14ac:dyDescent="0.25">
      <c r="B18" s="2"/>
      <c r="C18" s="508" t="s">
        <v>1047</v>
      </c>
      <c r="D18" s="508"/>
      <c r="E18" s="415">
        <f>BDI!C8</f>
        <v>8.5613238233064575</v>
      </c>
      <c r="F18" s="415">
        <f>BDI!D8</f>
        <v>12.430660000000001</v>
      </c>
      <c r="G18" s="317"/>
      <c r="H18" s="317"/>
      <c r="I18" s="317"/>
    </row>
    <row r="19" spans="2:9" s="11" customFormat="1" ht="21" x14ac:dyDescent="0.25">
      <c r="B19" s="2"/>
      <c r="C19" s="507" t="s">
        <v>305</v>
      </c>
      <c r="D19" s="507"/>
      <c r="E19" s="320"/>
      <c r="F19" s="320"/>
      <c r="G19" s="317"/>
      <c r="H19" s="317"/>
      <c r="I19" s="317"/>
    </row>
    <row r="20" spans="2:9" s="11" customFormat="1" ht="21" x14ac:dyDescent="0.25">
      <c r="B20" s="2"/>
      <c r="C20" s="318" t="s">
        <v>306</v>
      </c>
      <c r="D20" s="318" t="s">
        <v>300</v>
      </c>
      <c r="E20" s="414">
        <f>BDI!C10</f>
        <v>8.269588587967748</v>
      </c>
      <c r="F20" s="414">
        <f>BDI!D10</f>
        <v>12</v>
      </c>
      <c r="G20" s="317"/>
      <c r="H20" s="317"/>
      <c r="I20" s="317"/>
    </row>
    <row r="21" spans="2:9" s="11" customFormat="1" ht="21" x14ac:dyDescent="0.25">
      <c r="B21" s="2"/>
      <c r="C21" s="508" t="s">
        <v>1048</v>
      </c>
      <c r="D21" s="508" t="s">
        <v>1048</v>
      </c>
      <c r="E21" s="415">
        <f>BDI!C11</f>
        <v>8.269588587967748</v>
      </c>
      <c r="F21" s="415">
        <f>BDI!D11</f>
        <v>12</v>
      </c>
      <c r="G21" s="317"/>
      <c r="H21" s="317"/>
      <c r="I21" s="317"/>
    </row>
    <row r="22" spans="2:9" s="11" customFormat="1" ht="21" x14ac:dyDescent="0.25">
      <c r="B22" s="2"/>
      <c r="C22" s="507" t="s">
        <v>307</v>
      </c>
      <c r="D22" s="507"/>
      <c r="E22" s="320"/>
      <c r="F22" s="320"/>
      <c r="G22" s="317"/>
      <c r="H22" s="317"/>
      <c r="I22" s="317"/>
    </row>
    <row r="23" spans="2:9" s="11" customFormat="1" ht="21" x14ac:dyDescent="0.25">
      <c r="B23" s="2"/>
      <c r="C23" s="318" t="s">
        <v>308</v>
      </c>
      <c r="D23" s="318" t="s">
        <v>309</v>
      </c>
      <c r="E23" s="414">
        <f>BDI!C13</f>
        <v>1.65</v>
      </c>
      <c r="F23" s="414">
        <f>BDI!D13</f>
        <v>2.3943149999999997</v>
      </c>
      <c r="G23" s="317"/>
      <c r="H23" s="317"/>
      <c r="I23" s="317"/>
    </row>
    <row r="24" spans="2:9" s="11" customFormat="1" ht="21" x14ac:dyDescent="0.25">
      <c r="B24" s="2"/>
      <c r="C24" s="318" t="s">
        <v>310</v>
      </c>
      <c r="D24" s="318" t="s">
        <v>311</v>
      </c>
      <c r="E24" s="414">
        <f>BDI!C14</f>
        <v>7.6</v>
      </c>
      <c r="F24" s="414">
        <f>BDI!D14</f>
        <v>11.028359999999999</v>
      </c>
      <c r="G24" s="317"/>
      <c r="H24" s="317"/>
      <c r="I24" s="317"/>
    </row>
    <row r="25" spans="2:9" s="11" customFormat="1" ht="21" x14ac:dyDescent="0.25">
      <c r="B25" s="2"/>
      <c r="C25" s="318" t="s">
        <v>1101</v>
      </c>
      <c r="D25" s="318" t="s">
        <v>312</v>
      </c>
      <c r="E25" s="414">
        <f>BDI!C15</f>
        <v>5</v>
      </c>
      <c r="F25" s="414">
        <f>BDI!D15</f>
        <v>7.2555000000000005</v>
      </c>
      <c r="G25" s="317"/>
      <c r="H25" s="317"/>
      <c r="I25" s="317"/>
    </row>
    <row r="26" spans="2:9" s="11" customFormat="1" ht="21" x14ac:dyDescent="0.25">
      <c r="B26" s="2"/>
      <c r="C26" s="508" t="s">
        <v>1049</v>
      </c>
      <c r="D26" s="508" t="s">
        <v>1048</v>
      </c>
      <c r="E26" s="415">
        <f>BDI!C16</f>
        <v>14.25</v>
      </c>
      <c r="F26" s="415">
        <f>BDI!D16</f>
        <v>20.68</v>
      </c>
      <c r="G26" s="317"/>
      <c r="H26" s="317"/>
      <c r="I26" s="317"/>
    </row>
    <row r="27" spans="2:9" s="11" customFormat="1" ht="21" x14ac:dyDescent="0.25">
      <c r="B27" s="2"/>
      <c r="C27" s="508" t="s">
        <v>1050</v>
      </c>
      <c r="D27" s="508"/>
      <c r="E27" s="415">
        <f>BDI!C17</f>
        <v>31.080912411274205</v>
      </c>
      <c r="F27" s="415">
        <f>BDI!D17</f>
        <v>45.11</v>
      </c>
      <c r="G27" s="317"/>
      <c r="H27" s="317"/>
      <c r="I27" s="317"/>
    </row>
    <row r="28" spans="2:9" s="11" customFormat="1" ht="21" x14ac:dyDescent="0.25">
      <c r="B28" s="317"/>
      <c r="C28" s="68" t="s">
        <v>587</v>
      </c>
      <c r="D28" s="317"/>
      <c r="E28" s="317"/>
      <c r="F28" s="317"/>
      <c r="G28" s="317"/>
      <c r="H28" s="317"/>
      <c r="I28" s="317"/>
    </row>
    <row r="29" spans="2:9" s="11" customFormat="1" ht="21" x14ac:dyDescent="0.25">
      <c r="B29" s="317"/>
      <c r="C29" s="499" t="s">
        <v>1102</v>
      </c>
      <c r="D29" s="499"/>
      <c r="E29" s="499"/>
      <c r="F29" s="499"/>
      <c r="G29" s="317"/>
      <c r="H29" s="317"/>
      <c r="I29" s="317"/>
    </row>
  </sheetData>
  <mergeCells count="11">
    <mergeCell ref="C12:F12"/>
    <mergeCell ref="C11:F11"/>
    <mergeCell ref="C5:F5"/>
    <mergeCell ref="C29:F29"/>
    <mergeCell ref="C13:D13"/>
    <mergeCell ref="C18:D18"/>
    <mergeCell ref="C19:D19"/>
    <mergeCell ref="C21:D21"/>
    <mergeCell ref="C22:D22"/>
    <mergeCell ref="C26:D26"/>
    <mergeCell ref="C27:D27"/>
  </mergeCells>
  <printOptions horizontalCentered="1"/>
  <pageMargins left="0.78740157480314965" right="0.78740157480314965" top="0.39370078740157483" bottom="0.78740157480314965" header="0.19685039370078741" footer="0.19685039370078741"/>
  <pageSetup paperSize="9" scale="82" fitToHeight="0" orientation="portrait" r:id="rId1"/>
  <headerFooter>
    <oddFooter xml:space="preserve">&amp;C&amp;10Av. Des. José Nunes da Cunha, Bloco 14, Parque dos Poderes, Campo Grande (MS), CEP 79031-310
PABX: (67) 3318-5300/ Gab: 5538 – Fax (67) 3318-5386 – gabinete@seinfra.ms.gov.br
</oddFooter>
  </headerFooter>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Planilha14"/>
  <dimension ref="A1:J26"/>
  <sheetViews>
    <sheetView showGridLines="0" view="pageBreakPreview" zoomScale="85" zoomScaleNormal="100" zoomScaleSheetLayoutView="85" workbookViewId="0">
      <selection activeCell="E17" sqref="E17"/>
    </sheetView>
  </sheetViews>
  <sheetFormatPr defaultColWidth="0" defaultRowHeight="33" customHeight="1" x14ac:dyDescent="0.25"/>
  <cols>
    <col min="1" max="1" width="1.7109375" style="2" customWidth="1"/>
    <col min="2" max="2" width="9.85546875" style="2" bestFit="1" customWidth="1"/>
    <col min="3" max="3" width="7.28515625" style="2" customWidth="1"/>
    <col min="4" max="4" width="30.7109375" style="2" customWidth="1"/>
    <col min="5" max="7" width="8.7109375" style="2" customWidth="1"/>
    <col min="8" max="8" width="16.7109375" style="2" bestFit="1" customWidth="1"/>
    <col min="9" max="9" width="16.28515625" style="2" bestFit="1" customWidth="1"/>
    <col min="10" max="10" width="1.7109375" style="2" customWidth="1"/>
    <col min="11" max="16384" width="9.140625" style="2" hidden="1"/>
  </cols>
  <sheetData>
    <row r="1" spans="2:9" ht="9" customHeight="1" x14ac:dyDescent="0.25"/>
    <row r="2" spans="2:9" ht="34.5" customHeight="1" x14ac:dyDescent="0.25"/>
    <row r="3" spans="2:9" ht="15" customHeight="1" x14ac:dyDescent="0.25"/>
    <row r="4" spans="2:9" ht="15" customHeight="1" x14ac:dyDescent="0.25"/>
    <row r="5" spans="2:9" ht="15" x14ac:dyDescent="0.25">
      <c r="B5" s="23" t="s">
        <v>0</v>
      </c>
      <c r="C5" s="459" t="str">
        <f>'Qd abrang'!C4</f>
        <v>Contratação de Projeto Executivo de Engenharia para Implantação do Aeródromo no município de Ribas do Rio Pardo</v>
      </c>
      <c r="D5" s="459"/>
      <c r="E5" s="459"/>
      <c r="F5" s="459"/>
      <c r="G5" s="459"/>
      <c r="H5" s="459"/>
      <c r="I5" s="459"/>
    </row>
    <row r="6" spans="2:9" ht="15" x14ac:dyDescent="0.25">
      <c r="B6" s="5" t="s">
        <v>862</v>
      </c>
      <c r="C6" s="1" t="str">
        <f>'Qd abrang'!C5</f>
        <v>Ribas do Rio Pardo/MS</v>
      </c>
    </row>
    <row r="7" spans="2:9" ht="15" x14ac:dyDescent="0.25">
      <c r="B7" s="5" t="s">
        <v>863</v>
      </c>
      <c r="C7" s="1">
        <f>'Qd abrang'!C6</f>
        <v>0</v>
      </c>
    </row>
    <row r="8" spans="2:9" ht="15" x14ac:dyDescent="0.25">
      <c r="B8" s="5" t="s">
        <v>1</v>
      </c>
      <c r="C8" s="239">
        <f>'Qd abrang'!C7</f>
        <v>1.3</v>
      </c>
      <c r="D8" s="2" t="s">
        <v>3</v>
      </c>
      <c r="H8" s="5" t="s">
        <v>16</v>
      </c>
      <c r="I8" s="6" t="str">
        <f>'Qd abrang'!N7</f>
        <v>79.009.850-2025</v>
      </c>
    </row>
    <row r="9" spans="2:9" ht="15" x14ac:dyDescent="0.25">
      <c r="B9" s="5" t="s">
        <v>2</v>
      </c>
      <c r="C9" s="264">
        <f>'Qd abrang'!C8</f>
        <v>365</v>
      </c>
      <c r="D9" s="2" t="s">
        <v>4</v>
      </c>
      <c r="H9" s="5" t="s">
        <v>17</v>
      </c>
      <c r="I9" s="265">
        <f>'Qd abrang'!N8</f>
        <v>45748</v>
      </c>
    </row>
    <row r="10" spans="2:9" ht="15" customHeight="1" x14ac:dyDescent="0.25"/>
    <row r="11" spans="2:9" s="11" customFormat="1" ht="21" x14ac:dyDescent="0.25">
      <c r="B11" s="458" t="s">
        <v>28</v>
      </c>
      <c r="C11" s="458"/>
      <c r="D11" s="458"/>
      <c r="E11" s="458"/>
      <c r="F11" s="458"/>
      <c r="G11" s="458"/>
      <c r="H11" s="458"/>
      <c r="I11" s="458"/>
    </row>
    <row r="12" spans="2:9" ht="15" customHeight="1" x14ac:dyDescent="0.25"/>
    <row r="13" spans="2:9" ht="30" customHeight="1" x14ac:dyDescent="0.25">
      <c r="B13" s="473" t="s">
        <v>698</v>
      </c>
      <c r="C13" s="478" t="s">
        <v>706</v>
      </c>
      <c r="D13" s="479"/>
      <c r="E13" s="473" t="s">
        <v>707</v>
      </c>
      <c r="F13" s="120" t="s">
        <v>710</v>
      </c>
      <c r="G13" s="120" t="s">
        <v>711</v>
      </c>
      <c r="H13" s="120" t="s">
        <v>712</v>
      </c>
      <c r="I13" s="120" t="s">
        <v>396</v>
      </c>
    </row>
    <row r="14" spans="2:9" ht="15" customHeight="1" x14ac:dyDescent="0.25">
      <c r="B14" s="473"/>
      <c r="C14" s="478"/>
      <c r="D14" s="479"/>
      <c r="E14" s="473"/>
      <c r="F14" s="120" t="s">
        <v>363</v>
      </c>
      <c r="G14" s="120" t="s">
        <v>330</v>
      </c>
      <c r="H14" s="120" t="s">
        <v>331</v>
      </c>
      <c r="I14" s="120" t="s">
        <v>667</v>
      </c>
    </row>
    <row r="15" spans="2:9" ht="15" customHeight="1" x14ac:dyDescent="0.25">
      <c r="B15" s="123">
        <v>1</v>
      </c>
      <c r="C15" s="149" t="s">
        <v>702</v>
      </c>
      <c r="D15" s="150"/>
      <c r="E15" s="123" t="s">
        <v>708</v>
      </c>
      <c r="F15" s="151">
        <v>0</v>
      </c>
      <c r="G15" s="152">
        <v>3</v>
      </c>
      <c r="H15" s="92">
        <v>0</v>
      </c>
      <c r="I15" s="92">
        <f>ROUND(F15*G15*H15,2)</f>
        <v>0</v>
      </c>
    </row>
    <row r="16" spans="2:9" ht="15" customHeight="1" x14ac:dyDescent="0.25">
      <c r="B16" s="22">
        <v>2</v>
      </c>
      <c r="C16" s="58" t="s">
        <v>703</v>
      </c>
      <c r="D16" s="59"/>
      <c r="E16" s="22" t="s">
        <v>709</v>
      </c>
      <c r="F16" s="99">
        <v>0</v>
      </c>
      <c r="G16" s="90">
        <v>3</v>
      </c>
      <c r="H16" s="80">
        <v>0</v>
      </c>
      <c r="I16" s="46">
        <f t="shared" ref="I16:I21" si="0">ROUND(F16*G16*H16,2)</f>
        <v>0</v>
      </c>
    </row>
    <row r="17" spans="2:9" ht="15" customHeight="1" x14ac:dyDescent="0.25">
      <c r="B17" s="22">
        <v>3</v>
      </c>
      <c r="C17" s="58" t="s">
        <v>704</v>
      </c>
      <c r="D17" s="59"/>
      <c r="E17" s="22" t="s">
        <v>708</v>
      </c>
      <c r="F17" s="99">
        <v>0</v>
      </c>
      <c r="G17" s="90">
        <v>3</v>
      </c>
      <c r="H17" s="46">
        <v>0</v>
      </c>
      <c r="I17" s="46">
        <f t="shared" si="0"/>
        <v>0</v>
      </c>
    </row>
    <row r="18" spans="2:9" ht="15" customHeight="1" x14ac:dyDescent="0.25">
      <c r="B18" s="22" t="s">
        <v>699</v>
      </c>
      <c r="C18" s="58" t="s">
        <v>212</v>
      </c>
      <c r="D18" s="59"/>
      <c r="E18" s="22" t="s">
        <v>708</v>
      </c>
      <c r="F18" s="99">
        <v>0</v>
      </c>
      <c r="G18" s="90">
        <v>3</v>
      </c>
      <c r="H18" s="46">
        <v>0</v>
      </c>
      <c r="I18" s="46">
        <f t="shared" si="0"/>
        <v>0</v>
      </c>
    </row>
    <row r="19" spans="2:9" ht="15" customHeight="1" x14ac:dyDescent="0.25">
      <c r="B19" s="22" t="s">
        <v>700</v>
      </c>
      <c r="C19" s="58" t="s">
        <v>705</v>
      </c>
      <c r="D19" s="59"/>
      <c r="E19" s="22" t="s">
        <v>708</v>
      </c>
      <c r="F19" s="99">
        <v>0</v>
      </c>
      <c r="G19" s="90">
        <v>3</v>
      </c>
      <c r="H19" s="46">
        <v>0</v>
      </c>
      <c r="I19" s="46">
        <f t="shared" si="0"/>
        <v>0</v>
      </c>
    </row>
    <row r="20" spans="2:9" ht="15" customHeight="1" x14ac:dyDescent="0.25">
      <c r="B20" s="22" t="s">
        <v>701</v>
      </c>
      <c r="C20" s="58" t="s">
        <v>220</v>
      </c>
      <c r="D20" s="59"/>
      <c r="E20" s="22" t="s">
        <v>708</v>
      </c>
      <c r="F20" s="99">
        <v>0</v>
      </c>
      <c r="G20" s="90">
        <v>3</v>
      </c>
      <c r="H20" s="46">
        <v>0</v>
      </c>
      <c r="I20" s="46">
        <f t="shared" si="0"/>
        <v>0</v>
      </c>
    </row>
    <row r="21" spans="2:9" ht="15" customHeight="1" x14ac:dyDescent="0.25">
      <c r="B21" s="22">
        <v>4</v>
      </c>
      <c r="C21" s="17" t="s">
        <v>609</v>
      </c>
      <c r="D21" s="18"/>
      <c r="E21" s="22" t="s">
        <v>708</v>
      </c>
      <c r="F21" s="99">
        <v>0</v>
      </c>
      <c r="G21" s="153">
        <v>6</v>
      </c>
      <c r="H21" s="80">
        <v>0</v>
      </c>
      <c r="I21" s="80">
        <f t="shared" si="0"/>
        <v>0</v>
      </c>
    </row>
    <row r="22" spans="2:9" s="84" customFormat="1" ht="15" customHeight="1" x14ac:dyDescent="0.25">
      <c r="B22" s="126"/>
      <c r="C22" s="125"/>
      <c r="D22" s="125"/>
      <c r="E22" s="125"/>
      <c r="F22" s="125"/>
      <c r="G22" s="125"/>
      <c r="H22" s="136" t="s">
        <v>713</v>
      </c>
      <c r="I22" s="77">
        <f>SUM(I15:I21)</f>
        <v>0</v>
      </c>
    </row>
    <row r="23" spans="2:9" ht="15" customHeight="1" x14ac:dyDescent="0.25">
      <c r="B23" s="68" t="s">
        <v>587</v>
      </c>
    </row>
    <row r="24" spans="2:9" ht="15" customHeight="1" x14ac:dyDescent="0.25">
      <c r="B24" s="87" t="s">
        <v>1127</v>
      </c>
      <c r="F24" s="87"/>
    </row>
    <row r="25" spans="2:9" ht="15" customHeight="1" x14ac:dyDescent="0.25">
      <c r="B25" s="87" t="s">
        <v>1128</v>
      </c>
      <c r="F25" s="89"/>
    </row>
    <row r="26" spans="2:9" ht="45" customHeight="1" x14ac:dyDescent="0.25">
      <c r="B26" s="509" t="s">
        <v>1032</v>
      </c>
      <c r="C26" s="509"/>
      <c r="D26" s="509"/>
      <c r="E26" s="509"/>
      <c r="F26" s="509"/>
      <c r="G26" s="509"/>
      <c r="H26" s="509"/>
      <c r="I26" s="509"/>
    </row>
  </sheetData>
  <mergeCells count="6">
    <mergeCell ref="B26:I26"/>
    <mergeCell ref="C5:I5"/>
    <mergeCell ref="B11:I11"/>
    <mergeCell ref="B13:B14"/>
    <mergeCell ref="C13:D14"/>
    <mergeCell ref="E13:E14"/>
  </mergeCells>
  <printOptions horizontalCentered="1"/>
  <pageMargins left="0.98425196850393704" right="0.98425196850393704" top="0.78740157480314965" bottom="0.78740157480314965" header="0.19685039370078741" footer="0.19685039370078741"/>
  <pageSetup paperSize="9" orientation="landscape" r:id="rId1"/>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Planilha15">
    <tabColor theme="9"/>
    <pageSetUpPr fitToPage="1"/>
  </sheetPr>
  <dimension ref="A1:AG45"/>
  <sheetViews>
    <sheetView showGridLines="0" view="pageBreakPreview" zoomScaleNormal="100" zoomScaleSheetLayoutView="100" workbookViewId="0">
      <selection activeCell="F14" sqref="F14"/>
    </sheetView>
  </sheetViews>
  <sheetFormatPr defaultColWidth="0" defaultRowHeight="15" customHeight="1" zeroHeight="1" x14ac:dyDescent="0.25"/>
  <cols>
    <col min="1" max="1" width="1.7109375" style="2" customWidth="1"/>
    <col min="2" max="2" width="9.85546875" style="2" bestFit="1" customWidth="1"/>
    <col min="3" max="3" width="7.28515625" style="2" customWidth="1"/>
    <col min="4" max="4" width="5.85546875" style="2" customWidth="1"/>
    <col min="5" max="5" width="46.5703125" style="2" bestFit="1" customWidth="1"/>
    <col min="6" max="6" width="15.7109375" style="2" bestFit="1" customWidth="1"/>
    <col min="7" max="7" width="13.140625" style="2" bestFit="1" customWidth="1"/>
    <col min="8" max="8" width="16.28515625" style="2" bestFit="1" customWidth="1"/>
    <col min="9" max="9" width="1.7109375" style="2" customWidth="1"/>
    <col min="10" max="19" width="9.140625" style="2" hidden="1" customWidth="1"/>
    <col min="20" max="33" width="0" style="2" hidden="1" customWidth="1"/>
    <col min="34" max="16384" width="9.140625" style="2" hidden="1"/>
  </cols>
  <sheetData>
    <row r="1" spans="2:8" ht="9" customHeight="1" x14ac:dyDescent="0.25"/>
    <row r="2" spans="2:8" ht="34.5" customHeight="1" x14ac:dyDescent="0.25"/>
    <row r="3" spans="2:8" x14ac:dyDescent="0.25"/>
    <row r="4" spans="2:8" x14ac:dyDescent="0.25"/>
    <row r="5" spans="2:8" x14ac:dyDescent="0.25">
      <c r="B5" s="23" t="s">
        <v>0</v>
      </c>
      <c r="C5" s="459" t="str">
        <f>'Qd abrang'!C4</f>
        <v>Contratação de Projeto Executivo de Engenharia para Implantação do Aeródromo no município de Ribas do Rio Pardo</v>
      </c>
      <c r="D5" s="459"/>
      <c r="E5" s="459"/>
      <c r="F5" s="459"/>
      <c r="G5" s="459"/>
      <c r="H5" s="459"/>
    </row>
    <row r="6" spans="2:8" x14ac:dyDescent="0.25">
      <c r="B6" s="5" t="s">
        <v>862</v>
      </c>
      <c r="C6" s="1" t="str">
        <f>'Qd abrang'!C5</f>
        <v>Ribas do Rio Pardo/MS</v>
      </c>
    </row>
    <row r="7" spans="2:8" x14ac:dyDescent="0.25">
      <c r="B7" s="5" t="s">
        <v>863</v>
      </c>
      <c r="C7" s="1">
        <f>'Qd abrang'!C6</f>
        <v>0</v>
      </c>
    </row>
    <row r="8" spans="2:8" x14ac:dyDescent="0.25">
      <c r="B8" s="5" t="s">
        <v>1</v>
      </c>
      <c r="C8" s="239">
        <f>'Qd abrang'!C7</f>
        <v>1.3</v>
      </c>
      <c r="D8" s="2" t="s">
        <v>13</v>
      </c>
      <c r="E8" s="2" t="s">
        <v>1138</v>
      </c>
      <c r="G8" s="5" t="s">
        <v>16</v>
      </c>
      <c r="H8" s="6" t="str">
        <f>'Qd abrang'!N7</f>
        <v>79.009.850-2025</v>
      </c>
    </row>
    <row r="9" spans="2:8" x14ac:dyDescent="0.25">
      <c r="B9" s="5" t="s">
        <v>2</v>
      </c>
      <c r="C9" s="264">
        <f>'Qd abrang'!C8</f>
        <v>365</v>
      </c>
      <c r="D9" s="2" t="s">
        <v>4</v>
      </c>
      <c r="G9" s="5" t="s">
        <v>17</v>
      </c>
      <c r="H9" s="265">
        <f>'Qd abrang'!N8</f>
        <v>45748</v>
      </c>
    </row>
    <row r="10" spans="2:8" x14ac:dyDescent="0.25"/>
    <row r="11" spans="2:8" s="11" customFormat="1" ht="21" x14ac:dyDescent="0.25">
      <c r="E11" s="458" t="s">
        <v>203</v>
      </c>
      <c r="F11" s="458"/>
      <c r="G11" s="458"/>
    </row>
    <row r="12" spans="2:8" ht="15" customHeight="1" x14ac:dyDescent="0.25"/>
    <row r="13" spans="2:8" ht="30" customHeight="1" x14ac:dyDescent="0.25">
      <c r="E13" s="14" t="s">
        <v>204</v>
      </c>
      <c r="F13" s="9" t="s">
        <v>1020</v>
      </c>
      <c r="G13" s="9" t="s">
        <v>205</v>
      </c>
    </row>
    <row r="14" spans="2:8" ht="15" customHeight="1" x14ac:dyDescent="0.25">
      <c r="E14" s="7" t="s">
        <v>206</v>
      </c>
      <c r="F14" s="297">
        <f t="shared" ref="F14:F30" si="0">1/G14</f>
        <v>0.5</v>
      </c>
      <c r="G14" s="187">
        <f>'Memo calc'!D25</f>
        <v>2</v>
      </c>
    </row>
    <row r="15" spans="2:8" ht="15" customHeight="1" x14ac:dyDescent="0.25">
      <c r="E15" s="7" t="s">
        <v>207</v>
      </c>
      <c r="F15" s="385">
        <f t="shared" si="0"/>
        <v>0.33333333333333331</v>
      </c>
      <c r="G15" s="32">
        <f>'Memo calc'!K70</f>
        <v>3</v>
      </c>
    </row>
    <row r="16" spans="2:8" ht="15" customHeight="1" x14ac:dyDescent="0.25">
      <c r="E16" s="7" t="s">
        <v>209</v>
      </c>
      <c r="F16" s="385">
        <f t="shared" si="0"/>
        <v>0.5</v>
      </c>
      <c r="G16" s="40">
        <f>'Memo calc'!H197</f>
        <v>2</v>
      </c>
    </row>
    <row r="17" spans="5:7" ht="15" customHeight="1" x14ac:dyDescent="0.25">
      <c r="E17" s="7" t="s">
        <v>210</v>
      </c>
      <c r="F17" s="385">
        <f t="shared" si="0"/>
        <v>0.5</v>
      </c>
      <c r="G17" s="40">
        <f>'Memo calc'!H241</f>
        <v>2</v>
      </c>
    </row>
    <row r="18" spans="5:7" ht="15" customHeight="1" x14ac:dyDescent="0.25">
      <c r="E18" s="7" t="s">
        <v>208</v>
      </c>
      <c r="F18" s="385">
        <f t="shared" si="0"/>
        <v>1</v>
      </c>
      <c r="G18" s="32">
        <f>'Memo calc'!F283</f>
        <v>1</v>
      </c>
    </row>
    <row r="19" spans="5:7" ht="15" customHeight="1" x14ac:dyDescent="0.25">
      <c r="E19" s="7" t="s">
        <v>211</v>
      </c>
      <c r="F19" s="385">
        <f t="shared" si="0"/>
        <v>0.2</v>
      </c>
      <c r="G19" s="40">
        <f>'Memo calc'!G406</f>
        <v>5</v>
      </c>
    </row>
    <row r="20" spans="5:7" ht="15" customHeight="1" x14ac:dyDescent="0.25">
      <c r="E20" s="7" t="s">
        <v>212</v>
      </c>
      <c r="F20" s="385">
        <f t="shared" si="0"/>
        <v>6.25E-2</v>
      </c>
      <c r="G20" s="102">
        <f>ROUNDUP('Memo calc'!H597+'Memo calc'!H598+'Memo calc'!J601,0)</f>
        <v>16</v>
      </c>
    </row>
    <row r="21" spans="5:7" ht="15" customHeight="1" x14ac:dyDescent="0.25">
      <c r="E21" s="7" t="s">
        <v>213</v>
      </c>
      <c r="F21" s="385">
        <f t="shared" si="0"/>
        <v>0.1111111111111111</v>
      </c>
      <c r="G21" s="102">
        <f>ROUNDUP('Memo calc'!M743,0)</f>
        <v>9</v>
      </c>
    </row>
    <row r="22" spans="5:7" ht="15" customHeight="1" x14ac:dyDescent="0.25">
      <c r="E22" s="7" t="s">
        <v>214</v>
      </c>
      <c r="F22" s="385">
        <f t="shared" si="0"/>
        <v>6.6666666666666666E-2</v>
      </c>
      <c r="G22" s="102">
        <f>ROUNDUP('Memo calc'!M789,0)</f>
        <v>15</v>
      </c>
    </row>
    <row r="23" spans="5:7" ht="15" customHeight="1" x14ac:dyDescent="0.25">
      <c r="E23" s="7" t="s">
        <v>215</v>
      </c>
      <c r="F23" s="385">
        <f t="shared" si="0"/>
        <v>6.6666666666666666E-2</v>
      </c>
      <c r="G23" s="102">
        <f>ROUNDUP('Memo calc'!M835,0)</f>
        <v>15</v>
      </c>
    </row>
    <row r="24" spans="5:7" ht="15" customHeight="1" x14ac:dyDescent="0.25">
      <c r="E24" s="7" t="s">
        <v>216</v>
      </c>
      <c r="F24" s="385">
        <f t="shared" si="0"/>
        <v>0.1111111111111111</v>
      </c>
      <c r="G24" s="102">
        <f>ROUNDUP('Memo calc'!M881,0)</f>
        <v>9</v>
      </c>
    </row>
    <row r="25" spans="5:7" ht="15" customHeight="1" x14ac:dyDescent="0.25">
      <c r="E25" s="7" t="s">
        <v>217</v>
      </c>
      <c r="F25" s="385">
        <f t="shared" si="0"/>
        <v>0.14285714285714285</v>
      </c>
      <c r="G25" s="102">
        <f>ROUNDUP('Memo calc'!M927,0)</f>
        <v>7</v>
      </c>
    </row>
    <row r="26" spans="5:7" ht="15" customHeight="1" x14ac:dyDescent="0.25">
      <c r="E26" s="7" t="s">
        <v>218</v>
      </c>
      <c r="F26" s="385">
        <f t="shared" si="0"/>
        <v>0.1</v>
      </c>
      <c r="G26" s="102">
        <f>ROUNDUP('Memo calc'!N973,0)</f>
        <v>10</v>
      </c>
    </row>
    <row r="27" spans="5:7" ht="15" customHeight="1" x14ac:dyDescent="0.25">
      <c r="E27" s="7" t="s">
        <v>219</v>
      </c>
      <c r="F27" s="385">
        <f t="shared" si="0"/>
        <v>0.25</v>
      </c>
      <c r="G27" s="102">
        <f>ROUNDUP('Memo calc'!O1016,0)</f>
        <v>4</v>
      </c>
    </row>
    <row r="28" spans="5:7" ht="15" customHeight="1" x14ac:dyDescent="0.25">
      <c r="E28" s="7" t="s">
        <v>220</v>
      </c>
      <c r="F28" s="385">
        <f t="shared" si="0"/>
        <v>0.5</v>
      </c>
      <c r="G28" s="102">
        <f>ROUNDUP('Memo calc'!O1065,0)</f>
        <v>2</v>
      </c>
    </row>
    <row r="29" spans="5:7" ht="15" customHeight="1" x14ac:dyDescent="0.25">
      <c r="E29" s="7" t="s">
        <v>221</v>
      </c>
      <c r="F29" s="385">
        <f t="shared" si="0"/>
        <v>0.14285714285714285</v>
      </c>
      <c r="G29" s="102">
        <f>ROUNDUP('Memo calc'!M1111,0)</f>
        <v>7</v>
      </c>
    </row>
    <row r="30" spans="5:7" ht="15" customHeight="1" x14ac:dyDescent="0.25">
      <c r="E30" s="219" t="s">
        <v>926</v>
      </c>
      <c r="F30" s="385">
        <f t="shared" si="0"/>
        <v>0.16666666666666666</v>
      </c>
      <c r="G30" s="223">
        <f>ROUNDUP('Memo calc'!J1156,0)</f>
        <v>6</v>
      </c>
    </row>
    <row r="31" spans="5:7" ht="9" customHeight="1" x14ac:dyDescent="0.25">
      <c r="G31" s="238"/>
    </row>
    <row r="32" spans="5:7" ht="15" hidden="1" customHeight="1" x14ac:dyDescent="0.25"/>
    <row r="33" ht="15" hidden="1" customHeight="1" x14ac:dyDescent="0.25"/>
    <row r="34" ht="15" hidden="1" customHeight="1" x14ac:dyDescent="0.25"/>
    <row r="35" ht="15" hidden="1" customHeight="1" x14ac:dyDescent="0.25"/>
    <row r="36" ht="15" hidden="1" customHeight="1" x14ac:dyDescent="0.25"/>
    <row r="37" ht="15" hidden="1" customHeight="1" x14ac:dyDescent="0.25"/>
    <row r="38" ht="15" hidden="1" customHeight="1" x14ac:dyDescent="0.25"/>
    <row r="39" ht="15" hidden="1" customHeight="1" x14ac:dyDescent="0.25"/>
    <row r="40" ht="15" hidden="1" customHeight="1" x14ac:dyDescent="0.25"/>
    <row r="41" ht="15" hidden="1" customHeight="1" x14ac:dyDescent="0.25"/>
    <row r="42" ht="15" hidden="1" customHeight="1" x14ac:dyDescent="0.25"/>
    <row r="43" ht="15" customHeight="1" x14ac:dyDescent="0.25"/>
    <row r="44" ht="15" customHeight="1" x14ac:dyDescent="0.25"/>
    <row r="45" ht="15" customHeight="1" x14ac:dyDescent="0.25"/>
  </sheetData>
  <mergeCells count="2">
    <mergeCell ref="E11:G11"/>
    <mergeCell ref="C5:H5"/>
  </mergeCells>
  <pageMargins left="0.511811024" right="0.511811024" top="0.78740157499999996" bottom="0.78740157499999996" header="0.31496062000000002" footer="0.31496062000000002"/>
  <pageSetup paperSize="9" scale="79" orientation="portrait" r:id="rId1"/>
  <drawing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Planilha16">
    <tabColor theme="9"/>
    <pageSetUpPr fitToPage="1"/>
  </sheetPr>
  <dimension ref="B1:P94"/>
  <sheetViews>
    <sheetView view="pageBreakPreview" zoomScaleNormal="100" zoomScaleSheetLayoutView="100" workbookViewId="0">
      <selection activeCell="K16" sqref="K16"/>
    </sheetView>
  </sheetViews>
  <sheetFormatPr defaultRowHeight="15" x14ac:dyDescent="0.25"/>
  <cols>
    <col min="1" max="1" width="1.7109375" customWidth="1"/>
    <col min="2" max="2" width="9.85546875" customWidth="1"/>
    <col min="3" max="3" width="5.85546875" customWidth="1"/>
    <col min="6" max="6" width="10" customWidth="1"/>
    <col min="7" max="7" width="17.28515625" customWidth="1"/>
    <col min="8" max="8" width="19.7109375" customWidth="1"/>
    <col min="9" max="9" width="12.7109375" customWidth="1"/>
    <col min="10" max="10" width="17.140625" customWidth="1"/>
  </cols>
  <sheetData>
    <row r="1" spans="2:16" s="2" customFormat="1" ht="9" customHeight="1" x14ac:dyDescent="0.25"/>
    <row r="2" spans="2:16" s="2" customFormat="1" ht="34.5" customHeight="1" x14ac:dyDescent="0.25"/>
    <row r="3" spans="2:16" s="2" customFormat="1" ht="15" customHeight="1" x14ac:dyDescent="0.25"/>
    <row r="4" spans="2:16" s="2" customFormat="1" ht="15" customHeight="1" x14ac:dyDescent="0.25"/>
    <row r="5" spans="2:16" s="2" customFormat="1" x14ac:dyDescent="0.25">
      <c r="B5" s="23" t="s">
        <v>0</v>
      </c>
      <c r="C5" s="459" t="str">
        <f>'Qd abrang'!C4</f>
        <v>Contratação de Projeto Executivo de Engenharia para Implantação do Aeródromo no município de Ribas do Rio Pardo</v>
      </c>
      <c r="D5" s="459"/>
      <c r="E5" s="459"/>
      <c r="F5" s="459"/>
      <c r="G5" s="459"/>
      <c r="H5" s="459"/>
      <c r="I5" s="459"/>
      <c r="J5" s="459"/>
    </row>
    <row r="6" spans="2:16" s="2" customFormat="1" x14ac:dyDescent="0.25">
      <c r="B6" s="5" t="s">
        <v>862</v>
      </c>
      <c r="C6" s="1" t="str">
        <f>'Qd abrang'!C5</f>
        <v>Ribas do Rio Pardo/MS</v>
      </c>
    </row>
    <row r="7" spans="2:16" s="2" customFormat="1" x14ac:dyDescent="0.25">
      <c r="B7" s="5" t="s">
        <v>863</v>
      </c>
      <c r="C7" s="1">
        <f>'Qd abrang'!C6</f>
        <v>0</v>
      </c>
    </row>
    <row r="8" spans="2:16" s="2" customFormat="1" x14ac:dyDescent="0.25">
      <c r="B8" s="5" t="s">
        <v>1</v>
      </c>
      <c r="C8" s="239">
        <f>'Qd abrang'!C7</f>
        <v>1.3</v>
      </c>
      <c r="D8" s="2" t="s">
        <v>13</v>
      </c>
      <c r="I8" s="5" t="s">
        <v>16</v>
      </c>
      <c r="J8" s="6" t="str">
        <f>'Qd abrang'!N7</f>
        <v>79.009.850-2025</v>
      </c>
    </row>
    <row r="9" spans="2:16" s="2" customFormat="1" x14ac:dyDescent="0.25">
      <c r="B9" s="5" t="s">
        <v>2</v>
      </c>
      <c r="C9" s="264">
        <f>'Qd abrang'!C8</f>
        <v>365</v>
      </c>
      <c r="D9" s="2" t="s">
        <v>4</v>
      </c>
      <c r="I9" s="5" t="s">
        <v>17</v>
      </c>
      <c r="J9" s="265">
        <f>'Qd abrang'!N8</f>
        <v>45748</v>
      </c>
    </row>
    <row r="10" spans="2:16" s="2" customFormat="1" ht="15" customHeight="1" x14ac:dyDescent="0.25"/>
    <row r="11" spans="2:16" ht="21" x14ac:dyDescent="0.25">
      <c r="B11" s="458" t="s">
        <v>787</v>
      </c>
      <c r="C11" s="458"/>
      <c r="D11" s="458"/>
      <c r="E11" s="458"/>
      <c r="F11" s="458"/>
      <c r="G11" s="458"/>
      <c r="H11" s="458"/>
      <c r="I11" s="458"/>
      <c r="J11" s="458"/>
      <c r="K11" s="458"/>
      <c r="L11" s="458"/>
      <c r="M11" s="11"/>
      <c r="N11" s="11"/>
      <c r="O11" s="11"/>
      <c r="P11" s="11"/>
    </row>
    <row r="12" spans="2:16" x14ac:dyDescent="0.25">
      <c r="B12" s="2"/>
      <c r="C12" s="2"/>
      <c r="D12" s="2"/>
      <c r="E12" s="2"/>
      <c r="F12" s="2"/>
      <c r="G12" s="2"/>
      <c r="H12" s="2"/>
      <c r="I12" s="2"/>
      <c r="J12" s="2"/>
      <c r="K12" s="2"/>
      <c r="L12" s="2"/>
      <c r="M12" s="2"/>
      <c r="N12" s="2"/>
      <c r="O12" s="2"/>
      <c r="P12" s="2"/>
    </row>
    <row r="13" spans="2:16" ht="17.25" x14ac:dyDescent="0.25">
      <c r="B13" s="164" t="s">
        <v>788</v>
      </c>
      <c r="C13" s="2"/>
      <c r="D13" s="2"/>
      <c r="E13" s="2"/>
      <c r="F13" s="2"/>
      <c r="G13" s="2"/>
      <c r="H13" s="2"/>
      <c r="I13" s="2"/>
      <c r="J13" s="2"/>
      <c r="K13" s="2"/>
      <c r="L13" s="2"/>
      <c r="M13" s="2"/>
      <c r="N13" s="2"/>
      <c r="O13" s="2"/>
      <c r="P13" s="2"/>
    </row>
    <row r="14" spans="2:16" x14ac:dyDescent="0.25">
      <c r="B14" s="159" t="s">
        <v>789</v>
      </c>
      <c r="C14" s="474" t="s">
        <v>790</v>
      </c>
      <c r="D14" s="474"/>
      <c r="E14" s="159" t="s">
        <v>791</v>
      </c>
      <c r="F14" s="159" t="s">
        <v>792</v>
      </c>
      <c r="G14" s="159" t="s">
        <v>793</v>
      </c>
      <c r="H14" s="159" t="s">
        <v>794</v>
      </c>
      <c r="I14" s="474" t="s">
        <v>795</v>
      </c>
      <c r="J14" s="474"/>
      <c r="K14" s="2"/>
      <c r="L14" s="2"/>
      <c r="M14" s="2"/>
      <c r="N14" s="2"/>
      <c r="O14" s="2"/>
      <c r="P14" s="2"/>
    </row>
    <row r="15" spans="2:16" x14ac:dyDescent="0.25">
      <c r="B15" s="10" t="s">
        <v>796</v>
      </c>
      <c r="C15" s="513">
        <v>0</v>
      </c>
      <c r="D15" s="513"/>
      <c r="E15" s="165">
        <v>0</v>
      </c>
      <c r="F15" s="165">
        <v>0</v>
      </c>
      <c r="G15" s="165">
        <v>0</v>
      </c>
      <c r="H15" s="166">
        <f>MAX(C15:G15)</f>
        <v>0</v>
      </c>
      <c r="I15" s="31">
        <v>1</v>
      </c>
      <c r="J15" s="71" t="s">
        <v>198</v>
      </c>
      <c r="K15" s="2"/>
      <c r="L15" s="3"/>
      <c r="M15" s="2"/>
      <c r="N15" s="2"/>
      <c r="O15" s="2"/>
      <c r="P15" s="2"/>
    </row>
    <row r="16" spans="2:16" x14ac:dyDescent="0.25">
      <c r="B16" s="10" t="s">
        <v>797</v>
      </c>
      <c r="C16" s="513">
        <v>0</v>
      </c>
      <c r="D16" s="513"/>
      <c r="E16" s="165">
        <v>0</v>
      </c>
      <c r="F16" s="165">
        <v>0</v>
      </c>
      <c r="G16" s="165">
        <v>0</v>
      </c>
      <c r="H16" s="166">
        <f>1-(H15+H17)</f>
        <v>0</v>
      </c>
      <c r="I16" s="31">
        <v>2</v>
      </c>
      <c r="J16" s="71" t="s">
        <v>198</v>
      </c>
      <c r="K16" s="2"/>
      <c r="L16" s="3"/>
      <c r="M16" s="2"/>
      <c r="N16" s="2"/>
      <c r="O16" s="2"/>
      <c r="P16" s="2"/>
    </row>
    <row r="17" spans="2:16" x14ac:dyDescent="0.25">
      <c r="B17" s="10" t="s">
        <v>798</v>
      </c>
      <c r="C17" s="513">
        <v>1</v>
      </c>
      <c r="D17" s="513"/>
      <c r="E17" s="165">
        <v>1</v>
      </c>
      <c r="F17" s="165">
        <v>1</v>
      </c>
      <c r="G17" s="165">
        <v>1</v>
      </c>
      <c r="H17" s="166">
        <f>MIN(C17:G17)</f>
        <v>1</v>
      </c>
      <c r="I17" s="31">
        <v>3</v>
      </c>
      <c r="J17" s="71" t="s">
        <v>198</v>
      </c>
      <c r="K17" s="2"/>
      <c r="L17" s="3"/>
      <c r="M17" s="2"/>
      <c r="N17" s="2"/>
      <c r="O17" s="2"/>
      <c r="P17" s="2"/>
    </row>
    <row r="18" spans="2:16" x14ac:dyDescent="0.25">
      <c r="B18" s="2"/>
      <c r="C18" s="514">
        <f>SUM(C15:D17)</f>
        <v>1</v>
      </c>
      <c r="D18" s="514"/>
      <c r="E18" s="167">
        <f>SUM(E15:E17)</f>
        <v>1</v>
      </c>
      <c r="F18" s="167">
        <f>SUM(F15:F17)</f>
        <v>1</v>
      </c>
      <c r="G18" s="167">
        <f>SUM(G15:G17)</f>
        <v>1</v>
      </c>
      <c r="H18" s="167">
        <f>SUM(H15:H17)</f>
        <v>1</v>
      </c>
      <c r="I18" s="168">
        <f>H15*I15+H16*I16+H17*I17</f>
        <v>3</v>
      </c>
      <c r="J18" s="169" t="s">
        <v>198</v>
      </c>
      <c r="K18" s="2"/>
      <c r="L18" s="2"/>
      <c r="M18" s="2"/>
      <c r="N18" s="2"/>
      <c r="O18" s="2"/>
      <c r="P18" s="2"/>
    </row>
    <row r="19" spans="2:16" x14ac:dyDescent="0.25">
      <c r="B19" s="2"/>
      <c r="C19" s="2"/>
      <c r="D19" s="2"/>
      <c r="E19" s="2"/>
      <c r="F19" s="2"/>
      <c r="G19" s="2"/>
      <c r="H19" s="2"/>
      <c r="I19" s="2"/>
      <c r="J19" s="2"/>
      <c r="K19" s="2"/>
      <c r="L19" s="2"/>
      <c r="M19" s="2"/>
      <c r="N19" s="2"/>
      <c r="O19" s="2"/>
      <c r="P19" s="2"/>
    </row>
    <row r="20" spans="2:16" ht="17.25" x14ac:dyDescent="0.25">
      <c r="B20" s="164" t="s">
        <v>799</v>
      </c>
      <c r="C20" s="2"/>
      <c r="D20" s="2"/>
      <c r="E20" s="2"/>
      <c r="F20" s="2"/>
      <c r="G20" s="2"/>
      <c r="H20" s="2"/>
      <c r="I20" s="2"/>
      <c r="J20" s="2"/>
      <c r="K20" s="2"/>
      <c r="L20" s="2"/>
      <c r="M20" s="2"/>
      <c r="N20" s="2"/>
      <c r="O20" s="2"/>
      <c r="P20" s="2"/>
    </row>
    <row r="21" spans="2:16" ht="30" x14ac:dyDescent="0.25">
      <c r="B21" s="159" t="s">
        <v>789</v>
      </c>
      <c r="C21" s="473" t="s">
        <v>800</v>
      </c>
      <c r="D21" s="473"/>
      <c r="E21" s="158" t="s">
        <v>801</v>
      </c>
      <c r="F21" s="159" t="s">
        <v>792</v>
      </c>
      <c r="G21" s="159" t="s">
        <v>793</v>
      </c>
      <c r="H21" s="159" t="s">
        <v>794</v>
      </c>
      <c r="I21" s="474" t="s">
        <v>795</v>
      </c>
      <c r="J21" s="474"/>
      <c r="K21" s="2"/>
      <c r="L21" s="2"/>
      <c r="M21" s="2"/>
      <c r="N21" s="2"/>
      <c r="O21" s="2"/>
      <c r="P21" s="2"/>
    </row>
    <row r="22" spans="2:16" x14ac:dyDescent="0.25">
      <c r="B22" s="162" t="s">
        <v>796</v>
      </c>
      <c r="C22" s="513">
        <v>0</v>
      </c>
      <c r="D22" s="513"/>
      <c r="E22" s="165">
        <v>0</v>
      </c>
      <c r="F22" s="165">
        <v>0</v>
      </c>
      <c r="G22" s="165">
        <v>0</v>
      </c>
      <c r="H22" s="166">
        <f>MAX(C22:G22)</f>
        <v>0</v>
      </c>
      <c r="I22" s="31">
        <v>5</v>
      </c>
      <c r="J22" s="71" t="s">
        <v>802</v>
      </c>
      <c r="K22" s="2"/>
      <c r="L22" s="2"/>
      <c r="M22" s="2"/>
      <c r="N22" s="2"/>
      <c r="O22" s="2"/>
      <c r="P22" s="2"/>
    </row>
    <row r="23" spans="2:16" x14ac:dyDescent="0.25">
      <c r="B23" s="162" t="s">
        <v>797</v>
      </c>
      <c r="C23" s="513">
        <v>0</v>
      </c>
      <c r="D23" s="513"/>
      <c r="E23" s="165">
        <v>0</v>
      </c>
      <c r="F23" s="165">
        <v>0</v>
      </c>
      <c r="G23" s="165">
        <v>0</v>
      </c>
      <c r="H23" s="166">
        <f>1-(H22+H24)</f>
        <v>0</v>
      </c>
      <c r="I23" s="31">
        <v>10</v>
      </c>
      <c r="J23" s="71" t="s">
        <v>802</v>
      </c>
      <c r="K23" s="2"/>
      <c r="L23" s="2"/>
      <c r="M23" s="2"/>
      <c r="N23" s="2"/>
      <c r="O23" s="2"/>
      <c r="P23" s="2"/>
    </row>
    <row r="24" spans="2:16" x14ac:dyDescent="0.25">
      <c r="B24" s="162" t="s">
        <v>798</v>
      </c>
      <c r="C24" s="513">
        <v>1</v>
      </c>
      <c r="D24" s="513"/>
      <c r="E24" s="165">
        <v>1</v>
      </c>
      <c r="F24" s="165">
        <v>1</v>
      </c>
      <c r="G24" s="165">
        <v>1</v>
      </c>
      <c r="H24" s="166">
        <f>MIN(C24:G24)</f>
        <v>1</v>
      </c>
      <c r="I24" s="31">
        <v>15</v>
      </c>
      <c r="J24" s="71" t="s">
        <v>802</v>
      </c>
      <c r="K24" s="2"/>
      <c r="L24" s="2"/>
      <c r="M24" s="2"/>
      <c r="N24" s="2"/>
      <c r="O24" s="2"/>
      <c r="P24" s="2"/>
    </row>
    <row r="25" spans="2:16" x14ac:dyDescent="0.25">
      <c r="B25" s="2"/>
      <c r="C25" s="514">
        <f>SUM(C22:D24)</f>
        <v>1</v>
      </c>
      <c r="D25" s="514"/>
      <c r="E25" s="167">
        <f>SUM(E22:E24)</f>
        <v>1</v>
      </c>
      <c r="F25" s="167">
        <f>SUM(F22:F24)</f>
        <v>1</v>
      </c>
      <c r="G25" s="167">
        <f>SUM(G22:G24)</f>
        <v>1</v>
      </c>
      <c r="H25" s="167">
        <f>SUM(H22:H24)</f>
        <v>1</v>
      </c>
      <c r="I25" s="168">
        <f>H22*I22+H23*I23+H24*I24</f>
        <v>15</v>
      </c>
      <c r="J25" s="169" t="s">
        <v>802</v>
      </c>
      <c r="K25" s="2"/>
      <c r="L25" s="2"/>
      <c r="M25" s="2"/>
      <c r="N25" s="2"/>
      <c r="O25" s="2"/>
      <c r="P25" s="2"/>
    </row>
    <row r="26" spans="2:16" x14ac:dyDescent="0.25">
      <c r="B26" s="2"/>
      <c r="C26" s="2"/>
      <c r="D26" s="2"/>
      <c r="E26" s="2"/>
      <c r="F26" s="2"/>
      <c r="G26" s="2"/>
      <c r="H26" s="2"/>
      <c r="I26" s="2"/>
      <c r="J26" s="2"/>
      <c r="K26" s="2"/>
      <c r="L26" s="2"/>
      <c r="M26" s="2"/>
      <c r="N26" s="2"/>
      <c r="O26" s="2"/>
      <c r="P26" s="2"/>
    </row>
    <row r="27" spans="2:16" ht="17.25" x14ac:dyDescent="0.25">
      <c r="B27" s="164" t="s">
        <v>1208</v>
      </c>
      <c r="C27" s="2"/>
      <c r="D27" s="2"/>
      <c r="E27" s="2"/>
      <c r="F27" s="2"/>
      <c r="G27" s="2"/>
      <c r="H27" s="2"/>
      <c r="I27" s="2"/>
      <c r="J27" s="2"/>
      <c r="K27" s="2"/>
      <c r="L27" s="2"/>
      <c r="M27" s="2"/>
      <c r="N27" s="2"/>
      <c r="O27" s="2"/>
      <c r="P27" s="2"/>
    </row>
    <row r="28" spans="2:16" x14ac:dyDescent="0.25">
      <c r="B28" s="159" t="s">
        <v>789</v>
      </c>
      <c r="C28" s="474" t="s">
        <v>15</v>
      </c>
      <c r="D28" s="474"/>
      <c r="E28" s="474"/>
      <c r="F28" s="474"/>
      <c r="G28" s="159" t="s">
        <v>803</v>
      </c>
      <c r="H28" s="159" t="s">
        <v>804</v>
      </c>
      <c r="I28" s="159" t="s">
        <v>199</v>
      </c>
      <c r="J28" s="2"/>
      <c r="K28" s="2"/>
      <c r="L28" s="2"/>
      <c r="M28" s="2"/>
      <c r="N28" s="2"/>
      <c r="O28" s="2"/>
      <c r="P28" s="2"/>
    </row>
    <row r="29" spans="2:16" x14ac:dyDescent="0.25">
      <c r="B29" s="10" t="s">
        <v>796</v>
      </c>
      <c r="C29" s="160" t="s">
        <v>805</v>
      </c>
      <c r="D29" s="15"/>
      <c r="E29" s="15"/>
      <c r="F29" s="161"/>
      <c r="G29" s="31">
        <v>3</v>
      </c>
      <c r="H29" s="71">
        <v>0</v>
      </c>
      <c r="I29" s="31">
        <f>G29*H29</f>
        <v>0</v>
      </c>
      <c r="J29" s="2"/>
      <c r="K29" s="2"/>
      <c r="L29" s="2"/>
      <c r="M29" s="2"/>
      <c r="N29" s="2"/>
      <c r="O29" s="2"/>
      <c r="P29" s="2"/>
    </row>
    <row r="30" spans="2:16" x14ac:dyDescent="0.25">
      <c r="B30" s="10" t="s">
        <v>797</v>
      </c>
      <c r="C30" s="160" t="s">
        <v>806</v>
      </c>
      <c r="D30" s="15"/>
      <c r="E30" s="15"/>
      <c r="F30" s="161"/>
      <c r="G30" s="31">
        <v>2.5</v>
      </c>
      <c r="H30" s="71">
        <v>0</v>
      </c>
      <c r="I30" s="31">
        <f>G30*H30</f>
        <v>0</v>
      </c>
      <c r="J30" s="2"/>
      <c r="K30" s="2"/>
      <c r="L30" s="2"/>
      <c r="M30" s="2"/>
      <c r="N30" s="2"/>
      <c r="O30" s="2"/>
      <c r="P30" s="2"/>
    </row>
    <row r="31" spans="2:16" x14ac:dyDescent="0.25">
      <c r="B31" s="10" t="s">
        <v>798</v>
      </c>
      <c r="C31" s="160" t="s">
        <v>1130</v>
      </c>
      <c r="D31" s="15"/>
      <c r="E31" s="15"/>
      <c r="F31" s="161"/>
      <c r="G31" s="31">
        <v>1.5</v>
      </c>
      <c r="H31" s="71">
        <f>(1000/300)*3</f>
        <v>10</v>
      </c>
      <c r="I31" s="31">
        <f>G31*H31</f>
        <v>15</v>
      </c>
      <c r="J31" s="2"/>
      <c r="K31" s="2"/>
      <c r="L31" s="2"/>
      <c r="M31" s="2"/>
      <c r="N31" s="2"/>
      <c r="O31" s="2"/>
      <c r="P31" s="2"/>
    </row>
    <row r="32" spans="2:16" x14ac:dyDescent="0.25">
      <c r="B32" s="2"/>
      <c r="C32" s="2"/>
      <c r="D32" s="2"/>
      <c r="E32" s="2"/>
      <c r="F32" s="2"/>
      <c r="G32" s="2"/>
      <c r="H32" s="169">
        <f>SUM(H29:H31)</f>
        <v>10</v>
      </c>
      <c r="I32" s="168">
        <f>SUM(I29:I31)</f>
        <v>15</v>
      </c>
      <c r="J32" s="2"/>
      <c r="K32" s="2"/>
      <c r="L32" s="2"/>
      <c r="M32" s="2"/>
      <c r="N32" s="2"/>
      <c r="O32" s="2"/>
      <c r="P32" s="2"/>
    </row>
    <row r="33" spans="2:16" x14ac:dyDescent="0.25">
      <c r="B33" s="2"/>
      <c r="C33" s="2"/>
      <c r="D33" s="2"/>
      <c r="E33" s="2"/>
      <c r="F33" s="2"/>
      <c r="G33" s="2"/>
      <c r="H33" s="2"/>
      <c r="I33" s="2"/>
      <c r="J33" s="2"/>
      <c r="K33" s="2"/>
      <c r="L33" s="2"/>
      <c r="M33" s="2"/>
      <c r="N33" s="2"/>
      <c r="O33" s="2"/>
      <c r="P33" s="2"/>
    </row>
    <row r="34" spans="2:16" ht="17.25" x14ac:dyDescent="0.25">
      <c r="B34" s="164" t="s">
        <v>1207</v>
      </c>
      <c r="C34" s="2"/>
      <c r="D34" s="2"/>
      <c r="E34" s="2"/>
      <c r="F34" s="2"/>
      <c r="G34" s="2"/>
      <c r="H34" s="2"/>
      <c r="I34" s="2"/>
      <c r="J34" s="2"/>
      <c r="K34" s="2"/>
      <c r="L34" s="2"/>
      <c r="M34" s="2"/>
      <c r="N34" s="2"/>
      <c r="O34" s="2"/>
      <c r="P34" s="2"/>
    </row>
    <row r="35" spans="2:16" x14ac:dyDescent="0.25">
      <c r="B35" s="422" t="s">
        <v>789</v>
      </c>
      <c r="C35" s="474" t="s">
        <v>15</v>
      </c>
      <c r="D35" s="474"/>
      <c r="E35" s="474"/>
      <c r="F35" s="474"/>
      <c r="G35" s="422" t="s">
        <v>803</v>
      </c>
      <c r="H35" s="422" t="s">
        <v>804</v>
      </c>
      <c r="I35" s="422" t="s">
        <v>199</v>
      </c>
      <c r="J35" s="2"/>
      <c r="K35" s="2"/>
      <c r="L35" s="2"/>
      <c r="M35" s="2"/>
      <c r="N35" s="2"/>
      <c r="O35" s="2"/>
      <c r="P35" s="2"/>
    </row>
    <row r="36" spans="2:16" x14ac:dyDescent="0.25">
      <c r="B36" s="10" t="s">
        <v>796</v>
      </c>
      <c r="C36" s="427" t="s">
        <v>805</v>
      </c>
      <c r="D36" s="15"/>
      <c r="E36" s="15"/>
      <c r="F36" s="428"/>
      <c r="G36" s="31">
        <v>0</v>
      </c>
      <c r="H36" s="420">
        <v>0</v>
      </c>
      <c r="I36" s="31">
        <f>G36*H36</f>
        <v>0</v>
      </c>
      <c r="J36" s="2"/>
      <c r="K36" s="2"/>
      <c r="L36" s="2"/>
      <c r="M36" s="2"/>
      <c r="N36" s="2"/>
      <c r="O36" s="2"/>
      <c r="P36" s="2"/>
    </row>
    <row r="37" spans="2:16" x14ac:dyDescent="0.25">
      <c r="B37" s="10" t="s">
        <v>797</v>
      </c>
      <c r="C37" s="427" t="s">
        <v>806</v>
      </c>
      <c r="D37" s="15"/>
      <c r="E37" s="15"/>
      <c r="F37" s="428"/>
      <c r="G37" s="31">
        <v>12</v>
      </c>
      <c r="H37" s="420">
        <v>3</v>
      </c>
      <c r="I37" s="31">
        <f>G37*H37</f>
        <v>36</v>
      </c>
      <c r="J37" s="2"/>
      <c r="K37" s="2"/>
      <c r="L37" s="2"/>
      <c r="M37" s="2"/>
      <c r="N37" s="2"/>
      <c r="O37" s="2"/>
      <c r="P37" s="2"/>
    </row>
    <row r="38" spans="2:16" x14ac:dyDescent="0.25">
      <c r="B38" s="10" t="s">
        <v>798</v>
      </c>
      <c r="C38" s="427" t="s">
        <v>1130</v>
      </c>
      <c r="D38" s="15"/>
      <c r="E38" s="15"/>
      <c r="F38" s="428"/>
      <c r="G38" s="31">
        <v>0</v>
      </c>
      <c r="H38" s="420">
        <v>0</v>
      </c>
      <c r="I38" s="31">
        <f>G38*H38</f>
        <v>0</v>
      </c>
      <c r="J38" s="2"/>
      <c r="K38" s="2"/>
      <c r="L38" s="2"/>
      <c r="M38" s="2"/>
      <c r="N38" s="2"/>
      <c r="O38" s="2"/>
      <c r="P38" s="2"/>
    </row>
    <row r="39" spans="2:16" x14ac:dyDescent="0.25">
      <c r="B39" s="2"/>
      <c r="C39" s="2"/>
      <c r="D39" s="2"/>
      <c r="E39" s="2"/>
      <c r="F39" s="2"/>
      <c r="G39" s="2"/>
      <c r="H39" s="169">
        <f>SUM(H36:H38)</f>
        <v>3</v>
      </c>
      <c r="I39" s="168">
        <f>SUM(I36:I38)</f>
        <v>36</v>
      </c>
      <c r="J39" s="2"/>
      <c r="K39" s="2"/>
      <c r="L39" s="2"/>
      <c r="M39" s="2"/>
      <c r="N39" s="2"/>
      <c r="O39" s="2"/>
      <c r="P39" s="2"/>
    </row>
    <row r="40" spans="2:16" x14ac:dyDescent="0.25">
      <c r="B40" s="2"/>
      <c r="C40" s="2"/>
      <c r="D40" s="2"/>
      <c r="E40" s="2"/>
      <c r="F40" s="2"/>
      <c r="G40" s="2"/>
      <c r="H40" s="2"/>
      <c r="I40" s="2"/>
      <c r="J40" s="2"/>
      <c r="K40" s="2"/>
      <c r="L40" s="2"/>
      <c r="M40" s="2"/>
      <c r="N40" s="2"/>
      <c r="O40" s="2"/>
      <c r="P40" s="2"/>
    </row>
    <row r="41" spans="2:16" ht="17.25" x14ac:dyDescent="0.25">
      <c r="B41" s="164" t="s">
        <v>808</v>
      </c>
      <c r="C41" s="2"/>
      <c r="D41" s="2"/>
      <c r="E41" s="2"/>
      <c r="F41" s="2"/>
      <c r="G41" s="2"/>
      <c r="H41" s="2"/>
      <c r="I41" s="2"/>
      <c r="J41" s="2"/>
      <c r="K41" s="2"/>
      <c r="L41" s="2"/>
      <c r="M41" s="2"/>
      <c r="N41" s="2"/>
      <c r="O41" s="2"/>
      <c r="P41" s="2"/>
    </row>
    <row r="42" spans="2:16" x14ac:dyDescent="0.25">
      <c r="B42" s="159" t="s">
        <v>789</v>
      </c>
      <c r="C42" s="474" t="s">
        <v>809</v>
      </c>
      <c r="D42" s="474"/>
      <c r="E42" s="474"/>
      <c r="F42" s="474" t="s">
        <v>795</v>
      </c>
      <c r="G42" s="474"/>
      <c r="H42" s="2"/>
      <c r="I42" s="2"/>
      <c r="J42" s="2"/>
      <c r="K42" s="2"/>
      <c r="L42" s="2"/>
      <c r="M42" s="2"/>
      <c r="N42" s="2"/>
      <c r="O42" s="2"/>
      <c r="P42" s="2"/>
    </row>
    <row r="43" spans="2:16" x14ac:dyDescent="0.25">
      <c r="B43" s="10" t="s">
        <v>810</v>
      </c>
      <c r="C43" s="510">
        <v>5</v>
      </c>
      <c r="D43" s="510"/>
      <c r="E43" s="510"/>
      <c r="F43" s="71">
        <v>5</v>
      </c>
      <c r="G43" s="71" t="s">
        <v>200</v>
      </c>
      <c r="H43" s="2"/>
      <c r="I43" s="2"/>
      <c r="J43" s="2"/>
      <c r="K43" s="2"/>
      <c r="L43" s="2"/>
      <c r="M43" s="2"/>
      <c r="N43" s="2"/>
      <c r="O43" s="2"/>
      <c r="P43" s="2"/>
    </row>
    <row r="44" spans="2:16" x14ac:dyDescent="0.25">
      <c r="B44" s="2"/>
      <c r="C44" s="2"/>
      <c r="D44" s="2"/>
      <c r="E44" s="2"/>
      <c r="F44" s="2"/>
      <c r="G44" s="2"/>
      <c r="H44" s="2"/>
      <c r="I44" s="2"/>
      <c r="J44" s="2"/>
      <c r="K44" s="2"/>
      <c r="L44" s="2"/>
      <c r="M44" s="2"/>
      <c r="N44" s="2"/>
      <c r="O44" s="2"/>
      <c r="P44" s="2"/>
    </row>
    <row r="45" spans="2:16" x14ac:dyDescent="0.25">
      <c r="B45" s="2" t="s">
        <v>811</v>
      </c>
      <c r="C45" s="2"/>
      <c r="D45" s="2"/>
      <c r="E45" s="2"/>
      <c r="F45" s="2"/>
      <c r="G45" s="2"/>
      <c r="H45" s="2"/>
      <c r="I45" s="2"/>
      <c r="J45" s="2"/>
      <c r="K45" s="2"/>
      <c r="L45" s="2"/>
      <c r="M45" s="2"/>
      <c r="N45" s="2"/>
      <c r="O45" s="2"/>
      <c r="P45" s="2"/>
    </row>
    <row r="46" spans="2:16" x14ac:dyDescent="0.25">
      <c r="B46" s="2"/>
      <c r="C46" s="2"/>
      <c r="D46" s="2"/>
      <c r="E46" s="2"/>
      <c r="F46" s="2"/>
      <c r="G46" s="2"/>
      <c r="H46" s="2"/>
      <c r="I46" s="2"/>
      <c r="J46" s="2"/>
      <c r="K46" s="2"/>
      <c r="L46" s="2"/>
      <c r="M46" s="2"/>
      <c r="N46" s="2"/>
      <c r="O46" s="2"/>
      <c r="P46" s="2"/>
    </row>
    <row r="47" spans="2:16" ht="17.25" x14ac:dyDescent="0.25">
      <c r="B47" s="164" t="s">
        <v>812</v>
      </c>
      <c r="C47" s="2"/>
      <c r="D47" s="2"/>
      <c r="E47" s="2"/>
      <c r="F47" s="2"/>
      <c r="G47" s="2"/>
      <c r="H47" s="2"/>
      <c r="I47" s="2"/>
      <c r="J47" s="2"/>
      <c r="K47" s="2"/>
      <c r="L47" s="2"/>
      <c r="M47" s="2"/>
      <c r="N47" s="2"/>
      <c r="O47" s="2"/>
      <c r="P47" s="2"/>
    </row>
    <row r="48" spans="2:16" x14ac:dyDescent="0.25">
      <c r="B48" s="159" t="s">
        <v>789</v>
      </c>
      <c r="C48" s="474" t="s">
        <v>15</v>
      </c>
      <c r="D48" s="474"/>
      <c r="E48" s="474"/>
      <c r="F48" s="474"/>
      <c r="G48" s="474"/>
      <c r="H48" s="159" t="s">
        <v>809</v>
      </c>
      <c r="I48" s="474" t="s">
        <v>795</v>
      </c>
      <c r="J48" s="474"/>
      <c r="K48" s="2"/>
      <c r="L48" s="2"/>
      <c r="M48" s="2"/>
      <c r="N48" s="2"/>
      <c r="O48" s="2"/>
      <c r="P48" s="2"/>
    </row>
    <row r="49" spans="2:16" x14ac:dyDescent="0.25">
      <c r="B49" s="10" t="s">
        <v>796</v>
      </c>
      <c r="C49" s="160" t="s">
        <v>805</v>
      </c>
      <c r="D49" s="15"/>
      <c r="E49" s="15"/>
      <c r="F49" s="15"/>
      <c r="G49" s="161"/>
      <c r="H49" s="31">
        <v>5</v>
      </c>
      <c r="I49" s="31">
        <v>4</v>
      </c>
      <c r="J49" s="71" t="s">
        <v>198</v>
      </c>
      <c r="K49" s="2"/>
      <c r="L49" s="2"/>
      <c r="M49" s="2"/>
      <c r="N49" s="2"/>
      <c r="O49" s="2"/>
      <c r="P49" s="2"/>
    </row>
    <row r="50" spans="2:16" x14ac:dyDescent="0.25">
      <c r="B50" s="10" t="s">
        <v>797</v>
      </c>
      <c r="C50" s="160" t="s">
        <v>806</v>
      </c>
      <c r="D50" s="15"/>
      <c r="E50" s="15"/>
      <c r="F50" s="15"/>
      <c r="G50" s="161"/>
      <c r="H50" s="31">
        <v>4</v>
      </c>
      <c r="I50" s="31">
        <v>5</v>
      </c>
      <c r="J50" s="71" t="s">
        <v>198</v>
      </c>
      <c r="K50" s="2"/>
      <c r="L50" s="2"/>
      <c r="M50" s="2"/>
      <c r="N50" s="2"/>
      <c r="O50" s="2"/>
      <c r="P50" s="2"/>
    </row>
    <row r="51" spans="2:16" x14ac:dyDescent="0.25">
      <c r="B51" s="10" t="s">
        <v>798</v>
      </c>
      <c r="C51" s="160" t="s">
        <v>807</v>
      </c>
      <c r="D51" s="15"/>
      <c r="E51" s="15"/>
      <c r="F51" s="15"/>
      <c r="G51" s="161"/>
      <c r="H51" s="31">
        <v>3</v>
      </c>
      <c r="I51" s="31">
        <v>6</v>
      </c>
      <c r="J51" s="71" t="s">
        <v>198</v>
      </c>
      <c r="K51" s="2"/>
      <c r="L51" s="2"/>
      <c r="M51" s="2"/>
      <c r="N51" s="2"/>
      <c r="O51" s="2"/>
      <c r="P51" s="2"/>
    </row>
    <row r="52" spans="2:16" x14ac:dyDescent="0.25">
      <c r="B52" s="2"/>
      <c r="C52" s="2"/>
      <c r="D52" s="2"/>
      <c r="E52" s="2"/>
      <c r="F52" s="2"/>
      <c r="G52" s="2"/>
      <c r="H52" s="168">
        <f>H49*$H$22+H50*$H$23+H51*$H$24</f>
        <v>3</v>
      </c>
      <c r="I52" s="168">
        <f>I49*$H$22+I50*$H$23+I51*$H$24</f>
        <v>6</v>
      </c>
      <c r="J52" s="169" t="s">
        <v>198</v>
      </c>
      <c r="K52" s="4"/>
      <c r="L52" s="2"/>
      <c r="M52" s="2"/>
      <c r="N52" s="2"/>
      <c r="O52" s="2"/>
      <c r="P52" s="2"/>
    </row>
    <row r="53" spans="2:16" x14ac:dyDescent="0.25">
      <c r="B53" s="2"/>
      <c r="C53" s="2"/>
      <c r="D53" s="2"/>
      <c r="E53" s="2"/>
      <c r="F53" s="2"/>
      <c r="G53" s="2"/>
      <c r="H53" s="2" t="s">
        <v>813</v>
      </c>
      <c r="I53" s="2"/>
      <c r="J53" s="2"/>
      <c r="K53" s="2"/>
      <c r="L53" s="2"/>
      <c r="M53" s="2"/>
      <c r="N53" s="2"/>
      <c r="O53" s="2"/>
      <c r="P53" s="2"/>
    </row>
    <row r="54" spans="2:16" ht="17.25" x14ac:dyDescent="0.25">
      <c r="B54" s="164" t="s">
        <v>814</v>
      </c>
      <c r="C54" s="2"/>
      <c r="D54" s="2"/>
      <c r="E54" s="2"/>
      <c r="F54" s="2"/>
      <c r="G54" s="2"/>
      <c r="H54" s="2"/>
      <c r="I54" s="2"/>
      <c r="J54" s="2"/>
      <c r="K54" s="2"/>
      <c r="L54" s="2"/>
      <c r="M54" s="2"/>
      <c r="N54" s="2"/>
      <c r="O54" s="2"/>
      <c r="P54" s="2"/>
    </row>
    <row r="55" spans="2:16" x14ac:dyDescent="0.25">
      <c r="B55" s="159" t="s">
        <v>789</v>
      </c>
      <c r="C55" s="474" t="s">
        <v>809</v>
      </c>
      <c r="D55" s="474"/>
      <c r="E55" s="474"/>
      <c r="F55" s="474" t="s">
        <v>795</v>
      </c>
      <c r="G55" s="474"/>
      <c r="H55" s="2"/>
      <c r="I55" s="2"/>
      <c r="J55" s="2"/>
      <c r="K55" s="2"/>
      <c r="L55" s="2"/>
      <c r="M55" s="2"/>
      <c r="N55" s="2"/>
      <c r="O55" s="2"/>
      <c r="P55" s="2"/>
    </row>
    <row r="56" spans="2:16" x14ac:dyDescent="0.25">
      <c r="B56" s="10" t="s">
        <v>796</v>
      </c>
      <c r="C56" s="510">
        <v>5</v>
      </c>
      <c r="D56" s="510"/>
      <c r="E56" s="510"/>
      <c r="F56" s="31">
        <v>2</v>
      </c>
      <c r="G56" s="71" t="s">
        <v>198</v>
      </c>
      <c r="H56" s="2"/>
      <c r="I56" s="2"/>
      <c r="J56" s="2"/>
      <c r="K56" s="2"/>
      <c r="L56" s="2"/>
      <c r="M56" s="2"/>
      <c r="N56" s="2"/>
      <c r="O56" s="2"/>
      <c r="P56" s="2"/>
    </row>
    <row r="57" spans="2:16" x14ac:dyDescent="0.25">
      <c r="B57" s="10" t="s">
        <v>797</v>
      </c>
      <c r="C57" s="510">
        <v>4</v>
      </c>
      <c r="D57" s="510"/>
      <c r="E57" s="510"/>
      <c r="F57" s="31">
        <v>3</v>
      </c>
      <c r="G57" s="71" t="s">
        <v>198</v>
      </c>
      <c r="H57" s="2"/>
      <c r="I57" s="2"/>
      <c r="J57" s="2"/>
      <c r="K57" s="2"/>
      <c r="L57" s="2"/>
      <c r="M57" s="2"/>
      <c r="N57" s="2"/>
      <c r="O57" s="2"/>
      <c r="P57" s="2"/>
    </row>
    <row r="58" spans="2:16" x14ac:dyDescent="0.25">
      <c r="B58" s="10" t="s">
        <v>798</v>
      </c>
      <c r="C58" s="510">
        <v>3</v>
      </c>
      <c r="D58" s="510"/>
      <c r="E58" s="510"/>
      <c r="F58" s="31">
        <v>4</v>
      </c>
      <c r="G58" s="71" t="s">
        <v>198</v>
      </c>
      <c r="H58" s="2"/>
      <c r="I58" s="2"/>
      <c r="J58" s="2"/>
      <c r="K58" s="2"/>
      <c r="L58" s="2"/>
      <c r="M58" s="2"/>
      <c r="N58" s="2"/>
      <c r="O58" s="2"/>
      <c r="P58" s="2"/>
    </row>
    <row r="59" spans="2:16" x14ac:dyDescent="0.25">
      <c r="B59" s="2"/>
      <c r="C59" s="511">
        <f>C56*$E$15+C57*$E$16+C58*$E$17</f>
        <v>3</v>
      </c>
      <c r="D59" s="511">
        <f>D56*$H$22+D57*$H$23+D58*$H$24</f>
        <v>0</v>
      </c>
      <c r="E59" s="511">
        <f>E56*$H$22+E57*$H$23+E58*$H$24</f>
        <v>0</v>
      </c>
      <c r="F59" s="168">
        <f>F56*$E$15+F57*$E$16+F58*$E$17</f>
        <v>4</v>
      </c>
      <c r="G59" s="169" t="s">
        <v>198</v>
      </c>
      <c r="H59" s="4"/>
      <c r="I59" s="2"/>
      <c r="J59" s="2"/>
      <c r="K59" s="2"/>
      <c r="L59" s="2"/>
      <c r="M59" s="2"/>
      <c r="N59" s="2"/>
      <c r="O59" s="2"/>
      <c r="P59" s="2"/>
    </row>
    <row r="60" spans="2:16" x14ac:dyDescent="0.25">
      <c r="B60" s="2"/>
      <c r="C60" s="2" t="s">
        <v>815</v>
      </c>
      <c r="D60" s="2"/>
      <c r="E60" s="2"/>
      <c r="F60" s="2"/>
      <c r="G60" s="2"/>
      <c r="H60" s="2"/>
      <c r="I60" s="2"/>
      <c r="J60" s="2"/>
      <c r="K60" s="2"/>
      <c r="L60" s="2"/>
      <c r="M60" s="2"/>
      <c r="N60" s="2"/>
      <c r="O60" s="2"/>
      <c r="P60" s="2"/>
    </row>
    <row r="61" spans="2:16" ht="17.25" x14ac:dyDescent="0.25">
      <c r="B61" s="164" t="s">
        <v>816</v>
      </c>
      <c r="C61" s="2"/>
      <c r="D61" s="2"/>
      <c r="E61" s="2"/>
      <c r="F61" s="2"/>
      <c r="G61" s="2"/>
      <c r="H61" s="2"/>
      <c r="I61" s="2"/>
      <c r="J61" s="2"/>
      <c r="K61" s="2"/>
      <c r="L61" s="2"/>
      <c r="M61" s="2"/>
      <c r="N61" s="2"/>
      <c r="O61" s="2"/>
      <c r="P61" s="2"/>
    </row>
    <row r="62" spans="2:16" x14ac:dyDescent="0.25">
      <c r="B62" s="159" t="s">
        <v>789</v>
      </c>
      <c r="C62" s="474" t="s">
        <v>809</v>
      </c>
      <c r="D62" s="474"/>
      <c r="E62" s="474"/>
      <c r="F62" s="474" t="s">
        <v>795</v>
      </c>
      <c r="G62" s="474"/>
      <c r="H62" s="2"/>
      <c r="I62" s="2"/>
      <c r="J62" s="2"/>
      <c r="K62" s="2"/>
      <c r="L62" s="2"/>
      <c r="M62" s="2"/>
      <c r="N62" s="2"/>
      <c r="O62" s="2"/>
      <c r="P62" s="2"/>
    </row>
    <row r="63" spans="2:16" x14ac:dyDescent="0.25">
      <c r="B63" s="10" t="s">
        <v>810</v>
      </c>
      <c r="C63" s="512">
        <v>1</v>
      </c>
      <c r="D63" s="512"/>
      <c r="E63" s="512"/>
      <c r="F63" s="31">
        <v>5</v>
      </c>
      <c r="G63" s="71" t="s">
        <v>198</v>
      </c>
      <c r="H63" s="2"/>
      <c r="I63" s="2"/>
      <c r="J63" s="2"/>
      <c r="K63" s="2"/>
      <c r="L63" s="2"/>
      <c r="M63" s="2"/>
      <c r="N63" s="2"/>
      <c r="O63" s="2"/>
      <c r="P63" s="2"/>
    </row>
    <row r="64" spans="2:16" x14ac:dyDescent="0.25">
      <c r="B64" s="2"/>
      <c r="C64" s="2"/>
      <c r="D64" s="2"/>
      <c r="E64" s="2"/>
      <c r="F64" s="2"/>
      <c r="G64" s="2"/>
      <c r="H64" s="2"/>
      <c r="I64" s="2"/>
      <c r="J64" s="2"/>
      <c r="K64" s="2"/>
      <c r="L64" s="2"/>
      <c r="M64" s="2"/>
      <c r="N64" s="2"/>
      <c r="O64" s="2"/>
      <c r="P64" s="2"/>
    </row>
    <row r="65" spans="2:16" ht="17.25" hidden="1" x14ac:dyDescent="0.25">
      <c r="B65" s="164" t="s">
        <v>817</v>
      </c>
      <c r="C65" s="2"/>
      <c r="D65" s="2"/>
      <c r="E65" s="2"/>
      <c r="F65" s="2"/>
      <c r="G65" s="2"/>
      <c r="H65" s="2"/>
      <c r="I65" s="2"/>
      <c r="J65" s="2"/>
      <c r="K65" s="2"/>
      <c r="L65" s="2"/>
      <c r="M65" s="2"/>
      <c r="N65" s="2"/>
      <c r="O65" s="2"/>
      <c r="P65" s="2"/>
    </row>
    <row r="66" spans="2:16" ht="30" hidden="1" x14ac:dyDescent="0.25">
      <c r="B66" s="159" t="s">
        <v>789</v>
      </c>
      <c r="C66" s="474" t="s">
        <v>15</v>
      </c>
      <c r="D66" s="474"/>
      <c r="E66" s="474"/>
      <c r="F66" s="474"/>
      <c r="G66" s="159" t="s">
        <v>818</v>
      </c>
      <c r="H66" s="158" t="s">
        <v>819</v>
      </c>
      <c r="I66" s="474" t="s">
        <v>795</v>
      </c>
      <c r="J66" s="474"/>
      <c r="L66" s="2"/>
      <c r="M66" s="2"/>
      <c r="N66" s="2"/>
      <c r="O66" s="2"/>
      <c r="P66" s="2"/>
    </row>
    <row r="67" spans="2:16" hidden="1" x14ac:dyDescent="0.25">
      <c r="B67" s="10" t="s">
        <v>796</v>
      </c>
      <c r="C67" s="461" t="s">
        <v>820</v>
      </c>
      <c r="D67" s="461"/>
      <c r="E67" s="461"/>
      <c r="F67" s="461"/>
      <c r="G67" s="165">
        <v>0</v>
      </c>
      <c r="H67" s="71">
        <v>40</v>
      </c>
      <c r="I67" s="71">
        <v>2</v>
      </c>
      <c r="J67" s="71" t="s">
        <v>821</v>
      </c>
      <c r="L67" s="2"/>
      <c r="M67" s="2"/>
      <c r="N67" s="2"/>
      <c r="O67" s="2"/>
      <c r="P67" s="2"/>
    </row>
    <row r="68" spans="2:16" hidden="1" x14ac:dyDescent="0.25">
      <c r="B68" s="10" t="s">
        <v>797</v>
      </c>
      <c r="C68" s="461" t="s">
        <v>822</v>
      </c>
      <c r="D68" s="461"/>
      <c r="E68" s="461"/>
      <c r="F68" s="461"/>
      <c r="G68" s="165">
        <v>0</v>
      </c>
      <c r="H68" s="71">
        <v>10</v>
      </c>
      <c r="I68" s="71">
        <v>3</v>
      </c>
      <c r="J68" s="71" t="s">
        <v>821</v>
      </c>
      <c r="L68" s="2"/>
      <c r="M68" s="2"/>
      <c r="N68" s="2"/>
      <c r="O68" s="2"/>
      <c r="P68" s="2"/>
    </row>
    <row r="69" spans="2:16" hidden="1" x14ac:dyDescent="0.25">
      <c r="B69" s="10" t="s">
        <v>798</v>
      </c>
      <c r="C69" s="461" t="s">
        <v>823</v>
      </c>
      <c r="D69" s="461"/>
      <c r="E69" s="461"/>
      <c r="F69" s="461"/>
      <c r="G69" s="165">
        <v>1</v>
      </c>
      <c r="H69" s="71">
        <v>2</v>
      </c>
      <c r="I69" s="71">
        <v>4</v>
      </c>
      <c r="J69" s="71" t="s">
        <v>821</v>
      </c>
      <c r="L69" s="2"/>
      <c r="M69" s="2"/>
      <c r="N69" s="2"/>
      <c r="O69" s="2"/>
      <c r="P69" s="2"/>
    </row>
    <row r="70" spans="2:16" hidden="1" x14ac:dyDescent="0.25">
      <c r="B70" s="2"/>
      <c r="C70" s="2"/>
      <c r="D70" s="2"/>
      <c r="E70" s="2"/>
      <c r="F70" s="2"/>
      <c r="G70" s="167">
        <f>SUM(G67:G69)</f>
        <v>1</v>
      </c>
      <c r="H70" s="169">
        <f>ROUNDUP(G67*H67+G68*H68+G69*H69, 0)</f>
        <v>2</v>
      </c>
      <c r="I70" s="169">
        <f>ROUNDUP(G67*I67+G68*I68+G69*I69, 0)</f>
        <v>4</v>
      </c>
      <c r="J70" s="169" t="s">
        <v>821</v>
      </c>
      <c r="L70" s="2"/>
      <c r="M70" s="2"/>
      <c r="N70" s="2"/>
      <c r="O70" s="2"/>
      <c r="P70" s="2"/>
    </row>
    <row r="71" spans="2:16" hidden="1" x14ac:dyDescent="0.25">
      <c r="B71" s="2"/>
      <c r="C71" s="2"/>
      <c r="D71" s="2"/>
      <c r="E71" s="2"/>
      <c r="F71" s="2"/>
      <c r="G71" s="2"/>
      <c r="H71" s="2"/>
      <c r="I71" s="2"/>
      <c r="J71" s="2"/>
      <c r="K71" s="2"/>
      <c r="L71" s="2"/>
      <c r="M71" s="2"/>
      <c r="N71" s="2"/>
      <c r="O71" s="2"/>
      <c r="P71" s="2"/>
    </row>
    <row r="72" spans="2:16" ht="17.25" x14ac:dyDescent="0.25">
      <c r="B72" s="164" t="s">
        <v>824</v>
      </c>
      <c r="C72" s="2"/>
      <c r="D72" s="2"/>
      <c r="E72" s="2"/>
      <c r="F72" s="2"/>
      <c r="G72" s="2"/>
      <c r="H72" s="2"/>
      <c r="I72" s="2"/>
      <c r="J72" s="2"/>
      <c r="K72" s="2"/>
      <c r="L72" s="2"/>
      <c r="M72" s="2"/>
      <c r="N72" s="2"/>
      <c r="O72" s="2"/>
      <c r="P72" s="2"/>
    </row>
    <row r="73" spans="2:16" ht="30" x14ac:dyDescent="0.25">
      <c r="B73" s="159" t="s">
        <v>789</v>
      </c>
      <c r="C73" s="474" t="s">
        <v>825</v>
      </c>
      <c r="D73" s="474"/>
      <c r="E73" s="474"/>
      <c r="F73" s="158" t="s">
        <v>826</v>
      </c>
      <c r="G73" s="474" t="s">
        <v>795</v>
      </c>
      <c r="H73" s="474"/>
      <c r="I73" s="2"/>
      <c r="J73" s="2"/>
      <c r="K73" s="2"/>
      <c r="L73" s="2"/>
      <c r="M73" s="2"/>
      <c r="N73" s="2"/>
      <c r="O73" s="2"/>
      <c r="P73" s="2"/>
    </row>
    <row r="74" spans="2:16" x14ac:dyDescent="0.25">
      <c r="B74" s="10" t="s">
        <v>810</v>
      </c>
      <c r="C74" s="461">
        <v>0.2</v>
      </c>
      <c r="D74" s="461"/>
      <c r="E74" s="461"/>
      <c r="F74" s="71">
        <f>ROUNDUP(C74*C8, 0)</f>
        <v>1</v>
      </c>
      <c r="G74" s="71">
        <v>1</v>
      </c>
      <c r="H74" s="71" t="s">
        <v>827</v>
      </c>
      <c r="I74" s="2"/>
      <c r="J74" s="2"/>
      <c r="K74" s="2"/>
      <c r="L74" s="2"/>
      <c r="M74" s="2"/>
      <c r="N74" s="2"/>
      <c r="O74" s="2"/>
      <c r="P74" s="2"/>
    </row>
    <row r="75" spans="2:16" x14ac:dyDescent="0.25">
      <c r="B75" s="2"/>
      <c r="C75" s="2"/>
      <c r="D75" s="2"/>
      <c r="E75" s="2"/>
      <c r="F75" s="2"/>
      <c r="G75" s="2"/>
      <c r="H75" s="2"/>
      <c r="I75" s="2"/>
      <c r="J75" s="2"/>
      <c r="K75" s="2"/>
      <c r="L75" s="2"/>
      <c r="M75" s="2"/>
      <c r="N75" s="2"/>
      <c r="O75" s="2"/>
      <c r="P75" s="2"/>
    </row>
    <row r="76" spans="2:16" ht="17.25" hidden="1" x14ac:dyDescent="0.25">
      <c r="B76" s="164" t="s">
        <v>828</v>
      </c>
      <c r="C76" s="2"/>
      <c r="D76" s="2"/>
      <c r="E76" s="2"/>
      <c r="F76" s="2"/>
      <c r="G76" s="2"/>
      <c r="H76" s="2"/>
      <c r="I76" s="2"/>
      <c r="J76" s="2"/>
      <c r="K76" s="2"/>
      <c r="L76" s="2"/>
      <c r="M76" s="2"/>
      <c r="N76" s="2"/>
      <c r="O76" s="2"/>
      <c r="P76" s="2"/>
    </row>
    <row r="77" spans="2:16" hidden="1" x14ac:dyDescent="0.25">
      <c r="B77" s="474" t="s">
        <v>15</v>
      </c>
      <c r="C77" s="474"/>
      <c r="D77" s="474"/>
      <c r="E77" s="474" t="s">
        <v>809</v>
      </c>
      <c r="F77" s="474"/>
      <c r="G77" s="159" t="s">
        <v>829</v>
      </c>
      <c r="H77" s="159" t="s">
        <v>202</v>
      </c>
      <c r="I77" s="474" t="s">
        <v>795</v>
      </c>
      <c r="J77" s="474"/>
      <c r="K77" s="2"/>
      <c r="L77" s="2"/>
      <c r="M77" s="2"/>
      <c r="N77" s="2"/>
      <c r="O77" s="2"/>
      <c r="P77" s="2"/>
    </row>
    <row r="78" spans="2:16" hidden="1" x14ac:dyDescent="0.25">
      <c r="B78" s="461" t="s">
        <v>830</v>
      </c>
      <c r="C78" s="461"/>
      <c r="D78" s="461"/>
      <c r="E78" s="461">
        <v>0</v>
      </c>
      <c r="F78" s="461"/>
      <c r="G78" s="114" t="s">
        <v>831</v>
      </c>
      <c r="H78" s="71">
        <v>0</v>
      </c>
      <c r="I78" s="31">
        <v>1.5</v>
      </c>
      <c r="J78" s="71" t="s">
        <v>832</v>
      </c>
      <c r="K78" s="2"/>
      <c r="L78" s="2"/>
      <c r="M78" s="2"/>
      <c r="N78" s="2"/>
      <c r="O78" s="2"/>
      <c r="P78" s="2"/>
    </row>
    <row r="79" spans="2:16" hidden="1" x14ac:dyDescent="0.25">
      <c r="B79" s="461" t="s">
        <v>833</v>
      </c>
      <c r="C79" s="461"/>
      <c r="D79" s="461"/>
      <c r="E79" s="461">
        <v>0</v>
      </c>
      <c r="F79" s="461"/>
      <c r="G79" s="114" t="s">
        <v>13</v>
      </c>
      <c r="H79" s="71">
        <v>0</v>
      </c>
      <c r="I79" s="31">
        <v>15</v>
      </c>
      <c r="J79" s="71" t="s">
        <v>198</v>
      </c>
      <c r="K79" s="2"/>
      <c r="L79" s="2"/>
      <c r="M79" s="2"/>
      <c r="N79" s="2"/>
      <c r="O79" s="2"/>
      <c r="P79" s="2"/>
    </row>
    <row r="80" spans="2:16" x14ac:dyDescent="0.25">
      <c r="B80" s="2"/>
      <c r="C80" s="2"/>
      <c r="D80" s="2"/>
      <c r="E80" s="2"/>
      <c r="F80" s="2"/>
      <c r="G80" s="2"/>
      <c r="H80" s="2"/>
      <c r="I80" s="2"/>
      <c r="J80" s="2"/>
      <c r="K80" s="2"/>
      <c r="L80" s="2"/>
      <c r="M80" s="2"/>
      <c r="N80" s="2"/>
      <c r="O80" s="2"/>
      <c r="P80" s="2"/>
    </row>
    <row r="81" spans="2:16" ht="17.25" x14ac:dyDescent="0.25">
      <c r="B81" s="164" t="s">
        <v>834</v>
      </c>
      <c r="C81" s="2"/>
      <c r="D81" s="2"/>
      <c r="E81" s="2"/>
      <c r="F81" s="2"/>
      <c r="G81" s="2"/>
      <c r="H81" s="2"/>
      <c r="I81" s="2"/>
      <c r="J81" s="2"/>
      <c r="K81" s="2"/>
      <c r="L81" s="2"/>
      <c r="M81" s="2"/>
      <c r="N81" s="2"/>
      <c r="O81" s="2"/>
      <c r="P81" s="2"/>
    </row>
    <row r="82" spans="2:16" x14ac:dyDescent="0.25">
      <c r="B82" s="159" t="s">
        <v>789</v>
      </c>
      <c r="C82" s="474" t="s">
        <v>15</v>
      </c>
      <c r="D82" s="474"/>
      <c r="E82" s="474"/>
      <c r="F82" s="474"/>
      <c r="G82" s="474"/>
      <c r="H82" s="159" t="s">
        <v>809</v>
      </c>
      <c r="I82" s="2"/>
      <c r="J82" s="2"/>
      <c r="K82" s="2"/>
      <c r="L82" s="2"/>
      <c r="M82" s="2"/>
      <c r="N82" s="2"/>
      <c r="O82" s="2"/>
      <c r="P82" s="2"/>
    </row>
    <row r="83" spans="2:16" x14ac:dyDescent="0.25">
      <c r="B83" s="10" t="s">
        <v>835</v>
      </c>
      <c r="C83" s="160" t="s">
        <v>836</v>
      </c>
      <c r="D83" s="15"/>
      <c r="E83" s="15"/>
      <c r="F83" s="15"/>
      <c r="G83" s="161"/>
      <c r="H83" s="71">
        <v>4</v>
      </c>
      <c r="I83" s="3"/>
      <c r="J83" s="2"/>
      <c r="K83" s="2"/>
      <c r="L83" s="2"/>
      <c r="M83" s="2"/>
      <c r="N83" s="2"/>
      <c r="O83" s="2"/>
      <c r="P83" s="2"/>
    </row>
    <row r="84" spans="2:16" x14ac:dyDescent="0.25">
      <c r="B84" s="10" t="s">
        <v>837</v>
      </c>
      <c r="C84" s="160" t="s">
        <v>838</v>
      </c>
      <c r="D84" s="15"/>
      <c r="E84" s="15"/>
      <c r="F84" s="15"/>
      <c r="G84" s="161"/>
      <c r="H84" s="71">
        <v>3</v>
      </c>
      <c r="I84" s="3"/>
      <c r="J84" s="2"/>
      <c r="K84" s="2"/>
      <c r="L84" s="2"/>
      <c r="M84" s="2"/>
      <c r="N84" s="2"/>
      <c r="O84" s="2"/>
      <c r="P84" s="2"/>
    </row>
    <row r="85" spans="2:16" x14ac:dyDescent="0.25">
      <c r="B85" s="10" t="s">
        <v>839</v>
      </c>
      <c r="C85" s="160" t="s">
        <v>840</v>
      </c>
      <c r="D85" s="15"/>
      <c r="E85" s="15"/>
      <c r="F85" s="15"/>
      <c r="G85" s="161"/>
      <c r="H85" s="71">
        <v>2</v>
      </c>
      <c r="I85" s="3"/>
      <c r="J85" s="2"/>
      <c r="K85" s="2"/>
      <c r="L85" s="2"/>
      <c r="M85" s="2"/>
      <c r="N85" s="2"/>
      <c r="O85" s="2"/>
      <c r="P85" s="2"/>
    </row>
    <row r="86" spans="2:16" x14ac:dyDescent="0.25">
      <c r="B86" s="3"/>
      <c r="C86" s="3"/>
      <c r="D86" s="3"/>
      <c r="E86" s="3"/>
      <c r="F86" s="3"/>
      <c r="G86" s="3"/>
      <c r="H86" s="170">
        <v>3</v>
      </c>
      <c r="I86" s="4" t="s">
        <v>201</v>
      </c>
      <c r="J86" s="2" t="s">
        <v>841</v>
      </c>
      <c r="K86" s="2"/>
      <c r="L86" s="2"/>
      <c r="M86" s="2"/>
      <c r="N86" s="2"/>
      <c r="O86" s="2"/>
      <c r="P86" s="2"/>
    </row>
    <row r="87" spans="2:16" x14ac:dyDescent="0.25">
      <c r="B87" s="2"/>
      <c r="C87" s="2"/>
      <c r="D87" s="2"/>
      <c r="E87" s="2"/>
      <c r="F87" s="2"/>
      <c r="G87" s="2"/>
      <c r="H87" s="2"/>
      <c r="I87" s="2"/>
      <c r="J87" s="2"/>
      <c r="K87" s="2"/>
      <c r="L87" s="2"/>
      <c r="M87" s="2"/>
      <c r="N87" s="2"/>
      <c r="O87" s="2"/>
      <c r="P87" s="2"/>
    </row>
    <row r="88" spans="2:16" ht="17.25" x14ac:dyDescent="0.25">
      <c r="B88" s="164" t="s">
        <v>842</v>
      </c>
      <c r="C88" s="2"/>
      <c r="D88" s="2"/>
      <c r="E88" s="2"/>
      <c r="F88" s="2"/>
      <c r="G88" s="2"/>
      <c r="H88" s="2"/>
      <c r="I88" s="2"/>
      <c r="J88" s="2"/>
      <c r="K88" s="2"/>
      <c r="L88" s="2"/>
      <c r="M88" s="2"/>
      <c r="N88" s="2"/>
      <c r="O88" s="2"/>
      <c r="P88" s="2"/>
    </row>
    <row r="89" spans="2:16" x14ac:dyDescent="0.25">
      <c r="B89" s="159" t="s">
        <v>789</v>
      </c>
      <c r="C89" s="474" t="s">
        <v>809</v>
      </c>
      <c r="D89" s="474"/>
      <c r="E89" s="474"/>
      <c r="F89" s="474" t="s">
        <v>795</v>
      </c>
      <c r="G89" s="474"/>
      <c r="H89" s="2"/>
      <c r="I89" s="2"/>
      <c r="J89" s="2"/>
      <c r="K89" s="2"/>
      <c r="L89" s="2"/>
      <c r="M89" s="2"/>
      <c r="N89" s="2"/>
      <c r="O89" s="2"/>
      <c r="P89" s="2"/>
    </row>
    <row r="90" spans="2:16" x14ac:dyDescent="0.25">
      <c r="B90" s="71" t="s">
        <v>796</v>
      </c>
      <c r="C90" s="510">
        <v>5</v>
      </c>
      <c r="D90" s="510"/>
      <c r="E90" s="510"/>
      <c r="F90" s="31">
        <v>3</v>
      </c>
      <c r="G90" s="71" t="s">
        <v>198</v>
      </c>
      <c r="H90" s="2"/>
      <c r="I90" s="2"/>
      <c r="J90" s="2"/>
      <c r="K90" s="2"/>
      <c r="L90" s="2"/>
      <c r="M90" s="2"/>
      <c r="N90" s="2"/>
      <c r="O90" s="2"/>
      <c r="P90" s="2"/>
    </row>
    <row r="91" spans="2:16" x14ac:dyDescent="0.25">
      <c r="B91" s="71" t="s">
        <v>797</v>
      </c>
      <c r="C91" s="510">
        <v>4</v>
      </c>
      <c r="D91" s="510"/>
      <c r="E91" s="510"/>
      <c r="F91" s="31">
        <v>4</v>
      </c>
      <c r="G91" s="71" t="s">
        <v>198</v>
      </c>
      <c r="H91" s="2"/>
      <c r="I91" s="2"/>
      <c r="J91" s="2"/>
      <c r="K91" s="2"/>
      <c r="L91" s="2"/>
      <c r="M91" s="2"/>
      <c r="N91" s="2"/>
      <c r="O91" s="2"/>
      <c r="P91" s="2"/>
    </row>
    <row r="92" spans="2:16" x14ac:dyDescent="0.25">
      <c r="B92" s="71" t="s">
        <v>798</v>
      </c>
      <c r="C92" s="510">
        <v>3</v>
      </c>
      <c r="D92" s="510"/>
      <c r="E92" s="510"/>
      <c r="F92" s="31">
        <v>5</v>
      </c>
      <c r="G92" s="71" t="s">
        <v>198</v>
      </c>
      <c r="H92" s="2"/>
      <c r="I92" s="2"/>
      <c r="J92" s="2"/>
      <c r="K92" s="2"/>
      <c r="L92" s="2"/>
      <c r="M92" s="2"/>
      <c r="N92" s="2"/>
      <c r="O92" s="2"/>
      <c r="P92" s="2"/>
    </row>
    <row r="93" spans="2:16" x14ac:dyDescent="0.25">
      <c r="B93" s="2"/>
      <c r="C93" s="511">
        <f>C90*$E$15+C91*$E$16+C92*$E$17</f>
        <v>3</v>
      </c>
      <c r="D93" s="511">
        <f>D90*$H$22+D91*$H$23+D92*$H$24</f>
        <v>0</v>
      </c>
      <c r="E93" s="511">
        <f>E90*$H$22+E91*$H$23+E92*$H$24</f>
        <v>0</v>
      </c>
      <c r="F93" s="168">
        <f>F90*$E$15+F91*$E$16+F92*$E$17</f>
        <v>5</v>
      </c>
      <c r="G93" s="169" t="s">
        <v>198</v>
      </c>
      <c r="H93" s="2" t="s">
        <v>815</v>
      </c>
      <c r="I93" s="2"/>
      <c r="J93" s="2"/>
      <c r="K93" s="2"/>
      <c r="L93" s="2"/>
      <c r="M93" s="2"/>
      <c r="N93" s="2"/>
      <c r="O93" s="2"/>
      <c r="P93" s="2"/>
    </row>
    <row r="94" spans="2:16" x14ac:dyDescent="0.25">
      <c r="B94" s="2"/>
      <c r="C94" s="2"/>
      <c r="D94" s="2"/>
      <c r="E94" s="2"/>
      <c r="F94" s="2"/>
      <c r="G94" s="2"/>
      <c r="H94" s="2"/>
      <c r="I94" s="2"/>
      <c r="J94" s="2"/>
      <c r="K94" s="2"/>
      <c r="L94" s="2"/>
      <c r="M94" s="2"/>
      <c r="N94" s="2"/>
      <c r="O94" s="2"/>
      <c r="P94" s="2"/>
    </row>
  </sheetData>
  <mergeCells count="52">
    <mergeCell ref="B11:L11"/>
    <mergeCell ref="C42:E42"/>
    <mergeCell ref="F42:G42"/>
    <mergeCell ref="I14:J14"/>
    <mergeCell ref="C15:D15"/>
    <mergeCell ref="C16:D16"/>
    <mergeCell ref="C17:D17"/>
    <mergeCell ref="C18:D18"/>
    <mergeCell ref="C24:D24"/>
    <mergeCell ref="C25:D25"/>
    <mergeCell ref="C28:F28"/>
    <mergeCell ref="C23:D23"/>
    <mergeCell ref="C14:D14"/>
    <mergeCell ref="C21:D21"/>
    <mergeCell ref="C35:F35"/>
    <mergeCell ref="I21:J21"/>
    <mergeCell ref="C22:D22"/>
    <mergeCell ref="I66:J66"/>
    <mergeCell ref="C66:F66"/>
    <mergeCell ref="C67:F67"/>
    <mergeCell ref="C56:E56"/>
    <mergeCell ref="C58:E58"/>
    <mergeCell ref="C57:E57"/>
    <mergeCell ref="C59:E59"/>
    <mergeCell ref="C62:E62"/>
    <mergeCell ref="I48:J48"/>
    <mergeCell ref="C55:E55"/>
    <mergeCell ref="F55:G55"/>
    <mergeCell ref="C43:E43"/>
    <mergeCell ref="C48:G48"/>
    <mergeCell ref="C69:F69"/>
    <mergeCell ref="C73:E73"/>
    <mergeCell ref="G73:H73"/>
    <mergeCell ref="C91:E91"/>
    <mergeCell ref="F62:G62"/>
    <mergeCell ref="C63:E63"/>
    <mergeCell ref="C92:E92"/>
    <mergeCell ref="C93:E93"/>
    <mergeCell ref="C5:J5"/>
    <mergeCell ref="B79:D79"/>
    <mergeCell ref="E79:F79"/>
    <mergeCell ref="C82:G82"/>
    <mergeCell ref="C89:E89"/>
    <mergeCell ref="F89:G89"/>
    <mergeCell ref="C90:E90"/>
    <mergeCell ref="C74:E74"/>
    <mergeCell ref="B77:D77"/>
    <mergeCell ref="E77:F77"/>
    <mergeCell ref="I77:J77"/>
    <mergeCell ref="B78:D78"/>
    <mergeCell ref="E78:F78"/>
    <mergeCell ref="C68:F68"/>
  </mergeCells>
  <printOptions horizontalCentered="1" verticalCentered="1"/>
  <pageMargins left="1.1811023622047245" right="0.78740157480314965" top="0.39370078740157483" bottom="0.78740157480314965" header="0.31496062992125984" footer="0.31496062992125984"/>
  <pageSetup paperSize="9" scale="59" fitToWidth="0" orientation="portrait" r:id="rId1"/>
  <drawing r:id="rId2"/>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Planilha17">
    <tabColor theme="9"/>
    <pageSetUpPr fitToPage="1"/>
  </sheetPr>
  <dimension ref="A10:AE1592"/>
  <sheetViews>
    <sheetView view="pageBreakPreview" zoomScale="85" zoomScaleNormal="40" zoomScaleSheetLayoutView="85" workbookViewId="0">
      <selection activeCell="Q12" sqref="Q12"/>
    </sheetView>
  </sheetViews>
  <sheetFormatPr defaultRowHeight="15" x14ac:dyDescent="0.25"/>
  <cols>
    <col min="1" max="1" width="14.28515625" style="2" customWidth="1"/>
    <col min="2" max="3" width="9.140625" style="2"/>
    <col min="4" max="4" width="17.7109375" style="2" customWidth="1"/>
    <col min="5" max="5" width="18.85546875" style="2" customWidth="1"/>
    <col min="6" max="6" width="19.85546875" style="2" customWidth="1"/>
    <col min="7" max="7" width="14.5703125" style="2" customWidth="1"/>
    <col min="8" max="8" width="15.42578125" style="2" customWidth="1"/>
    <col min="9" max="9" width="17.42578125" style="2" customWidth="1"/>
    <col min="10" max="10" width="19.42578125" style="2" customWidth="1"/>
    <col min="11" max="11" width="19" style="2" customWidth="1"/>
    <col min="12" max="12" width="19.140625" style="2" customWidth="1"/>
    <col min="13" max="13" width="16.7109375" style="2" customWidth="1"/>
    <col min="14" max="14" width="17.5703125" style="2" customWidth="1"/>
    <col min="15" max="15" width="18.5703125" style="2" customWidth="1"/>
    <col min="16" max="16" width="15.140625" style="2" customWidth="1"/>
    <col min="17" max="17" width="9.140625" style="2"/>
    <col min="18" max="18" width="12.85546875" style="2" customWidth="1"/>
    <col min="19" max="19" width="16.140625" style="2" customWidth="1"/>
    <col min="20" max="20" width="14.85546875" style="2" customWidth="1"/>
    <col min="21" max="21" width="20.5703125" style="2" customWidth="1"/>
    <col min="22" max="22" width="16.85546875" style="2" customWidth="1"/>
    <col min="23" max="23" width="17.42578125" style="2" customWidth="1"/>
    <col min="24" max="24" width="11.5703125" style="2" customWidth="1"/>
    <col min="25" max="25" width="16" style="2" customWidth="1"/>
    <col min="26" max="26" width="17.28515625" style="2" customWidth="1"/>
    <col min="27" max="27" width="11.28515625" style="2" customWidth="1"/>
    <col min="28" max="28" width="18" style="2" customWidth="1"/>
    <col min="29" max="29" width="20.28515625" style="2" customWidth="1"/>
    <col min="30" max="30" width="9.140625" style="2"/>
    <col min="31" max="31" width="13.140625" style="2" bestFit="1" customWidth="1"/>
    <col min="32" max="16384" width="9.140625" style="2"/>
  </cols>
  <sheetData>
    <row r="10" spans="1:8" x14ac:dyDescent="0.25">
      <c r="A10" s="340" t="s">
        <v>0</v>
      </c>
      <c r="B10" s="2" t="s">
        <v>1218</v>
      </c>
    </row>
    <row r="11" spans="1:8" x14ac:dyDescent="0.25">
      <c r="A11" s="340" t="s">
        <v>862</v>
      </c>
      <c r="B11" s="2" t="s">
        <v>1215</v>
      </c>
    </row>
    <row r="12" spans="1:8" x14ac:dyDescent="0.25">
      <c r="A12" s="340" t="s">
        <v>863</v>
      </c>
      <c r="B12" s="2" t="s">
        <v>1219</v>
      </c>
    </row>
    <row r="13" spans="1:8" x14ac:dyDescent="0.25">
      <c r="A13" s="340" t="s">
        <v>1</v>
      </c>
      <c r="B13" s="2">
        <v>1.3</v>
      </c>
      <c r="C13" s="2" t="s">
        <v>1135</v>
      </c>
      <c r="G13" s="340" t="s">
        <v>16</v>
      </c>
      <c r="H13" s="2" t="s">
        <v>1217</v>
      </c>
    </row>
    <row r="14" spans="1:8" x14ac:dyDescent="0.25">
      <c r="A14" s="340" t="s">
        <v>2</v>
      </c>
      <c r="B14" s="2">
        <v>365</v>
      </c>
      <c r="C14" s="2" t="s">
        <v>4</v>
      </c>
      <c r="G14" s="340" t="s">
        <v>17</v>
      </c>
      <c r="H14" s="384">
        <v>45748</v>
      </c>
    </row>
    <row r="16" spans="1:8" ht="36" x14ac:dyDescent="0.25">
      <c r="A16" s="333" t="s">
        <v>313</v>
      </c>
    </row>
    <row r="18" spans="1:25" s="334" customFormat="1" ht="21" x14ac:dyDescent="0.25">
      <c r="A18" s="334" t="s">
        <v>315</v>
      </c>
      <c r="B18" s="334" t="s">
        <v>314</v>
      </c>
    </row>
    <row r="19" spans="1:25" s="84" customFormat="1" x14ac:dyDescent="0.25">
      <c r="B19" s="84" t="str">
        <f>"Foi considedarada a cidade de "&amp;Listas!D17&amp;" como local para as instalações físicas."</f>
        <v>Foi considedarada a cidade de Ribas do Rio Pardo como local para as instalações físicas.</v>
      </c>
    </row>
    <row r="20" spans="1:25" s="84" customFormat="1" x14ac:dyDescent="0.25"/>
    <row r="21" spans="1:25" s="334" customFormat="1" ht="21" x14ac:dyDescent="0.25">
      <c r="A21" s="335" t="s">
        <v>316</v>
      </c>
      <c r="B21" s="335" t="s">
        <v>358</v>
      </c>
      <c r="C21" s="335"/>
      <c r="D21" s="335"/>
    </row>
    <row r="22" spans="1:25" s="28" customFormat="1" ht="17.25" x14ac:dyDescent="0.25">
      <c r="A22" s="336" t="s">
        <v>482</v>
      </c>
      <c r="B22" s="336" t="s">
        <v>206</v>
      </c>
      <c r="C22" s="336"/>
      <c r="D22" s="336"/>
      <c r="E22" s="336"/>
    </row>
    <row r="23" spans="1:25" x14ac:dyDescent="0.25">
      <c r="A23" s="337" t="s">
        <v>61</v>
      </c>
      <c r="B23" s="2" t="s">
        <v>338</v>
      </c>
    </row>
    <row r="24" spans="1:25" x14ac:dyDescent="0.25">
      <c r="C24" s="51" t="s">
        <v>318</v>
      </c>
      <c r="D24" s="238">
        <v>1</v>
      </c>
    </row>
    <row r="25" spans="1:25" x14ac:dyDescent="0.25">
      <c r="C25" s="51" t="s">
        <v>319</v>
      </c>
      <c r="D25" s="2">
        <f>ROUNDUP(D24*Listas!$E$5,0)</f>
        <v>2</v>
      </c>
    </row>
    <row r="27" spans="1:25" x14ac:dyDescent="0.25">
      <c r="B27" s="2" t="s">
        <v>320</v>
      </c>
      <c r="C27" s="2" t="s">
        <v>15</v>
      </c>
      <c r="G27" s="4" t="s">
        <v>321</v>
      </c>
      <c r="I27" s="4" t="s">
        <v>322</v>
      </c>
      <c r="K27" s="4" t="s">
        <v>323</v>
      </c>
      <c r="N27" s="4" t="s">
        <v>324</v>
      </c>
      <c r="O27" s="4"/>
      <c r="Q27" s="4" t="s">
        <v>325</v>
      </c>
      <c r="R27" s="4"/>
      <c r="S27" s="4" t="s">
        <v>326</v>
      </c>
      <c r="T27" s="4"/>
      <c r="U27" s="4" t="s">
        <v>327</v>
      </c>
      <c r="V27" s="4"/>
      <c r="W27" s="4" t="s">
        <v>328</v>
      </c>
      <c r="Y27" s="338" t="s">
        <v>329</v>
      </c>
    </row>
    <row r="28" spans="1:25" x14ac:dyDescent="0.25">
      <c r="I28" s="4" t="s">
        <v>330</v>
      </c>
      <c r="K28" s="4" t="s">
        <v>331</v>
      </c>
      <c r="N28" s="4" t="s">
        <v>332</v>
      </c>
      <c r="O28" s="4"/>
      <c r="Q28" s="4" t="s">
        <v>333</v>
      </c>
      <c r="R28" s="4"/>
      <c r="S28" s="4" t="s">
        <v>334</v>
      </c>
      <c r="T28" s="4"/>
      <c r="U28" s="4" t="s">
        <v>335</v>
      </c>
      <c r="V28" s="4"/>
      <c r="W28" s="4" t="s">
        <v>336</v>
      </c>
      <c r="Y28" s="338" t="s">
        <v>337</v>
      </c>
    </row>
    <row r="29" spans="1:25" x14ac:dyDescent="0.25">
      <c r="B29" s="4" t="s">
        <v>112</v>
      </c>
      <c r="C29" s="2" t="str">
        <f ca="1">IFERROR(VLOOKUP(B29,MO_Matriz,2,0),"")</f>
        <v>Engenheiro de projetos júnior</v>
      </c>
      <c r="G29" s="4" t="str">
        <f ca="1">IFERROR(VLOOKUP(B29,MO_Matriz,3,0),"")</f>
        <v>S</v>
      </c>
      <c r="I29" s="2">
        <v>1</v>
      </c>
      <c r="K29" s="2">
        <v>1</v>
      </c>
      <c r="N29" s="2">
        <f>Listas!$B$6</f>
        <v>7.333333333333333</v>
      </c>
      <c r="Q29" s="238">
        <f>$D$24</f>
        <v>1</v>
      </c>
      <c r="S29" s="2">
        <f>I29*K29*N29*Q29</f>
        <v>7.333333333333333</v>
      </c>
      <c r="U29" s="2">
        <f>S29/220</f>
        <v>3.3333333333333333E-2</v>
      </c>
      <c r="W29" s="315">
        <f ca="1">IFERROR(VLOOKUP(B29,MO_Matriz,5,0),"")</f>
        <v>24288.81</v>
      </c>
      <c r="Y29" s="339">
        <f ca="1">TRUNC(U29*W29,2)</f>
        <v>809.62</v>
      </c>
    </row>
    <row r="30" spans="1:25" x14ac:dyDescent="0.25">
      <c r="B30" s="4" t="s">
        <v>169</v>
      </c>
      <c r="C30" s="2" t="str">
        <f ca="1">IFERROR(VLOOKUP(B30,MO_Matriz,2,0),"")</f>
        <v>Técnico de obras</v>
      </c>
      <c r="G30" s="4" t="str">
        <f ca="1">IFERROR(VLOOKUP(B30,MO_Matriz,3,0),"")</f>
        <v>T</v>
      </c>
      <c r="I30" s="2">
        <v>1</v>
      </c>
      <c r="K30" s="2">
        <v>1</v>
      </c>
      <c r="N30" s="2">
        <f>Listas!$B$6</f>
        <v>7.333333333333333</v>
      </c>
      <c r="Q30" s="238">
        <f>$D$24</f>
        <v>1</v>
      </c>
      <c r="S30" s="2">
        <f>I30*K30*N30*Q30</f>
        <v>7.333333333333333</v>
      </c>
      <c r="U30" s="2">
        <f>S30/220</f>
        <v>3.3333333333333333E-2</v>
      </c>
      <c r="W30" s="315">
        <f ca="1">IFERROR(VLOOKUP(B30,MO_Matriz,5,0),"")</f>
        <v>7040.14</v>
      </c>
      <c r="Y30" s="339">
        <f ca="1">TRUNC(U30*W30,2)</f>
        <v>234.67</v>
      </c>
    </row>
    <row r="31" spans="1:25" x14ac:dyDescent="0.25">
      <c r="X31" s="340" t="s">
        <v>329</v>
      </c>
      <c r="Y31" s="339">
        <f ca="1">SUM(Y29:Y30)</f>
        <v>1044.29</v>
      </c>
    </row>
    <row r="33" spans="1:10" x14ac:dyDescent="0.25">
      <c r="A33" s="337" t="s">
        <v>339</v>
      </c>
      <c r="B33" s="2" t="s">
        <v>340</v>
      </c>
    </row>
    <row r="34" spans="1:10" x14ac:dyDescent="0.25">
      <c r="B34" s="2" t="s">
        <v>341</v>
      </c>
    </row>
    <row r="36" spans="1:10" x14ac:dyDescent="0.25">
      <c r="A36" s="4" t="s">
        <v>348</v>
      </c>
      <c r="B36" s="2" t="s">
        <v>349</v>
      </c>
    </row>
    <row r="37" spans="1:10" x14ac:dyDescent="0.25">
      <c r="A37" s="4" t="s">
        <v>451</v>
      </c>
      <c r="B37" s="2" t="s">
        <v>452</v>
      </c>
    </row>
    <row r="38" spans="1:10" x14ac:dyDescent="0.25">
      <c r="B38" s="4" t="s">
        <v>360</v>
      </c>
      <c r="C38" s="2" t="s">
        <v>15</v>
      </c>
      <c r="F38" s="4" t="s">
        <v>321</v>
      </c>
      <c r="G38" s="4"/>
      <c r="H38" s="4" t="s">
        <v>453</v>
      </c>
      <c r="I38" s="4"/>
      <c r="J38" s="4" t="s">
        <v>454</v>
      </c>
    </row>
    <row r="39" spans="1:10" x14ac:dyDescent="0.25">
      <c r="B39" s="4" t="str">
        <f>B29</f>
        <v>P8065</v>
      </c>
      <c r="C39" s="2" t="str">
        <f ca="1">IFERROR(VLOOKUP(B39,MO_Matriz,2,0),"")</f>
        <v>Engenheiro de projetos júnior</v>
      </c>
      <c r="F39" s="4" t="str">
        <f ca="1">IFERROR(VLOOKUP(B39,MO_Matriz,3,0),"")</f>
        <v>S</v>
      </c>
      <c r="H39" s="2" t="s">
        <v>455</v>
      </c>
      <c r="J39" s="2">
        <v>1</v>
      </c>
    </row>
    <row r="40" spans="1:10" x14ac:dyDescent="0.25">
      <c r="B40" s="4" t="str">
        <f>B30</f>
        <v>P8147</v>
      </c>
      <c r="C40" s="2" t="str">
        <f ca="1">IFERROR(VLOOKUP(B40,MO_Matriz,2,0),"")</f>
        <v>Técnico de obras</v>
      </c>
      <c r="F40" s="4" t="str">
        <f ca="1">IFERROR(VLOOKUP(B40,MO_Matriz,3,0),"")</f>
        <v>T</v>
      </c>
      <c r="H40" s="2" t="s">
        <v>455</v>
      </c>
      <c r="J40" s="2">
        <v>1</v>
      </c>
    </row>
    <row r="41" spans="1:10" x14ac:dyDescent="0.25">
      <c r="I41" s="340" t="s">
        <v>329</v>
      </c>
      <c r="J41" s="340">
        <f>SUM(J39:J40)</f>
        <v>2</v>
      </c>
    </row>
    <row r="43" spans="1:10" x14ac:dyDescent="0.25">
      <c r="A43" s="4" t="s">
        <v>456</v>
      </c>
      <c r="B43" s="2" t="s">
        <v>457</v>
      </c>
    </row>
    <row r="44" spans="1:10" x14ac:dyDescent="0.25">
      <c r="A44" s="4"/>
      <c r="B44" s="2" t="s">
        <v>1033</v>
      </c>
    </row>
    <row r="46" spans="1:10" x14ac:dyDescent="0.25">
      <c r="A46" s="4" t="s">
        <v>350</v>
      </c>
      <c r="B46" s="2" t="s">
        <v>351</v>
      </c>
    </row>
    <row r="47" spans="1:10" x14ac:dyDescent="0.25">
      <c r="B47" s="2" t="s">
        <v>344</v>
      </c>
    </row>
    <row r="49" spans="1:15" x14ac:dyDescent="0.25">
      <c r="A49" s="4" t="s">
        <v>197</v>
      </c>
      <c r="B49" s="2" t="s">
        <v>352</v>
      </c>
    </row>
    <row r="50" spans="1:15" s="28" customFormat="1" ht="17.25" x14ac:dyDescent="0.25">
      <c r="A50" s="2"/>
      <c r="B50" s="2" t="s">
        <v>346</v>
      </c>
      <c r="C50" s="2"/>
      <c r="D50" s="2"/>
      <c r="E50" s="2"/>
      <c r="F50" s="2"/>
      <c r="G50" s="2"/>
      <c r="H50" s="2"/>
      <c r="I50" s="2"/>
      <c r="J50" s="2"/>
      <c r="K50" s="2"/>
      <c r="L50" s="2"/>
      <c r="M50" s="2"/>
      <c r="N50" s="2"/>
      <c r="O50" s="2"/>
    </row>
    <row r="51" spans="1:15" s="84" customFormat="1" x14ac:dyDescent="0.25">
      <c r="A51" s="2"/>
      <c r="B51" s="2"/>
      <c r="C51" s="2"/>
      <c r="D51" s="2"/>
      <c r="E51" s="2"/>
      <c r="F51" s="2"/>
      <c r="G51" s="2"/>
      <c r="H51" s="2"/>
      <c r="I51" s="2"/>
      <c r="J51" s="2"/>
      <c r="K51" s="2"/>
      <c r="L51" s="2"/>
      <c r="M51" s="2"/>
      <c r="N51" s="2"/>
      <c r="O51" s="2"/>
    </row>
    <row r="52" spans="1:15" s="84" customFormat="1" x14ac:dyDescent="0.25">
      <c r="A52" s="4" t="s">
        <v>353</v>
      </c>
      <c r="B52" s="2" t="s">
        <v>354</v>
      </c>
      <c r="C52" s="2"/>
      <c r="D52" s="2"/>
      <c r="E52" s="2"/>
      <c r="F52" s="2"/>
      <c r="G52" s="2"/>
      <c r="H52" s="2"/>
      <c r="I52" s="2"/>
      <c r="J52" s="2"/>
      <c r="K52" s="2"/>
      <c r="L52" s="2"/>
      <c r="M52" s="2"/>
      <c r="N52" s="2"/>
      <c r="O52" s="2"/>
    </row>
    <row r="53" spans="1:15" s="84" customFormat="1" x14ac:dyDescent="0.25">
      <c r="A53" s="2"/>
      <c r="B53" s="2" t="s">
        <v>347</v>
      </c>
      <c r="C53" s="2"/>
      <c r="D53" s="2"/>
      <c r="E53" s="2"/>
      <c r="F53" s="2"/>
      <c r="G53" s="2"/>
      <c r="H53" s="2"/>
      <c r="I53" s="2"/>
      <c r="J53" s="2"/>
      <c r="K53" s="2"/>
      <c r="L53" s="2"/>
      <c r="M53" s="2"/>
      <c r="N53" s="2"/>
      <c r="O53" s="2"/>
    </row>
    <row r="54" spans="1:15" s="84" customFormat="1" x14ac:dyDescent="0.25">
      <c r="A54" s="2"/>
      <c r="B54" s="2"/>
      <c r="C54" s="2"/>
      <c r="D54" s="2"/>
      <c r="E54" s="2"/>
      <c r="F54" s="2"/>
      <c r="G54" s="2"/>
      <c r="H54" s="2"/>
      <c r="I54" s="2"/>
      <c r="J54" s="2"/>
      <c r="K54" s="2"/>
      <c r="L54" s="2"/>
      <c r="M54" s="2"/>
      <c r="N54" s="2"/>
      <c r="O54" s="2"/>
    </row>
    <row r="55" spans="1:15" s="84" customFormat="1" x14ac:dyDescent="0.25">
      <c r="A55" s="4" t="s">
        <v>355</v>
      </c>
      <c r="B55" s="2" t="s">
        <v>356</v>
      </c>
      <c r="C55" s="2"/>
      <c r="D55" s="2"/>
      <c r="E55" s="2"/>
      <c r="F55" s="2"/>
      <c r="G55" s="2"/>
      <c r="H55" s="2"/>
      <c r="I55" s="2"/>
      <c r="J55" s="2"/>
      <c r="K55" s="2"/>
      <c r="L55" s="2"/>
      <c r="M55" s="2"/>
      <c r="N55" s="2"/>
      <c r="O55" s="2"/>
    </row>
    <row r="56" spans="1:15" s="84" customFormat="1" x14ac:dyDescent="0.25">
      <c r="A56" s="2"/>
      <c r="B56" s="2" t="s">
        <v>15</v>
      </c>
      <c r="C56" s="2"/>
      <c r="D56" s="2"/>
      <c r="E56" s="2"/>
      <c r="F56" s="2" t="s">
        <v>357</v>
      </c>
      <c r="G56" s="2"/>
      <c r="H56" s="2"/>
      <c r="I56" s="2"/>
      <c r="J56" s="2"/>
      <c r="K56" s="2"/>
      <c r="L56" s="2"/>
      <c r="M56" s="2"/>
      <c r="N56" s="2"/>
      <c r="O56" s="2"/>
    </row>
    <row r="57" spans="1:15" s="84" customFormat="1" x14ac:dyDescent="0.25">
      <c r="A57" s="2"/>
      <c r="B57" s="2" t="s">
        <v>317</v>
      </c>
      <c r="C57" s="2"/>
      <c r="D57" s="2"/>
      <c r="E57" s="2"/>
      <c r="F57" s="315">
        <f ca="1">Y31</f>
        <v>1044.29</v>
      </c>
      <c r="G57" s="2"/>
      <c r="H57" s="2"/>
      <c r="I57" s="2"/>
      <c r="J57" s="2"/>
      <c r="K57" s="2"/>
      <c r="L57" s="2"/>
      <c r="M57" s="2"/>
      <c r="N57" s="2"/>
      <c r="O57" s="2"/>
    </row>
    <row r="58" spans="1:15" s="84" customFormat="1" x14ac:dyDescent="0.25">
      <c r="A58" s="2"/>
      <c r="B58" s="2" t="s">
        <v>276</v>
      </c>
      <c r="C58" s="2"/>
      <c r="D58" s="2"/>
      <c r="E58" s="2"/>
      <c r="F58" s="315">
        <v>0</v>
      </c>
      <c r="G58" s="2"/>
      <c r="H58" s="2"/>
      <c r="I58" s="2"/>
      <c r="J58" s="2"/>
      <c r="K58" s="2"/>
      <c r="L58" s="2"/>
      <c r="M58" s="2"/>
      <c r="N58" s="2"/>
      <c r="O58" s="2"/>
    </row>
    <row r="59" spans="1:15" s="84" customFormat="1" x14ac:dyDescent="0.25">
      <c r="A59" s="2"/>
      <c r="B59" s="2" t="s">
        <v>342</v>
      </c>
      <c r="C59" s="2"/>
      <c r="D59" s="2"/>
      <c r="E59" s="2"/>
      <c r="F59" s="315">
        <v>0</v>
      </c>
      <c r="G59" s="2"/>
      <c r="H59" s="2"/>
      <c r="I59" s="2"/>
      <c r="J59" s="2"/>
      <c r="K59" s="2"/>
      <c r="L59" s="2"/>
      <c r="M59" s="2"/>
      <c r="N59" s="2"/>
      <c r="O59" s="2"/>
    </row>
    <row r="60" spans="1:15" s="84" customFormat="1" x14ac:dyDescent="0.25">
      <c r="A60" s="2"/>
      <c r="B60" s="2" t="s">
        <v>343</v>
      </c>
      <c r="C60" s="2"/>
      <c r="D60" s="2"/>
      <c r="E60" s="2"/>
      <c r="F60" s="315">
        <v>0</v>
      </c>
      <c r="G60" s="2"/>
      <c r="H60" s="2"/>
      <c r="I60" s="2"/>
      <c r="J60" s="2"/>
      <c r="K60" s="2"/>
      <c r="L60" s="2"/>
      <c r="M60" s="2"/>
      <c r="N60" s="2"/>
      <c r="O60" s="2"/>
    </row>
    <row r="61" spans="1:15" s="84" customFormat="1" x14ac:dyDescent="0.25">
      <c r="A61" s="2"/>
      <c r="B61" s="2" t="s">
        <v>345</v>
      </c>
      <c r="C61" s="2"/>
      <c r="D61" s="2"/>
      <c r="E61" s="2"/>
      <c r="F61" s="315">
        <v>0</v>
      </c>
      <c r="G61" s="2"/>
      <c r="H61" s="2"/>
      <c r="I61" s="2"/>
      <c r="J61" s="2"/>
      <c r="K61" s="2"/>
      <c r="L61" s="2"/>
      <c r="M61" s="2"/>
      <c r="N61" s="2"/>
      <c r="O61" s="2"/>
    </row>
    <row r="62" spans="1:15" s="84" customFormat="1" x14ac:dyDescent="0.25">
      <c r="A62" s="2"/>
      <c r="B62" s="2" t="s">
        <v>516</v>
      </c>
      <c r="C62" s="2"/>
      <c r="D62" s="2"/>
      <c r="E62" s="2"/>
      <c r="F62" s="315">
        <v>0</v>
      </c>
      <c r="G62" s="2"/>
      <c r="H62" s="2"/>
      <c r="I62" s="2"/>
      <c r="J62" s="2"/>
      <c r="K62" s="2"/>
      <c r="L62" s="2"/>
      <c r="M62" s="2"/>
      <c r="N62" s="2"/>
      <c r="O62" s="2"/>
    </row>
    <row r="63" spans="1:15" s="84" customFormat="1" x14ac:dyDescent="0.25">
      <c r="A63" s="2"/>
      <c r="B63" s="2"/>
      <c r="C63" s="2"/>
      <c r="D63" s="2"/>
      <c r="E63" s="340" t="s">
        <v>329</v>
      </c>
      <c r="F63" s="339">
        <f ca="1">SUM(F57:F62)</f>
        <v>1044.29</v>
      </c>
      <c r="G63" s="2"/>
      <c r="H63" s="2"/>
      <c r="I63" s="2"/>
      <c r="J63" s="2"/>
      <c r="K63" s="2"/>
      <c r="L63" s="2"/>
      <c r="M63" s="2"/>
      <c r="N63" s="2"/>
      <c r="O63" s="2"/>
    </row>
    <row r="64" spans="1:15" s="84" customFormat="1" x14ac:dyDescent="0.25">
      <c r="A64" s="2"/>
      <c r="B64" s="2"/>
      <c r="C64" s="2"/>
      <c r="D64" s="2"/>
      <c r="E64" s="2"/>
      <c r="F64" s="2"/>
      <c r="G64" s="2"/>
      <c r="H64" s="2"/>
      <c r="I64" s="2"/>
      <c r="J64" s="2"/>
      <c r="K64" s="2"/>
      <c r="L64" s="2"/>
      <c r="M64" s="2"/>
      <c r="N64" s="2"/>
      <c r="O64" s="2"/>
    </row>
    <row r="65" spans="1:22" s="84" customFormat="1" ht="17.25" x14ac:dyDescent="0.25">
      <c r="A65" s="336" t="s">
        <v>428</v>
      </c>
      <c r="B65" s="336" t="s">
        <v>207</v>
      </c>
      <c r="C65" s="336"/>
      <c r="D65" s="336"/>
      <c r="E65" s="336"/>
      <c r="F65" s="28"/>
      <c r="G65" s="28"/>
      <c r="H65" s="28"/>
      <c r="I65" s="28"/>
      <c r="J65" s="28"/>
      <c r="K65" s="28"/>
      <c r="L65" s="28"/>
      <c r="M65" s="28"/>
      <c r="N65" s="28"/>
      <c r="O65" s="28"/>
    </row>
    <row r="66" spans="1:22" s="84" customFormat="1" x14ac:dyDescent="0.25">
      <c r="A66" s="341" t="s">
        <v>429</v>
      </c>
      <c r="B66" s="341" t="s">
        <v>732</v>
      </c>
      <c r="C66" s="341"/>
      <c r="D66" s="341"/>
      <c r="E66" s="341"/>
      <c r="F66" s="341"/>
    </row>
    <row r="67" spans="1:22" s="84" customFormat="1" x14ac:dyDescent="0.25">
      <c r="C67" s="342" t="s">
        <v>729</v>
      </c>
      <c r="D67" s="84">
        <v>1</v>
      </c>
      <c r="E67" s="84" t="s">
        <v>198</v>
      </c>
    </row>
    <row r="68" spans="1:22" s="84" customFormat="1" x14ac:dyDescent="0.25">
      <c r="C68" s="342" t="s">
        <v>1</v>
      </c>
      <c r="D68" s="84">
        <v>1</v>
      </c>
      <c r="E68" s="84" t="s">
        <v>13</v>
      </c>
    </row>
    <row r="69" spans="1:22" s="84" customFormat="1" x14ac:dyDescent="0.25">
      <c r="C69" s="342" t="s">
        <v>730</v>
      </c>
      <c r="D69" s="84">
        <f>ROUNDUP(D68/D67,0)</f>
        <v>1</v>
      </c>
      <c r="F69" s="342" t="s">
        <v>1107</v>
      </c>
      <c r="G69" s="84">
        <v>2</v>
      </c>
      <c r="H69" s="84" t="s">
        <v>1108</v>
      </c>
      <c r="J69" s="342" t="s">
        <v>1109</v>
      </c>
      <c r="K69" s="84">
        <f>D69+G69-1</f>
        <v>2</v>
      </c>
    </row>
    <row r="70" spans="1:22" s="84" customFormat="1" x14ac:dyDescent="0.25">
      <c r="C70" s="342"/>
      <c r="I70" s="2"/>
      <c r="J70" s="51" t="s">
        <v>319</v>
      </c>
      <c r="K70" s="2">
        <f>ROUNDUP(K69*Listas!$E$5,0)</f>
        <v>3</v>
      </c>
    </row>
    <row r="71" spans="1:22" s="84" customFormat="1" x14ac:dyDescent="0.25"/>
    <row r="72" spans="1:22" s="84" customFormat="1" x14ac:dyDescent="0.25">
      <c r="B72" s="84" t="s">
        <v>430</v>
      </c>
      <c r="D72" s="84" t="s">
        <v>15</v>
      </c>
    </row>
    <row r="73" spans="1:22" s="84" customFormat="1" x14ac:dyDescent="0.25">
      <c r="B73" s="84">
        <v>1</v>
      </c>
      <c r="D73" s="84" t="s">
        <v>1221</v>
      </c>
    </row>
    <row r="74" spans="1:22" s="84" customFormat="1" x14ac:dyDescent="0.25">
      <c r="B74" s="84">
        <v>2</v>
      </c>
      <c r="D74" s="84" t="s">
        <v>866</v>
      </c>
    </row>
    <row r="75" spans="1:22" s="84" customFormat="1" x14ac:dyDescent="0.25">
      <c r="B75" s="84">
        <v>3</v>
      </c>
      <c r="D75" s="84" t="s">
        <v>1222</v>
      </c>
    </row>
    <row r="76" spans="1:22" s="84" customFormat="1" x14ac:dyDescent="0.25">
      <c r="J76" s="343"/>
    </row>
    <row r="77" spans="1:22" s="84" customFormat="1" x14ac:dyDescent="0.25">
      <c r="A77" s="4" t="s">
        <v>61</v>
      </c>
      <c r="B77" s="2" t="s">
        <v>338</v>
      </c>
      <c r="J77" s="343"/>
    </row>
    <row r="78" spans="1:22" s="84" customFormat="1" x14ac:dyDescent="0.25">
      <c r="B78" s="4" t="s">
        <v>360</v>
      </c>
      <c r="C78" s="2" t="s">
        <v>15</v>
      </c>
      <c r="D78" s="4"/>
      <c r="E78" s="4"/>
      <c r="F78" s="4" t="s">
        <v>321</v>
      </c>
      <c r="G78" s="4"/>
      <c r="H78" s="4" t="s">
        <v>322</v>
      </c>
      <c r="I78" s="4"/>
      <c r="J78" s="4" t="s">
        <v>323</v>
      </c>
      <c r="K78" s="4"/>
      <c r="L78" s="2"/>
      <c r="M78" s="4" t="s">
        <v>324</v>
      </c>
      <c r="N78" s="4"/>
      <c r="O78" s="4" t="s">
        <v>325</v>
      </c>
      <c r="P78" s="4"/>
      <c r="Q78" s="4" t="s">
        <v>326</v>
      </c>
      <c r="R78" s="4"/>
      <c r="S78" s="4" t="s">
        <v>327</v>
      </c>
      <c r="T78" s="4"/>
      <c r="U78" s="4" t="s">
        <v>328</v>
      </c>
      <c r="V78" s="338" t="s">
        <v>329</v>
      </c>
    </row>
    <row r="79" spans="1:22" s="84" customFormat="1" x14ac:dyDescent="0.25">
      <c r="B79" s="4"/>
      <c r="C79" s="4"/>
      <c r="D79" s="4"/>
      <c r="E79" s="4"/>
      <c r="F79" s="4"/>
      <c r="G79" s="4"/>
      <c r="H79" s="4" t="s">
        <v>330</v>
      </c>
      <c r="I79" s="4"/>
      <c r="J79" s="4" t="s">
        <v>331</v>
      </c>
      <c r="K79" s="4"/>
      <c r="L79" s="2"/>
      <c r="M79" s="4" t="s">
        <v>332</v>
      </c>
      <c r="N79" s="4"/>
      <c r="O79" s="4" t="s">
        <v>333</v>
      </c>
      <c r="P79" s="4"/>
      <c r="Q79" s="4" t="s">
        <v>334</v>
      </c>
      <c r="R79" s="4"/>
      <c r="S79" s="4" t="s">
        <v>335</v>
      </c>
      <c r="T79" s="4"/>
      <c r="U79" s="4" t="s">
        <v>336</v>
      </c>
      <c r="V79" s="338" t="s">
        <v>337</v>
      </c>
    </row>
    <row r="80" spans="1:22" s="84" customFormat="1" x14ac:dyDescent="0.25">
      <c r="B80" s="4" t="s">
        <v>98</v>
      </c>
      <c r="C80" s="2" t="str">
        <f ca="1">IFERROR(VLOOKUP(B80,MO_Matriz,2,0),"")</f>
        <v>Engenheiro ambiental pleno</v>
      </c>
      <c r="D80" s="2"/>
      <c r="E80" s="2"/>
      <c r="F80" s="4" t="str">
        <f ca="1">IFERROR(VLOOKUP(B80,MO_Matriz,3,0),"")</f>
        <v>S</v>
      </c>
      <c r="G80" s="2"/>
      <c r="H80" s="2">
        <v>1</v>
      </c>
      <c r="I80" s="2"/>
      <c r="J80" s="2">
        <v>1</v>
      </c>
      <c r="K80" s="2"/>
      <c r="L80" s="2"/>
      <c r="M80" s="2">
        <f>Listas!$B$6</f>
        <v>7.333333333333333</v>
      </c>
      <c r="N80" s="2"/>
      <c r="O80" s="238">
        <v>3</v>
      </c>
      <c r="P80" s="2"/>
      <c r="Q80" s="2">
        <f>H80*J80*M80*O80</f>
        <v>22</v>
      </c>
      <c r="R80" s="2"/>
      <c r="S80" s="2">
        <f>Q80/220</f>
        <v>0.1</v>
      </c>
      <c r="T80" s="2"/>
      <c r="U80" s="315">
        <f ca="1">IFERROR(VLOOKUP(B80,MO_Matriz,5,0),"")</f>
        <v>26558.86</v>
      </c>
      <c r="V80" s="339">
        <f ca="1">TRUNC(S80*U80,2)</f>
        <v>2655.88</v>
      </c>
    </row>
    <row r="81" spans="1:22" s="84" customFormat="1" x14ac:dyDescent="0.25">
      <c r="B81" s="4" t="s">
        <v>59</v>
      </c>
      <c r="C81" s="2" t="str">
        <f ca="1">IFERROR(VLOOKUP(B81,MO_Matriz,2,0),"")</f>
        <v>Auxiliar</v>
      </c>
      <c r="D81" s="2"/>
      <c r="E81" s="2"/>
      <c r="F81" s="4" t="str">
        <f ca="1">IFERROR(VLOOKUP(B81,MO_Matriz,3,0),"")</f>
        <v>A</v>
      </c>
      <c r="G81" s="2"/>
      <c r="H81" s="2">
        <v>1</v>
      </c>
      <c r="I81" s="2"/>
      <c r="J81" s="2">
        <v>1</v>
      </c>
      <c r="K81" s="2"/>
      <c r="L81" s="2"/>
      <c r="M81" s="2">
        <f>Listas!$B$6</f>
        <v>7.333333333333333</v>
      </c>
      <c r="N81" s="2"/>
      <c r="O81" s="238">
        <v>3</v>
      </c>
      <c r="P81" s="2"/>
      <c r="Q81" s="2">
        <f>H81*J81*M81*O81</f>
        <v>22</v>
      </c>
      <c r="R81" s="2"/>
      <c r="S81" s="2">
        <f>Q81/220</f>
        <v>0.1</v>
      </c>
      <c r="T81" s="2"/>
      <c r="U81" s="315">
        <f ca="1">IFERROR(VLOOKUP(B81,MO_Matriz,5,0),"")</f>
        <v>4276.41</v>
      </c>
      <c r="V81" s="339">
        <f t="shared" ref="V81" ca="1" si="0">TRUNC(S81*U81,2)</f>
        <v>427.64</v>
      </c>
    </row>
    <row r="82" spans="1:22" s="84" customFormat="1" x14ac:dyDescent="0.25">
      <c r="B82" s="2"/>
      <c r="C82" s="2"/>
      <c r="D82" s="2"/>
      <c r="E82" s="2"/>
      <c r="F82" s="2"/>
      <c r="G82" s="2"/>
      <c r="H82" s="2"/>
      <c r="I82" s="2"/>
      <c r="J82" s="2"/>
      <c r="K82" s="2"/>
      <c r="L82" s="2"/>
      <c r="M82" s="2"/>
      <c r="N82" s="2"/>
      <c r="O82" s="2"/>
      <c r="P82" s="2"/>
      <c r="Q82" s="2"/>
      <c r="R82" s="2"/>
      <c r="S82" s="2"/>
      <c r="T82" s="2"/>
      <c r="U82" s="340" t="s">
        <v>329</v>
      </c>
      <c r="V82" s="339">
        <f ca="1">SUM(V80:V81)</f>
        <v>3083.52</v>
      </c>
    </row>
    <row r="83" spans="1:22" s="84" customFormat="1" x14ac:dyDescent="0.25">
      <c r="A83" s="337" t="s">
        <v>339</v>
      </c>
      <c r="B83" s="2" t="s">
        <v>340</v>
      </c>
      <c r="J83" s="343"/>
    </row>
    <row r="84" spans="1:22" s="84" customFormat="1" x14ac:dyDescent="0.25">
      <c r="B84" s="2" t="s">
        <v>360</v>
      </c>
      <c r="C84" s="2" t="s">
        <v>15</v>
      </c>
      <c r="D84" s="2"/>
      <c r="E84" s="2"/>
      <c r="F84" s="2"/>
      <c r="G84" s="2" t="s">
        <v>31</v>
      </c>
      <c r="H84" s="2" t="s">
        <v>224</v>
      </c>
      <c r="I84" s="2" t="s">
        <v>361</v>
      </c>
      <c r="J84" s="2"/>
      <c r="K84" s="2" t="s">
        <v>328</v>
      </c>
      <c r="L84" s="2"/>
      <c r="M84" s="340" t="s">
        <v>362</v>
      </c>
    </row>
    <row r="85" spans="1:22" s="84" customFormat="1" x14ac:dyDescent="0.25">
      <c r="B85" s="2"/>
      <c r="C85" s="2"/>
      <c r="D85" s="2"/>
      <c r="E85" s="2"/>
      <c r="F85" s="2"/>
      <c r="G85" s="4" t="s">
        <v>363</v>
      </c>
      <c r="H85" s="4" t="s">
        <v>330</v>
      </c>
      <c r="I85" s="4" t="s">
        <v>364</v>
      </c>
      <c r="J85" s="4"/>
      <c r="K85" s="4" t="s">
        <v>332</v>
      </c>
      <c r="L85" s="4"/>
      <c r="M85" s="338" t="s">
        <v>365</v>
      </c>
    </row>
    <row r="86" spans="1:22" s="84" customFormat="1" x14ac:dyDescent="0.25">
      <c r="B86" s="43" t="s">
        <v>190</v>
      </c>
      <c r="C86" s="2" t="str">
        <f ca="1">IFERROR(VLOOKUP(B86,Veiculo_Equip_Matriz,2,0),"")</f>
        <v>Veículo leve - 53 kW (sem motorista)</v>
      </c>
      <c r="D86" s="2"/>
      <c r="E86" s="2"/>
      <c r="F86" s="2"/>
      <c r="G86" s="2">
        <v>1</v>
      </c>
      <c r="H86" s="4">
        <v>2</v>
      </c>
      <c r="I86" s="2">
        <f>H86/30</f>
        <v>6.6666666666666666E-2</v>
      </c>
      <c r="J86" s="4"/>
      <c r="K86" s="315">
        <f ca="1">IFERROR(VLOOKUP(B86,Veiculo_Equip_Matriz,10,0),"")</f>
        <v>3186.8793000000001</v>
      </c>
      <c r="L86" s="4"/>
      <c r="M86" s="339">
        <f ca="1">TRUNC(G86*I86*K86,2)</f>
        <v>212.45</v>
      </c>
    </row>
    <row r="87" spans="1:22" s="84" customFormat="1" x14ac:dyDescent="0.25">
      <c r="B87" s="43"/>
      <c r="C87" s="2"/>
      <c r="D87" s="2"/>
      <c r="E87" s="2"/>
      <c r="F87" s="2"/>
      <c r="G87" s="2"/>
      <c r="H87" s="238"/>
      <c r="I87" s="2"/>
      <c r="J87" s="2"/>
      <c r="K87" s="315"/>
      <c r="L87" s="340" t="s">
        <v>329</v>
      </c>
      <c r="M87" s="339">
        <f ca="1">SUM(M86:M86)</f>
        <v>212.45</v>
      </c>
    </row>
    <row r="88" spans="1:22" s="84" customFormat="1" x14ac:dyDescent="0.25">
      <c r="A88" s="4" t="s">
        <v>348</v>
      </c>
      <c r="B88" s="2" t="s">
        <v>349</v>
      </c>
    </row>
    <row r="89" spans="1:22" s="84" customFormat="1" x14ac:dyDescent="0.25">
      <c r="A89" s="4" t="s">
        <v>451</v>
      </c>
      <c r="B89" s="2" t="s">
        <v>452</v>
      </c>
      <c r="C89" s="2"/>
      <c r="D89" s="2"/>
      <c r="E89" s="2"/>
      <c r="F89" s="2"/>
      <c r="G89" s="2"/>
      <c r="H89" s="2"/>
      <c r="I89" s="2"/>
      <c r="J89" s="2"/>
    </row>
    <row r="90" spans="1:22" s="84" customFormat="1" x14ac:dyDescent="0.25">
      <c r="A90" s="2"/>
      <c r="B90" s="2" t="s">
        <v>1034</v>
      </c>
      <c r="C90" s="2"/>
      <c r="D90" s="2"/>
      <c r="E90" s="2"/>
      <c r="F90" s="4"/>
      <c r="G90" s="4"/>
      <c r="H90" s="4"/>
      <c r="I90" s="4"/>
      <c r="J90" s="4"/>
    </row>
    <row r="91" spans="1:22" s="84" customFormat="1" x14ac:dyDescent="0.25">
      <c r="A91" s="2"/>
      <c r="B91" s="4"/>
      <c r="C91" s="2"/>
      <c r="D91" s="2"/>
      <c r="E91" s="2"/>
      <c r="F91" s="4"/>
      <c r="G91" s="2"/>
      <c r="H91" s="2"/>
      <c r="I91" s="2"/>
      <c r="J91" s="2"/>
    </row>
    <row r="92" spans="1:22" s="84" customFormat="1" x14ac:dyDescent="0.25">
      <c r="A92" s="4" t="s">
        <v>456</v>
      </c>
      <c r="B92" s="2" t="s">
        <v>457</v>
      </c>
      <c r="C92" s="2"/>
      <c r="D92" s="2"/>
      <c r="E92" s="2"/>
      <c r="F92" s="2"/>
      <c r="G92" s="2"/>
      <c r="H92" s="2"/>
      <c r="I92" s="2"/>
      <c r="J92" s="2"/>
    </row>
    <row r="93" spans="1:22" s="84" customFormat="1" x14ac:dyDescent="0.25">
      <c r="A93" s="2"/>
      <c r="B93" s="2"/>
      <c r="C93" s="2"/>
      <c r="D93" s="2"/>
      <c r="E93" s="2"/>
      <c r="F93" s="2"/>
      <c r="G93" s="2"/>
      <c r="H93" s="2"/>
      <c r="I93" s="2"/>
      <c r="J93" s="2"/>
    </row>
    <row r="94" spans="1:22" s="84" customFormat="1" x14ac:dyDescent="0.25">
      <c r="A94" s="2"/>
      <c r="B94" s="4" t="s">
        <v>360</v>
      </c>
      <c r="C94" s="2" t="s">
        <v>15</v>
      </c>
      <c r="D94" s="2"/>
      <c r="E94" s="2"/>
      <c r="F94" s="4" t="s">
        <v>321</v>
      </c>
      <c r="G94" s="4"/>
      <c r="H94" s="4" t="s">
        <v>453</v>
      </c>
      <c r="I94" s="4"/>
      <c r="J94" s="4" t="s">
        <v>454</v>
      </c>
    </row>
    <row r="95" spans="1:22" s="84" customFormat="1" x14ac:dyDescent="0.25">
      <c r="A95" s="2"/>
      <c r="B95" s="4" t="str">
        <f>B80</f>
        <v>P8058</v>
      </c>
      <c r="C95" s="2" t="str">
        <f ca="1">IFERROR(VLOOKUP(B95,MO_Matriz,2,0),"")</f>
        <v>Engenheiro ambiental pleno</v>
      </c>
      <c r="D95" s="2"/>
      <c r="E95" s="2"/>
      <c r="F95" s="4" t="str">
        <f ca="1">IFERROR(VLOOKUP(B95,MO_Matriz,3,0),"")</f>
        <v>S</v>
      </c>
      <c r="G95" s="2"/>
      <c r="H95" s="4" t="s">
        <v>455</v>
      </c>
      <c r="I95" s="2"/>
      <c r="J95" s="2">
        <v>1</v>
      </c>
    </row>
    <row r="96" spans="1:22" s="84" customFormat="1" x14ac:dyDescent="0.25">
      <c r="A96" s="2"/>
      <c r="B96" s="2"/>
      <c r="C96" s="2"/>
      <c r="D96" s="2"/>
      <c r="E96" s="2"/>
      <c r="F96" s="2"/>
      <c r="G96" s="2"/>
      <c r="H96" s="2"/>
      <c r="I96" s="340" t="s">
        <v>329</v>
      </c>
      <c r="J96" s="340">
        <f>SUM(J95:J95)</f>
        <v>1</v>
      </c>
    </row>
    <row r="97" spans="1:11" s="84" customFormat="1" x14ac:dyDescent="0.25">
      <c r="A97" s="2"/>
      <c r="B97" s="2"/>
    </row>
    <row r="98" spans="1:11" s="84" customFormat="1" x14ac:dyDescent="0.25">
      <c r="A98" s="4" t="s">
        <v>350</v>
      </c>
      <c r="B98" s="2" t="s">
        <v>351</v>
      </c>
      <c r="J98" s="343"/>
    </row>
    <row r="99" spans="1:11" s="84" customFormat="1" x14ac:dyDescent="0.25">
      <c r="A99" s="2"/>
      <c r="B99" s="2" t="s">
        <v>344</v>
      </c>
      <c r="J99" s="343"/>
    </row>
    <row r="100" spans="1:11" s="84" customFormat="1" x14ac:dyDescent="0.25">
      <c r="J100" s="343"/>
    </row>
    <row r="101" spans="1:11" s="84" customFormat="1" x14ac:dyDescent="0.25">
      <c r="A101" s="4" t="s">
        <v>197</v>
      </c>
      <c r="B101" s="2" t="s">
        <v>352</v>
      </c>
      <c r="C101" s="2"/>
      <c r="D101" s="2"/>
      <c r="E101" s="2"/>
      <c r="F101" s="2"/>
      <c r="G101" s="2"/>
      <c r="H101" s="2"/>
      <c r="I101" s="2"/>
      <c r="J101" s="2"/>
      <c r="K101" s="2"/>
    </row>
    <row r="102" spans="1:11" s="84" customFormat="1" x14ac:dyDescent="0.25">
      <c r="A102" s="4"/>
      <c r="B102" s="2" t="s">
        <v>1036</v>
      </c>
      <c r="C102" s="2"/>
      <c r="D102" s="2"/>
      <c r="E102" s="2"/>
      <c r="F102" s="2"/>
      <c r="G102" s="2"/>
      <c r="H102" s="2"/>
      <c r="I102" s="2"/>
      <c r="J102" s="2"/>
      <c r="K102" s="2"/>
    </row>
    <row r="103" spans="1:11" s="84" customFormat="1" x14ac:dyDescent="0.25">
      <c r="A103" s="4" t="s">
        <v>450</v>
      </c>
      <c r="B103" s="2" t="s">
        <v>433</v>
      </c>
      <c r="C103" s="2"/>
      <c r="D103" s="2"/>
      <c r="E103" s="2"/>
      <c r="F103" s="2"/>
      <c r="G103" s="2"/>
      <c r="H103" s="2"/>
      <c r="I103" s="2"/>
      <c r="J103" s="2"/>
      <c r="K103" s="2"/>
    </row>
    <row r="104" spans="1:11" s="84" customFormat="1" x14ac:dyDescent="0.25">
      <c r="A104" s="2"/>
      <c r="B104" s="2" t="str">
        <f>"Segundo Decreto nº 16.536, de 26 de dezembro de 2024, para "&amp;Listas!$D$17&amp;" :"</f>
        <v>Segundo Decreto nº 16.536, de 26 de dezembro de 2024, para Ribas do Rio Pardo :</v>
      </c>
      <c r="C104" s="2"/>
      <c r="D104" s="2"/>
      <c r="E104" s="2"/>
      <c r="F104" s="2"/>
      <c r="G104" s="2"/>
      <c r="H104" s="2"/>
      <c r="I104" s="2"/>
      <c r="J104" s="2"/>
      <c r="K104" s="2"/>
    </row>
    <row r="105" spans="1:11" s="84" customFormat="1" x14ac:dyDescent="0.25">
      <c r="A105" s="2"/>
      <c r="B105" s="2" t="s">
        <v>15</v>
      </c>
      <c r="C105" s="2"/>
      <c r="D105" s="2"/>
      <c r="E105" s="2" t="s">
        <v>357</v>
      </c>
      <c r="F105" s="2" t="s">
        <v>202</v>
      </c>
      <c r="G105" s="2"/>
      <c r="H105" s="2"/>
      <c r="I105" s="2"/>
      <c r="J105" s="2"/>
      <c r="K105" s="2"/>
    </row>
    <row r="106" spans="1:11" s="84" customFormat="1" x14ac:dyDescent="0.25">
      <c r="A106" s="2"/>
      <c r="B106" s="2" t="s">
        <v>248</v>
      </c>
      <c r="C106" s="2"/>
      <c r="D106" s="2"/>
      <c r="E106" s="238">
        <f>Listas!$D$19</f>
        <v>200</v>
      </c>
      <c r="F106" s="2"/>
      <c r="G106" s="2"/>
      <c r="H106" s="2"/>
      <c r="I106" s="2"/>
      <c r="J106" s="2"/>
      <c r="K106" s="2"/>
    </row>
    <row r="107" spans="1:11" s="84" customFormat="1" x14ac:dyDescent="0.25">
      <c r="A107" s="2"/>
      <c r="B107" s="2" t="s">
        <v>252</v>
      </c>
      <c r="C107" s="2"/>
      <c r="D107" s="2"/>
      <c r="E107" s="238">
        <f>E106/2</f>
        <v>100</v>
      </c>
      <c r="F107" s="238">
        <f>O80</f>
        <v>3</v>
      </c>
      <c r="G107" s="2"/>
      <c r="H107" s="2"/>
      <c r="I107" s="2"/>
      <c r="J107" s="2"/>
      <c r="K107" s="2"/>
    </row>
    <row r="108" spans="1:11" s="84" customFormat="1" x14ac:dyDescent="0.25">
      <c r="A108" s="2"/>
      <c r="B108" s="2" t="s">
        <v>255</v>
      </c>
      <c r="C108" s="2"/>
      <c r="D108" s="2"/>
      <c r="E108" s="238">
        <f>E107</f>
        <v>100</v>
      </c>
      <c r="F108" s="238">
        <f>F107-1</f>
        <v>2</v>
      </c>
      <c r="G108" s="2"/>
      <c r="H108" s="2"/>
      <c r="I108" s="2"/>
      <c r="J108" s="2"/>
      <c r="K108" s="2"/>
    </row>
    <row r="109" spans="1:11" s="84" customFormat="1" x14ac:dyDescent="0.25">
      <c r="A109" s="2"/>
      <c r="B109" s="2"/>
      <c r="C109" s="2"/>
      <c r="D109" s="2"/>
      <c r="E109" s="2"/>
      <c r="F109" s="2"/>
      <c r="G109" s="2"/>
      <c r="H109" s="2"/>
      <c r="I109" s="2"/>
      <c r="J109" s="2"/>
      <c r="K109" s="2"/>
    </row>
    <row r="110" spans="1:11" s="84" customFormat="1" x14ac:dyDescent="0.25">
      <c r="A110" s="2"/>
      <c r="B110" s="4" t="s">
        <v>360</v>
      </c>
      <c r="C110" s="2" t="s">
        <v>15</v>
      </c>
      <c r="D110" s="4"/>
      <c r="E110" s="4"/>
      <c r="F110" s="4" t="s">
        <v>321</v>
      </c>
      <c r="G110" s="4"/>
      <c r="H110" s="4" t="s">
        <v>434</v>
      </c>
      <c r="I110" s="4"/>
      <c r="J110" s="4" t="s">
        <v>435</v>
      </c>
      <c r="K110" s="338" t="s">
        <v>329</v>
      </c>
    </row>
    <row r="111" spans="1:11" s="84" customFormat="1" x14ac:dyDescent="0.25">
      <c r="A111" s="2"/>
      <c r="B111" s="4"/>
      <c r="C111" s="4"/>
      <c r="D111" s="4"/>
      <c r="E111" s="4"/>
      <c r="F111" s="4"/>
      <c r="G111" s="4"/>
      <c r="H111" s="4" t="s">
        <v>363</v>
      </c>
      <c r="I111" s="4"/>
      <c r="J111" s="4" t="s">
        <v>330</v>
      </c>
      <c r="K111" s="338" t="s">
        <v>436</v>
      </c>
    </row>
    <row r="112" spans="1:11" s="84" customFormat="1" x14ac:dyDescent="0.25">
      <c r="A112" s="2"/>
      <c r="B112" s="4" t="str">
        <f>B80</f>
        <v>P8058</v>
      </c>
      <c r="C112" s="2" t="str">
        <f ca="1">IFERROR(VLOOKUP(B112,MO_Matriz,2,0),"")</f>
        <v>Engenheiro ambiental pleno</v>
      </c>
      <c r="D112" s="2"/>
      <c r="E112" s="2"/>
      <c r="F112" s="4" t="str">
        <f ca="1">IFERROR(VLOOKUP(B112,MO_Matriz,3,0),"")</f>
        <v>S</v>
      </c>
      <c r="G112" s="2"/>
      <c r="H112" s="315">
        <f>$E$107*$F$107</f>
        <v>300</v>
      </c>
      <c r="I112" s="315"/>
      <c r="J112" s="315">
        <f>$E$108*$F$108</f>
        <v>200</v>
      </c>
      <c r="K112" s="339">
        <f>H112+J112</f>
        <v>500</v>
      </c>
    </row>
    <row r="113" spans="1:28" s="84" customFormat="1" x14ac:dyDescent="0.25">
      <c r="A113" s="2"/>
      <c r="B113" s="2"/>
      <c r="C113" s="2"/>
      <c r="D113" s="2"/>
      <c r="E113" s="2"/>
      <c r="F113" s="2"/>
      <c r="G113" s="2"/>
      <c r="H113" s="2"/>
      <c r="I113" s="2"/>
      <c r="J113" s="340" t="s">
        <v>329</v>
      </c>
      <c r="K113" s="339">
        <f>SUM(K112:K112)</f>
        <v>500</v>
      </c>
    </row>
    <row r="114" spans="1:28" s="84" customFormat="1" x14ac:dyDescent="0.25">
      <c r="A114" s="4" t="s">
        <v>459</v>
      </c>
      <c r="B114" s="2" t="s">
        <v>437</v>
      </c>
      <c r="C114" s="2"/>
      <c r="D114" s="2"/>
      <c r="E114" s="2"/>
      <c r="F114" s="2"/>
      <c r="G114" s="2"/>
      <c r="H114" s="2"/>
      <c r="I114" s="2"/>
      <c r="J114" s="2"/>
      <c r="K114" s="2"/>
    </row>
    <row r="115" spans="1:28" s="84" customFormat="1" x14ac:dyDescent="0.25">
      <c r="A115" s="2"/>
      <c r="B115" s="2" t="s">
        <v>438</v>
      </c>
      <c r="C115" s="2"/>
      <c r="D115" s="2"/>
      <c r="E115" s="2"/>
      <c r="F115" s="2"/>
      <c r="G115" s="2"/>
      <c r="H115" s="2"/>
      <c r="I115" s="2"/>
      <c r="J115" s="2"/>
      <c r="K115" s="2"/>
    </row>
    <row r="116" spans="1:28" s="84" customFormat="1" x14ac:dyDescent="0.25">
      <c r="A116" s="2"/>
      <c r="B116" s="2"/>
      <c r="C116" s="2"/>
      <c r="D116" s="2"/>
      <c r="E116" s="2"/>
      <c r="F116" s="2"/>
      <c r="G116" s="2"/>
      <c r="H116" s="2"/>
      <c r="I116" s="2"/>
      <c r="J116" s="2"/>
      <c r="K116" s="2"/>
    </row>
    <row r="117" spans="1:28" s="84" customFormat="1" x14ac:dyDescent="0.25">
      <c r="A117" s="4" t="s">
        <v>353</v>
      </c>
      <c r="B117" s="2" t="s">
        <v>354</v>
      </c>
      <c r="C117" s="2"/>
      <c r="D117" s="2"/>
      <c r="E117" s="2"/>
      <c r="F117" s="2"/>
      <c r="G117" s="2"/>
      <c r="H117" s="2"/>
      <c r="I117" s="2"/>
      <c r="J117" s="2"/>
      <c r="K117" s="2"/>
    </row>
    <row r="118" spans="1:28" s="84" customFormat="1" x14ac:dyDescent="0.25">
      <c r="A118" s="4" t="s">
        <v>385</v>
      </c>
      <c r="B118" s="2" t="s">
        <v>317</v>
      </c>
      <c r="C118" s="2"/>
      <c r="D118" s="2"/>
      <c r="E118" s="2"/>
      <c r="F118" s="2"/>
      <c r="G118" s="2"/>
      <c r="H118" s="2"/>
      <c r="I118" s="2"/>
      <c r="J118" s="2"/>
      <c r="K118" s="2"/>
      <c r="P118" s="2"/>
      <c r="Q118" s="2"/>
      <c r="R118" s="4"/>
      <c r="S118" s="4"/>
      <c r="T118" s="4"/>
      <c r="U118" s="4"/>
      <c r="V118" s="4"/>
      <c r="W118" s="2"/>
      <c r="X118" s="4"/>
      <c r="Y118" s="4"/>
      <c r="Z118" s="4"/>
      <c r="AA118" s="4"/>
      <c r="AB118" s="338"/>
    </row>
    <row r="119" spans="1:28" s="84" customFormat="1" x14ac:dyDescent="0.25">
      <c r="A119" s="4"/>
      <c r="B119" s="2" t="s">
        <v>1035</v>
      </c>
      <c r="C119" s="2"/>
      <c r="D119" s="2"/>
      <c r="E119" s="2"/>
      <c r="F119" s="2"/>
      <c r="G119" s="2"/>
      <c r="H119" s="2"/>
      <c r="I119" s="2"/>
      <c r="J119" s="2"/>
      <c r="K119" s="2"/>
      <c r="P119" s="4"/>
      <c r="Q119" s="2"/>
      <c r="R119" s="4"/>
      <c r="S119" s="4"/>
      <c r="T119" s="4"/>
      <c r="U119" s="4"/>
      <c r="V119" s="4"/>
      <c r="W119" s="2"/>
      <c r="X119" s="4"/>
      <c r="Y119" s="4"/>
      <c r="Z119" s="4"/>
      <c r="AA119" s="4"/>
      <c r="AB119" s="338"/>
    </row>
    <row r="120" spans="1:28" s="84" customFormat="1" x14ac:dyDescent="0.25">
      <c r="A120" s="4"/>
      <c r="B120" s="2"/>
      <c r="C120" s="2"/>
      <c r="D120" s="2"/>
      <c r="E120" s="2"/>
      <c r="F120" s="2"/>
      <c r="G120" s="2"/>
      <c r="H120" s="2"/>
      <c r="I120" s="2"/>
      <c r="J120" s="2"/>
      <c r="K120" s="2"/>
      <c r="P120" s="4"/>
      <c r="Q120" s="2"/>
      <c r="R120" s="238"/>
      <c r="S120" s="4"/>
      <c r="T120" s="315"/>
      <c r="U120" s="4"/>
      <c r="V120" s="2"/>
      <c r="W120" s="2"/>
      <c r="X120" s="2"/>
      <c r="Y120" s="4"/>
      <c r="Z120" s="315"/>
      <c r="AA120" s="315"/>
      <c r="AB120" s="339"/>
    </row>
    <row r="121" spans="1:28" s="84" customFormat="1" x14ac:dyDescent="0.25">
      <c r="A121" s="4" t="s">
        <v>386</v>
      </c>
      <c r="B121" s="2" t="s">
        <v>366</v>
      </c>
      <c r="C121" s="2"/>
      <c r="D121" s="2"/>
      <c r="E121" s="2"/>
      <c r="F121" s="2"/>
      <c r="G121" s="2"/>
      <c r="H121" s="2"/>
      <c r="I121" s="2"/>
      <c r="J121" s="2"/>
      <c r="K121" s="2"/>
      <c r="P121" s="4"/>
      <c r="Q121" s="2"/>
      <c r="R121" s="238"/>
      <c r="S121" s="4"/>
      <c r="T121" s="315"/>
      <c r="U121" s="4"/>
      <c r="V121" s="2"/>
      <c r="W121" s="2"/>
      <c r="X121" s="2"/>
      <c r="Y121" s="4"/>
      <c r="Z121" s="315"/>
      <c r="AA121" s="315"/>
      <c r="AB121" s="339"/>
    </row>
    <row r="122" spans="1:28" s="84" customFormat="1" x14ac:dyDescent="0.25">
      <c r="A122" s="4"/>
      <c r="B122" s="2"/>
      <c r="C122" s="2"/>
      <c r="D122" s="2"/>
      <c r="E122" s="2"/>
      <c r="F122" s="2"/>
      <c r="G122" s="2"/>
      <c r="H122" s="2"/>
      <c r="I122" s="2"/>
      <c r="J122" s="2"/>
      <c r="K122" s="2"/>
      <c r="AA122" s="340"/>
      <c r="AB122" s="339"/>
    </row>
    <row r="123" spans="1:28" s="84" customFormat="1" x14ac:dyDescent="0.25">
      <c r="A123" s="4"/>
      <c r="B123" s="2" t="s">
        <v>367</v>
      </c>
      <c r="C123" s="2"/>
      <c r="D123" s="2" t="s">
        <v>237</v>
      </c>
      <c r="E123" s="2"/>
      <c r="F123" s="4" t="s">
        <v>387</v>
      </c>
      <c r="G123" s="2"/>
      <c r="H123" s="4" t="s">
        <v>13</v>
      </c>
      <c r="I123" s="4" t="s">
        <v>414</v>
      </c>
      <c r="J123" s="2"/>
      <c r="K123" s="2" t="s">
        <v>15</v>
      </c>
      <c r="N123" s="4" t="s">
        <v>368</v>
      </c>
      <c r="O123" s="4" t="s">
        <v>357</v>
      </c>
    </row>
    <row r="124" spans="1:28" s="84" customFormat="1" x14ac:dyDescent="0.25">
      <c r="A124" s="4"/>
      <c r="B124" s="2" t="s">
        <v>245</v>
      </c>
      <c r="C124" s="2"/>
      <c r="D124" s="2" t="s">
        <v>245</v>
      </c>
      <c r="E124" s="2"/>
      <c r="F124" s="238">
        <f>Listas!$J$3</f>
        <v>60</v>
      </c>
      <c r="G124" s="2"/>
      <c r="H124" s="238">
        <f>Listas!D18</f>
        <v>103</v>
      </c>
      <c r="I124" s="316">
        <f>H124/H127</f>
        <v>1</v>
      </c>
      <c r="J124" s="2"/>
      <c r="K124" s="2" t="s">
        <v>369</v>
      </c>
      <c r="N124" s="344" t="str">
        <f>Listas!$D$21</f>
        <v>ABRIL/25</v>
      </c>
      <c r="O124" s="84">
        <f>Listas!$D$23</f>
        <v>303.67500000000001</v>
      </c>
    </row>
    <row r="125" spans="1:28" s="84" customFormat="1" x14ac:dyDescent="0.25">
      <c r="A125" s="4"/>
      <c r="B125" s="2"/>
      <c r="C125" s="2"/>
      <c r="D125" s="2" t="s">
        <v>251</v>
      </c>
      <c r="E125" s="2"/>
      <c r="F125" s="238">
        <f>Listas!$J$4</f>
        <v>50</v>
      </c>
      <c r="G125" s="2"/>
      <c r="H125" s="238">
        <f>Listas!$L$4</f>
        <v>0</v>
      </c>
      <c r="I125" s="316">
        <f>H125/H127</f>
        <v>0</v>
      </c>
      <c r="J125" s="2"/>
      <c r="K125" s="2" t="s">
        <v>369</v>
      </c>
      <c r="N125" s="344" t="str">
        <f>Listas!$D$21</f>
        <v>ABRIL/25</v>
      </c>
      <c r="O125" s="84">
        <f>Listas!$D$23</f>
        <v>303.67500000000001</v>
      </c>
    </row>
    <row r="126" spans="1:28" s="84" customFormat="1" x14ac:dyDescent="0.25">
      <c r="A126" s="4"/>
      <c r="B126" s="2"/>
      <c r="C126" s="2"/>
      <c r="D126" s="2" t="s">
        <v>254</v>
      </c>
      <c r="E126" s="2"/>
      <c r="F126" s="238">
        <f>Listas!$J$5</f>
        <v>40</v>
      </c>
      <c r="G126" s="2"/>
      <c r="H126" s="238">
        <f>Listas!$L$5</f>
        <v>0</v>
      </c>
      <c r="I126" s="316">
        <f>H126/H127</f>
        <v>0</v>
      </c>
      <c r="J126" s="2"/>
      <c r="K126" s="2" t="s">
        <v>370</v>
      </c>
      <c r="N126" s="337" t="s">
        <v>259</v>
      </c>
      <c r="O126" s="345">
        <f>O125/O124-1</f>
        <v>0</v>
      </c>
    </row>
    <row r="127" spans="1:28" s="84" customFormat="1" x14ac:dyDescent="0.25">
      <c r="A127" s="4"/>
      <c r="B127" s="2"/>
      <c r="C127" s="2"/>
      <c r="D127" s="2"/>
      <c r="E127" s="2"/>
      <c r="F127" s="2"/>
      <c r="G127" s="340" t="s">
        <v>329</v>
      </c>
      <c r="H127" s="238">
        <f>SUM(H124:H126)</f>
        <v>103</v>
      </c>
      <c r="I127" s="316">
        <f>SUM(I124:I126)</f>
        <v>1</v>
      </c>
      <c r="J127" s="2"/>
      <c r="K127" s="2" t="s">
        <v>867</v>
      </c>
      <c r="N127" s="346">
        <v>45839</v>
      </c>
      <c r="O127" s="347">
        <v>36.9</v>
      </c>
    </row>
    <row r="128" spans="1:28" s="84" customFormat="1" x14ac:dyDescent="0.25">
      <c r="A128" s="4"/>
      <c r="B128" s="2"/>
      <c r="C128" s="2"/>
      <c r="D128" s="2"/>
      <c r="E128" s="2"/>
      <c r="F128" s="2"/>
      <c r="G128" s="2"/>
      <c r="H128" s="2"/>
      <c r="I128" s="2"/>
      <c r="J128" s="2"/>
      <c r="K128" s="2" t="s">
        <v>868</v>
      </c>
      <c r="N128" s="346">
        <v>45839</v>
      </c>
      <c r="O128" s="347">
        <f>Listas!$D$26</f>
        <v>0</v>
      </c>
    </row>
    <row r="129" spans="1:28" s="84" customFormat="1" x14ac:dyDescent="0.25">
      <c r="A129" s="4"/>
      <c r="B129" s="2"/>
      <c r="C129" s="2"/>
      <c r="D129" s="2"/>
      <c r="E129" s="2"/>
      <c r="F129" s="4"/>
      <c r="G129" s="2"/>
      <c r="H129" s="4"/>
      <c r="I129" s="4"/>
      <c r="J129" s="2"/>
      <c r="K129" s="2" t="s">
        <v>869</v>
      </c>
      <c r="N129" s="344" t="s">
        <v>1155</v>
      </c>
      <c r="O129" s="315">
        <f>ROUND(O127*(1+O126), 2)</f>
        <v>36.9</v>
      </c>
    </row>
    <row r="130" spans="1:28" s="84" customFormat="1" x14ac:dyDescent="0.25">
      <c r="A130" s="4"/>
      <c r="B130" s="2"/>
      <c r="C130" s="2"/>
      <c r="D130" s="2"/>
      <c r="E130" s="2"/>
      <c r="F130" s="238"/>
      <c r="G130" s="2"/>
      <c r="H130" s="238"/>
      <c r="I130" s="316"/>
      <c r="J130" s="2"/>
      <c r="K130" s="2" t="s">
        <v>870</v>
      </c>
      <c r="N130" s="344" t="s">
        <v>1155</v>
      </c>
      <c r="O130" s="315">
        <f>ROUND(O128*(1+O126), 2)</f>
        <v>0</v>
      </c>
    </row>
    <row r="131" spans="1:28" s="84" customFormat="1" x14ac:dyDescent="0.25">
      <c r="A131" s="4"/>
      <c r="B131" s="2"/>
      <c r="C131" s="2"/>
      <c r="D131" s="2"/>
      <c r="E131" s="2"/>
      <c r="F131" s="2"/>
      <c r="G131" s="2"/>
      <c r="H131" s="238"/>
      <c r="I131" s="316"/>
      <c r="J131" s="2"/>
      <c r="K131" s="2"/>
      <c r="N131" s="344"/>
      <c r="O131" s="315"/>
    </row>
    <row r="132" spans="1:28" s="84" customFormat="1" x14ac:dyDescent="0.25">
      <c r="A132" s="4"/>
      <c r="B132" s="2"/>
      <c r="C132" s="2"/>
      <c r="D132" s="2"/>
      <c r="E132" s="2"/>
      <c r="F132" s="2"/>
      <c r="G132" s="2"/>
      <c r="H132" s="2"/>
      <c r="I132" s="2"/>
      <c r="J132" s="2"/>
      <c r="K132" s="2"/>
    </row>
    <row r="133" spans="1:28" s="84" customFormat="1" x14ac:dyDescent="0.25">
      <c r="A133" s="4"/>
      <c r="B133" s="2" t="s">
        <v>360</v>
      </c>
      <c r="C133" s="2" t="s">
        <v>15</v>
      </c>
      <c r="D133" s="2"/>
      <c r="E133" s="2"/>
      <c r="F133" s="4" t="s">
        <v>202</v>
      </c>
      <c r="G133" s="2"/>
      <c r="H133" s="4" t="s">
        <v>401</v>
      </c>
      <c r="I133" s="2"/>
      <c r="J133" s="4" t="s">
        <v>402</v>
      </c>
      <c r="K133" s="2"/>
      <c r="L133" s="4" t="s">
        <v>371</v>
      </c>
      <c r="M133" s="2"/>
      <c r="N133" s="4" t="s">
        <v>372</v>
      </c>
      <c r="O133" s="4" t="s">
        <v>373</v>
      </c>
      <c r="P133" s="84" t="s">
        <v>236</v>
      </c>
      <c r="R133" s="84" t="s">
        <v>183</v>
      </c>
      <c r="T133" s="84" t="s">
        <v>374</v>
      </c>
      <c r="V133" s="84" t="s">
        <v>375</v>
      </c>
      <c r="X133" s="84" t="s">
        <v>376</v>
      </c>
      <c r="Z133" s="84" t="s">
        <v>377</v>
      </c>
      <c r="AA133" s="84" t="s">
        <v>388</v>
      </c>
      <c r="AB133" s="84" t="s">
        <v>362</v>
      </c>
    </row>
    <row r="134" spans="1:28" x14ac:dyDescent="0.25">
      <c r="A134" s="4"/>
      <c r="F134" s="4" t="s">
        <v>363</v>
      </c>
      <c r="H134" s="4" t="s">
        <v>330</v>
      </c>
      <c r="J134" s="4" t="s">
        <v>331</v>
      </c>
      <c r="L134" s="4" t="s">
        <v>403</v>
      </c>
      <c r="N134" s="4" t="s">
        <v>372</v>
      </c>
      <c r="O134" s="4" t="s">
        <v>333</v>
      </c>
      <c r="R134" s="2" t="s">
        <v>378</v>
      </c>
      <c r="T134" s="2" t="s">
        <v>407</v>
      </c>
      <c r="V134" s="2" t="s">
        <v>389</v>
      </c>
      <c r="X134" s="2" t="s">
        <v>413</v>
      </c>
      <c r="Z134" s="2" t="s">
        <v>410</v>
      </c>
      <c r="AA134" s="2" t="s">
        <v>411</v>
      </c>
      <c r="AB134" s="2" t="s">
        <v>412</v>
      </c>
    </row>
    <row r="135" spans="1:28" x14ac:dyDescent="0.25">
      <c r="A135" s="4"/>
      <c r="B135" s="43" t="str">
        <f>B86</f>
        <v>E8889</v>
      </c>
      <c r="C135" s="2" t="str">
        <f ca="1">IFERROR(VLOOKUP(B135,Veiculo_Equip_Matriz,2,0),"")</f>
        <v>Veículo leve - 53 kW (sem motorista)</v>
      </c>
      <c r="F135" s="2">
        <f>G86</f>
        <v>1</v>
      </c>
      <c r="H135" s="238">
        <f>$H$127</f>
        <v>103</v>
      </c>
      <c r="J135" s="2">
        <v>60</v>
      </c>
      <c r="L135" s="2">
        <f>H135/J135</f>
        <v>1.7166666666666666</v>
      </c>
      <c r="N135" s="84">
        <v>2</v>
      </c>
      <c r="O135" s="84">
        <v>1</v>
      </c>
      <c r="P135" s="2" t="str">
        <f>B86</f>
        <v>E8889</v>
      </c>
      <c r="R135" s="238">
        <f ca="1">IFERROR(VLOOKUP(P135,Veiculo_Equip_Matriz,4,0),"")</f>
        <v>36.69</v>
      </c>
      <c r="S135" s="4"/>
      <c r="T135" s="315">
        <f ca="1">F135*L135*N135*O135*R135</f>
        <v>125.96899999999998</v>
      </c>
      <c r="U135" s="4"/>
      <c r="V135" s="2">
        <f>((INT(L135/4))*30)/60</f>
        <v>0</v>
      </c>
      <c r="X135" s="2">
        <f>L135+V135</f>
        <v>1.7166666666666666</v>
      </c>
      <c r="Y135" s="4"/>
      <c r="Z135" s="315">
        <v>0</v>
      </c>
      <c r="AA135" s="315">
        <f>O129*N135</f>
        <v>73.8</v>
      </c>
      <c r="AB135" s="339">
        <f ca="1">TRUNC(T135+Z135+AA135,2)</f>
        <v>199.76</v>
      </c>
    </row>
    <row r="136" spans="1:28" x14ac:dyDescent="0.25">
      <c r="A136" s="4"/>
      <c r="L136" s="84"/>
      <c r="M136" s="84"/>
      <c r="N136" s="84"/>
      <c r="O136" s="84"/>
      <c r="R136" s="84"/>
      <c r="S136" s="84"/>
      <c r="T136" s="84"/>
      <c r="U136" s="84"/>
      <c r="V136" s="84"/>
      <c r="W136" s="84"/>
      <c r="X136" s="84"/>
      <c r="Y136" s="84"/>
      <c r="Z136" s="84"/>
      <c r="AA136" s="340" t="s">
        <v>329</v>
      </c>
      <c r="AB136" s="339">
        <f ca="1">AB135</f>
        <v>199.76</v>
      </c>
    </row>
    <row r="137" spans="1:28" x14ac:dyDescent="0.25">
      <c r="A137" s="4" t="s">
        <v>355</v>
      </c>
      <c r="B137" s="2" t="s">
        <v>356</v>
      </c>
      <c r="L137" s="84"/>
      <c r="M137" s="84"/>
      <c r="N137" s="84"/>
      <c r="O137" s="84"/>
    </row>
    <row r="138" spans="1:28" x14ac:dyDescent="0.25">
      <c r="B138" s="2" t="s">
        <v>15</v>
      </c>
      <c r="F138" s="2" t="s">
        <v>357</v>
      </c>
      <c r="L138" s="84"/>
      <c r="M138" s="84"/>
      <c r="N138" s="84"/>
      <c r="O138" s="84"/>
    </row>
    <row r="139" spans="1:28" x14ac:dyDescent="0.25">
      <c r="B139" s="2" t="s">
        <v>317</v>
      </c>
      <c r="F139" s="315">
        <f ca="1">V82</f>
        <v>3083.52</v>
      </c>
      <c r="L139" s="84"/>
      <c r="M139" s="84"/>
      <c r="N139" s="84"/>
      <c r="O139" s="84"/>
    </row>
    <row r="140" spans="1:28" x14ac:dyDescent="0.25">
      <c r="B140" s="2" t="s">
        <v>276</v>
      </c>
      <c r="F140" s="315">
        <f ca="1">M87</f>
        <v>212.45</v>
      </c>
      <c r="L140" s="84"/>
      <c r="M140" s="84"/>
      <c r="N140" s="84"/>
      <c r="O140" s="84"/>
    </row>
    <row r="141" spans="1:28" x14ac:dyDescent="0.25">
      <c r="B141" s="2" t="s">
        <v>342</v>
      </c>
      <c r="F141" s="315">
        <v>0</v>
      </c>
      <c r="L141" s="84"/>
      <c r="M141" s="84"/>
      <c r="N141" s="84"/>
      <c r="O141" s="84"/>
    </row>
    <row r="142" spans="1:28" x14ac:dyDescent="0.25">
      <c r="B142" s="2" t="s">
        <v>343</v>
      </c>
      <c r="F142" s="315">
        <v>0</v>
      </c>
      <c r="L142" s="84"/>
      <c r="M142" s="84"/>
      <c r="N142" s="84"/>
      <c r="O142" s="84"/>
      <c r="P142" s="4"/>
    </row>
    <row r="143" spans="1:28" x14ac:dyDescent="0.25">
      <c r="B143" s="2" t="s">
        <v>345</v>
      </c>
      <c r="F143" s="315">
        <f>K113</f>
        <v>500</v>
      </c>
      <c r="L143" s="84"/>
      <c r="M143" s="84"/>
      <c r="N143" s="84"/>
      <c r="O143" s="84"/>
      <c r="P143" s="4"/>
    </row>
    <row r="144" spans="1:28" x14ac:dyDescent="0.25">
      <c r="B144" s="2" t="s">
        <v>516</v>
      </c>
      <c r="F144" s="315">
        <f ca="1">AB136</f>
        <v>199.76</v>
      </c>
      <c r="L144" s="84"/>
      <c r="M144" s="84"/>
      <c r="N144" s="84"/>
      <c r="O144" s="84"/>
    </row>
    <row r="145" spans="1:22" x14ac:dyDescent="0.25">
      <c r="E145" s="340" t="s">
        <v>329</v>
      </c>
      <c r="F145" s="339">
        <f ca="1">SUM(F139:F144)</f>
        <v>3995.7299999999996</v>
      </c>
      <c r="L145" s="84"/>
      <c r="M145" s="84"/>
      <c r="N145" s="84"/>
      <c r="O145" s="84"/>
    </row>
    <row r="146" spans="1:22" x14ac:dyDescent="0.25">
      <c r="L146" s="84"/>
      <c r="M146" s="84"/>
      <c r="N146" s="84"/>
      <c r="O146" s="84"/>
    </row>
    <row r="147" spans="1:22" x14ac:dyDescent="0.25">
      <c r="A147" s="341" t="s">
        <v>440</v>
      </c>
      <c r="B147" s="341" t="s">
        <v>734</v>
      </c>
      <c r="C147" s="341"/>
      <c r="D147" s="341"/>
      <c r="E147" s="341"/>
      <c r="F147" s="341"/>
      <c r="G147" s="341"/>
      <c r="H147" s="341"/>
      <c r="I147" s="341"/>
      <c r="J147" s="84"/>
      <c r="K147" s="84"/>
      <c r="L147" s="84"/>
      <c r="M147" s="84"/>
      <c r="N147" s="84"/>
      <c r="O147" s="84"/>
    </row>
    <row r="148" spans="1:22" x14ac:dyDescent="0.25">
      <c r="A148" s="4" t="s">
        <v>61</v>
      </c>
      <c r="B148" s="2" t="s">
        <v>338</v>
      </c>
    </row>
    <row r="149" spans="1:22" x14ac:dyDescent="0.25">
      <c r="B149" s="2" t="s">
        <v>15</v>
      </c>
      <c r="G149" s="2" t="s">
        <v>325</v>
      </c>
      <c r="L149" s="2" t="s">
        <v>381</v>
      </c>
    </row>
    <row r="150" spans="1:22" x14ac:dyDescent="0.25">
      <c r="B150" s="2" t="s">
        <v>441</v>
      </c>
      <c r="G150" s="238">
        <f>G151+G152</f>
        <v>3</v>
      </c>
      <c r="L150" s="2">
        <f>ROUNDUP(G150*Listas!$E$5,0)</f>
        <v>4</v>
      </c>
    </row>
    <row r="151" spans="1:22" x14ac:dyDescent="0.25">
      <c r="B151" s="2" t="s">
        <v>866</v>
      </c>
      <c r="G151" s="238">
        <f>D69</f>
        <v>1</v>
      </c>
      <c r="H151" s="4"/>
      <c r="I151" s="238"/>
      <c r="L151" s="238">
        <f>G151</f>
        <v>1</v>
      </c>
      <c r="M151" s="4"/>
      <c r="N151" s="238"/>
    </row>
    <row r="152" spans="1:22" x14ac:dyDescent="0.25">
      <c r="B152" s="2" t="s">
        <v>382</v>
      </c>
      <c r="G152" s="238">
        <v>2</v>
      </c>
      <c r="H152" s="4" t="s">
        <v>201</v>
      </c>
      <c r="I152" s="238">
        <f>$G$152/3</f>
        <v>0.66666666666666663</v>
      </c>
      <c r="J152" s="2" t="s">
        <v>443</v>
      </c>
      <c r="L152" s="348">
        <f>L150-L151</f>
        <v>3</v>
      </c>
      <c r="M152" s="4" t="s">
        <v>201</v>
      </c>
      <c r="N152" s="238">
        <f>ROUNDUP($L$152/3,0)</f>
        <v>1</v>
      </c>
      <c r="O152" s="2" t="s">
        <v>358</v>
      </c>
      <c r="Q152" s="4"/>
      <c r="R152" s="4"/>
      <c r="S152" s="4"/>
      <c r="T152" s="4"/>
      <c r="U152" s="4"/>
      <c r="V152" s="4"/>
    </row>
    <row r="153" spans="1:22" x14ac:dyDescent="0.25">
      <c r="I153" s="238">
        <f>$G$152/3</f>
        <v>0.66666666666666663</v>
      </c>
      <c r="J153" s="2" t="s">
        <v>444</v>
      </c>
      <c r="N153" s="238">
        <f t="shared" ref="N153:N154" si="1">ROUNDUP($L$152/3,0)</f>
        <v>1</v>
      </c>
      <c r="O153" s="2" t="s">
        <v>445</v>
      </c>
      <c r="Q153" s="4"/>
      <c r="R153" s="4"/>
      <c r="S153" s="4"/>
      <c r="T153" s="4"/>
      <c r="U153" s="4"/>
      <c r="V153" s="4"/>
    </row>
    <row r="154" spans="1:22" x14ac:dyDescent="0.25">
      <c r="G154" s="238"/>
      <c r="I154" s="238">
        <f>G152-I152-I153</f>
        <v>0.66666666666666685</v>
      </c>
      <c r="J154" s="2" t="s">
        <v>446</v>
      </c>
      <c r="L154" s="238"/>
      <c r="N154" s="238">
        <f t="shared" si="1"/>
        <v>1</v>
      </c>
      <c r="O154" s="2" t="s">
        <v>447</v>
      </c>
      <c r="U154" s="315"/>
      <c r="V154" s="315"/>
    </row>
    <row r="155" spans="1:22" x14ac:dyDescent="0.25">
      <c r="G155" s="238"/>
      <c r="I155" s="238"/>
      <c r="L155" s="238"/>
      <c r="N155" s="238">
        <f>SUM(N152:N154)</f>
        <v>3</v>
      </c>
      <c r="U155" s="315"/>
      <c r="V155" s="315"/>
    </row>
    <row r="156" spans="1:22" x14ac:dyDescent="0.25">
      <c r="U156" s="340"/>
      <c r="V156" s="339"/>
    </row>
    <row r="157" spans="1:22" x14ac:dyDescent="0.25">
      <c r="B157" s="4" t="s">
        <v>360</v>
      </c>
      <c r="C157" s="2" t="s">
        <v>15</v>
      </c>
      <c r="F157" s="4" t="s">
        <v>321</v>
      </c>
      <c r="G157" s="4"/>
      <c r="H157" s="4" t="s">
        <v>322</v>
      </c>
      <c r="I157" s="4"/>
      <c r="J157" s="4" t="s">
        <v>323</v>
      </c>
      <c r="K157" s="4"/>
      <c r="L157" s="4" t="s">
        <v>324</v>
      </c>
      <c r="M157" s="4"/>
      <c r="O157" s="4" t="s">
        <v>325</v>
      </c>
      <c r="Q157" s="4" t="s">
        <v>326</v>
      </c>
      <c r="R157" s="4"/>
      <c r="S157" s="4" t="s">
        <v>327</v>
      </c>
      <c r="T157" s="4"/>
      <c r="U157" s="4" t="s">
        <v>328</v>
      </c>
      <c r="V157" s="4" t="s">
        <v>329</v>
      </c>
    </row>
    <row r="158" spans="1:22" x14ac:dyDescent="0.25">
      <c r="F158" s="4"/>
      <c r="G158" s="4"/>
      <c r="H158" s="4" t="s">
        <v>330</v>
      </c>
      <c r="I158" s="4"/>
      <c r="J158" s="4" t="s">
        <v>331</v>
      </c>
      <c r="K158" s="4"/>
      <c r="L158" s="4" t="s">
        <v>332</v>
      </c>
      <c r="M158" s="4"/>
      <c r="O158" s="4" t="s">
        <v>333</v>
      </c>
      <c r="Q158" s="4" t="s">
        <v>334</v>
      </c>
      <c r="R158" s="4"/>
      <c r="S158" s="4" t="s">
        <v>335</v>
      </c>
      <c r="T158" s="4"/>
      <c r="U158" s="4" t="s">
        <v>336</v>
      </c>
      <c r="V158" s="4" t="s">
        <v>337</v>
      </c>
    </row>
    <row r="159" spans="1:22" x14ac:dyDescent="0.25">
      <c r="B159" s="4" t="s">
        <v>98</v>
      </c>
      <c r="C159" s="2" t="str">
        <f ca="1">IFERROR(VLOOKUP(B159,MO_Matriz,2,0),"")</f>
        <v>Engenheiro ambiental pleno</v>
      </c>
      <c r="F159" s="4" t="str">
        <f ca="1">IFERROR(VLOOKUP(B159,MO_Matriz,3,0),"")</f>
        <v>S</v>
      </c>
      <c r="H159" s="2">
        <v>1</v>
      </c>
      <c r="J159" s="2">
        <v>1</v>
      </c>
      <c r="L159" s="2">
        <f>Listas!$B$6</f>
        <v>7.333333333333333</v>
      </c>
      <c r="O159" s="238">
        <f>$G$152</f>
        <v>2</v>
      </c>
      <c r="Q159" s="2">
        <f>H159*J159*L159*O159</f>
        <v>14.666666666666666</v>
      </c>
      <c r="S159" s="2">
        <f>Q159/220</f>
        <v>6.6666666666666666E-2</v>
      </c>
      <c r="U159" s="315">
        <f ca="1">IFERROR(VLOOKUP(B159,MO_Matriz,5,0),"")</f>
        <v>26558.86</v>
      </c>
      <c r="V159" s="315">
        <f ca="1">TRUNC(S159*U159,2)</f>
        <v>1770.59</v>
      </c>
    </row>
    <row r="160" spans="1:22" x14ac:dyDescent="0.25">
      <c r="B160" s="4" t="s">
        <v>167</v>
      </c>
      <c r="C160" s="2" t="str">
        <f ca="1">IFERROR(VLOOKUP(B160,MO_Matriz,2,0),"")</f>
        <v>Técnico ambiental</v>
      </c>
      <c r="F160" s="4" t="str">
        <f ca="1">IFERROR(VLOOKUP(B160,MO_Matriz,3,0),"")</f>
        <v>T</v>
      </c>
      <c r="H160" s="2">
        <v>1</v>
      </c>
      <c r="J160" s="2">
        <v>1</v>
      </c>
      <c r="L160" s="2">
        <f>Listas!$B$6</f>
        <v>7.333333333333333</v>
      </c>
      <c r="O160" s="238">
        <f>$G$152</f>
        <v>2</v>
      </c>
      <c r="Q160" s="2">
        <f>H160*J160*L160*O160</f>
        <v>14.666666666666666</v>
      </c>
      <c r="S160" s="2">
        <f>Q160/220</f>
        <v>6.6666666666666666E-2</v>
      </c>
      <c r="U160" s="315">
        <f ca="1">IFERROR(VLOOKUP(B160,MO_Matriz,5,0),"")</f>
        <v>6565.04</v>
      </c>
      <c r="V160" s="315">
        <f ca="1">TRUNC(S160*U160,2)</f>
        <v>437.66</v>
      </c>
    </row>
    <row r="161" spans="1:22" x14ac:dyDescent="0.25">
      <c r="U161" s="340" t="s">
        <v>329</v>
      </c>
      <c r="V161" s="339">
        <f ca="1">SUM(V159:V160)</f>
        <v>2208.25</v>
      </c>
    </row>
    <row r="162" spans="1:22" x14ac:dyDescent="0.25">
      <c r="A162" s="337" t="s">
        <v>339</v>
      </c>
      <c r="B162" s="2" t="s">
        <v>340</v>
      </c>
    </row>
    <row r="163" spans="1:22" x14ac:dyDescent="0.25">
      <c r="B163" s="2" t="s">
        <v>341</v>
      </c>
    </row>
    <row r="165" spans="1:22" x14ac:dyDescent="0.25">
      <c r="A165" s="4" t="s">
        <v>348</v>
      </c>
      <c r="B165" s="2" t="s">
        <v>349</v>
      </c>
    </row>
    <row r="166" spans="1:22" x14ac:dyDescent="0.25">
      <c r="A166" s="4" t="s">
        <v>451</v>
      </c>
      <c r="B166" s="2" t="s">
        <v>452</v>
      </c>
    </row>
    <row r="167" spans="1:22" x14ac:dyDescent="0.25">
      <c r="B167" s="4" t="s">
        <v>360</v>
      </c>
      <c r="C167" s="2" t="s">
        <v>15</v>
      </c>
      <c r="F167" s="4" t="s">
        <v>321</v>
      </c>
      <c r="G167" s="4"/>
      <c r="H167" s="4" t="s">
        <v>453</v>
      </c>
      <c r="I167" s="4"/>
      <c r="J167" s="4" t="s">
        <v>454</v>
      </c>
    </row>
    <row r="168" spans="1:22" x14ac:dyDescent="0.25">
      <c r="B168" s="4" t="str">
        <f>B159</f>
        <v>P8058</v>
      </c>
      <c r="C168" s="2" t="str">
        <f ca="1">IFERROR(VLOOKUP(B168,MO_Matriz,2,0),"")</f>
        <v>Engenheiro ambiental pleno</v>
      </c>
      <c r="F168" s="4" t="str">
        <f ca="1">IFERROR(VLOOKUP(B168,MO_Matriz,3,0),"")</f>
        <v>S</v>
      </c>
      <c r="H168" s="4" t="s">
        <v>455</v>
      </c>
      <c r="J168" s="2">
        <v>1</v>
      </c>
    </row>
    <row r="169" spans="1:22" x14ac:dyDescent="0.25">
      <c r="B169" s="4" t="str">
        <f>B160</f>
        <v>P8143</v>
      </c>
      <c r="C169" s="2" t="str">
        <f ca="1">IFERROR(VLOOKUP(B169,MO_Matriz,2,0),"")</f>
        <v>Técnico ambiental</v>
      </c>
      <c r="F169" s="4" t="str">
        <f ca="1">IFERROR(VLOOKUP(B169,MO_Matriz,3,0),"")</f>
        <v>T</v>
      </c>
      <c r="H169" s="4" t="s">
        <v>455</v>
      </c>
      <c r="J169" s="2">
        <v>1</v>
      </c>
    </row>
    <row r="170" spans="1:22" x14ac:dyDescent="0.25">
      <c r="I170" s="340" t="s">
        <v>329</v>
      </c>
      <c r="J170" s="340">
        <f>SUM(J168:J169)</f>
        <v>2</v>
      </c>
    </row>
    <row r="172" spans="1:22" x14ac:dyDescent="0.25">
      <c r="A172" s="4" t="s">
        <v>456</v>
      </c>
      <c r="B172" s="2" t="s">
        <v>457</v>
      </c>
    </row>
    <row r="173" spans="1:22" x14ac:dyDescent="0.25">
      <c r="A173" s="4"/>
      <c r="B173" s="2" t="s">
        <v>1033</v>
      </c>
    </row>
    <row r="175" spans="1:22" x14ac:dyDescent="0.25">
      <c r="A175" s="4" t="s">
        <v>350</v>
      </c>
      <c r="B175" s="2" t="s">
        <v>351</v>
      </c>
    </row>
    <row r="176" spans="1:22" x14ac:dyDescent="0.25">
      <c r="B176" s="2" t="s">
        <v>344</v>
      </c>
      <c r="J176" s="315"/>
    </row>
    <row r="178" spans="1:15" x14ac:dyDescent="0.25">
      <c r="A178" s="4" t="s">
        <v>197</v>
      </c>
      <c r="B178" s="2" t="s">
        <v>352</v>
      </c>
    </row>
    <row r="179" spans="1:15" s="28" customFormat="1" ht="17.25" x14ac:dyDescent="0.25">
      <c r="A179" s="2"/>
      <c r="B179" s="2" t="s">
        <v>346</v>
      </c>
      <c r="C179" s="2"/>
      <c r="D179" s="2"/>
      <c r="E179" s="2"/>
      <c r="F179" s="2"/>
      <c r="G179" s="2"/>
      <c r="H179" s="2"/>
      <c r="I179" s="2"/>
      <c r="J179" s="2"/>
      <c r="K179" s="2"/>
      <c r="L179" s="2"/>
      <c r="M179" s="2"/>
      <c r="N179" s="2"/>
      <c r="O179" s="2"/>
    </row>
    <row r="181" spans="1:15" x14ac:dyDescent="0.25">
      <c r="A181" s="4" t="s">
        <v>353</v>
      </c>
      <c r="B181" s="2" t="s">
        <v>354</v>
      </c>
    </row>
    <row r="182" spans="1:15" x14ac:dyDescent="0.25">
      <c r="B182" s="2" t="s">
        <v>347</v>
      </c>
    </row>
    <row r="184" spans="1:15" x14ac:dyDescent="0.25">
      <c r="A184" s="4" t="s">
        <v>355</v>
      </c>
      <c r="B184" s="2" t="s">
        <v>356</v>
      </c>
    </row>
    <row r="185" spans="1:15" x14ac:dyDescent="0.25">
      <c r="B185" s="2" t="s">
        <v>15</v>
      </c>
      <c r="F185" s="2" t="s">
        <v>357</v>
      </c>
    </row>
    <row r="186" spans="1:15" x14ac:dyDescent="0.25">
      <c r="B186" s="2" t="s">
        <v>317</v>
      </c>
      <c r="F186" s="315">
        <f ca="1">V161</f>
        <v>2208.25</v>
      </c>
    </row>
    <row r="187" spans="1:15" x14ac:dyDescent="0.25">
      <c r="B187" s="2" t="s">
        <v>276</v>
      </c>
      <c r="F187" s="315">
        <v>0</v>
      </c>
    </row>
    <row r="188" spans="1:15" x14ac:dyDescent="0.25">
      <c r="B188" s="2" t="s">
        <v>342</v>
      </c>
      <c r="F188" s="315">
        <v>0</v>
      </c>
      <c r="I188" s="2" t="s">
        <v>448</v>
      </c>
      <c r="J188" s="4" t="s">
        <v>406</v>
      </c>
      <c r="K188" s="4" t="s">
        <v>414</v>
      </c>
    </row>
    <row r="189" spans="1:15" x14ac:dyDescent="0.25">
      <c r="B189" s="2" t="s">
        <v>343</v>
      </c>
      <c r="F189" s="315">
        <v>0</v>
      </c>
      <c r="I189" s="2" t="s">
        <v>449</v>
      </c>
      <c r="J189" s="315">
        <f ca="1">J192*K189</f>
        <v>3446.6555555555547</v>
      </c>
      <c r="K189" s="349">
        <f>(G151+I152)/$G$150</f>
        <v>0.55555555555555547</v>
      </c>
    </row>
    <row r="190" spans="1:15" x14ac:dyDescent="0.25">
      <c r="B190" s="2" t="s">
        <v>345</v>
      </c>
      <c r="F190" s="315">
        <v>0</v>
      </c>
      <c r="I190" s="2" t="s">
        <v>445</v>
      </c>
      <c r="J190" s="315">
        <f ca="1">J192*K190</f>
        <v>1378.662222222222</v>
      </c>
      <c r="K190" s="349">
        <f>I153/$G$150</f>
        <v>0.22222222222222221</v>
      </c>
    </row>
    <row r="191" spans="1:15" x14ac:dyDescent="0.25">
      <c r="B191" s="2" t="s">
        <v>516</v>
      </c>
      <c r="F191" s="315">
        <v>0</v>
      </c>
      <c r="I191" s="2" t="s">
        <v>447</v>
      </c>
      <c r="J191" s="315">
        <f ca="1">J192-J189-J190</f>
        <v>1378.6622222222229</v>
      </c>
      <c r="K191" s="349">
        <f>K192-K189-K190</f>
        <v>0.22222222222222232</v>
      </c>
    </row>
    <row r="192" spans="1:15" x14ac:dyDescent="0.25">
      <c r="E192" s="340" t="s">
        <v>329</v>
      </c>
      <c r="F192" s="339">
        <f ca="1">SUM(F186:F191)</f>
        <v>2208.25</v>
      </c>
      <c r="I192" s="2" t="s">
        <v>329</v>
      </c>
      <c r="J192" s="315">
        <f ca="1">F145+F192</f>
        <v>6203.98</v>
      </c>
      <c r="K192" s="349">
        <v>1</v>
      </c>
    </row>
    <row r="194" spans="1:23" ht="17.25" x14ac:dyDescent="0.25">
      <c r="A194" s="336" t="s">
        <v>483</v>
      </c>
      <c r="B194" s="336" t="s">
        <v>209</v>
      </c>
      <c r="C194" s="336"/>
      <c r="D194" s="336"/>
      <c r="F194" s="28"/>
      <c r="G194" s="28"/>
      <c r="H194" s="28"/>
      <c r="I194" s="28"/>
      <c r="J194" s="28"/>
      <c r="K194" s="28"/>
      <c r="L194" s="28"/>
      <c r="M194" s="28"/>
      <c r="N194" s="28"/>
      <c r="O194" s="28"/>
    </row>
    <row r="195" spans="1:23" x14ac:dyDescent="0.25">
      <c r="A195" s="4" t="s">
        <v>61</v>
      </c>
      <c r="B195" s="2" t="s">
        <v>338</v>
      </c>
    </row>
    <row r="196" spans="1:23" x14ac:dyDescent="0.25">
      <c r="B196" s="2" t="s">
        <v>15</v>
      </c>
      <c r="F196" s="4" t="s">
        <v>325</v>
      </c>
      <c r="H196" s="4" t="s">
        <v>381</v>
      </c>
    </row>
    <row r="197" spans="1:23" x14ac:dyDescent="0.25">
      <c r="B197" s="2" t="s">
        <v>420</v>
      </c>
      <c r="F197" s="238">
        <v>1</v>
      </c>
      <c r="H197" s="2">
        <f>ROUNDUP(F197*Listas!$E$5,0)</f>
        <v>2</v>
      </c>
    </row>
    <row r="199" spans="1:23" x14ac:dyDescent="0.25">
      <c r="B199" s="4" t="s">
        <v>360</v>
      </c>
      <c r="C199" s="2" t="s">
        <v>15</v>
      </c>
      <c r="F199" s="4" t="s">
        <v>321</v>
      </c>
      <c r="G199" s="4"/>
      <c r="H199" s="4" t="s">
        <v>322</v>
      </c>
      <c r="I199" s="4"/>
      <c r="J199" s="4" t="s">
        <v>323</v>
      </c>
      <c r="K199" s="4"/>
      <c r="M199" s="4" t="s">
        <v>324</v>
      </c>
      <c r="N199" s="4"/>
      <c r="P199" s="4" t="s">
        <v>325</v>
      </c>
      <c r="Q199" s="4"/>
      <c r="R199" s="4" t="s">
        <v>326</v>
      </c>
      <c r="S199" s="4"/>
      <c r="T199" s="4" t="s">
        <v>327</v>
      </c>
      <c r="U199" s="4"/>
      <c r="V199" s="4" t="s">
        <v>328</v>
      </c>
      <c r="W199" s="4" t="s">
        <v>329</v>
      </c>
    </row>
    <row r="200" spans="1:23" x14ac:dyDescent="0.25">
      <c r="F200" s="4"/>
      <c r="G200" s="4"/>
      <c r="H200" s="4" t="s">
        <v>330</v>
      </c>
      <c r="I200" s="4"/>
      <c r="J200" s="4" t="s">
        <v>331</v>
      </c>
      <c r="K200" s="4"/>
      <c r="M200" s="4" t="s">
        <v>332</v>
      </c>
      <c r="N200" s="4"/>
      <c r="P200" s="4" t="s">
        <v>333</v>
      </c>
      <c r="Q200" s="4"/>
      <c r="R200" s="4" t="s">
        <v>334</v>
      </c>
      <c r="S200" s="4"/>
      <c r="T200" s="4" t="s">
        <v>335</v>
      </c>
      <c r="U200" s="4"/>
      <c r="V200" s="4" t="s">
        <v>336</v>
      </c>
      <c r="W200" s="4" t="s">
        <v>337</v>
      </c>
    </row>
    <row r="201" spans="1:23" x14ac:dyDescent="0.25">
      <c r="B201" s="4" t="s">
        <v>98</v>
      </c>
      <c r="C201" s="2" t="str">
        <f ca="1">IFERROR(VLOOKUP(B201,MO_Matriz,2,0),"")</f>
        <v>Engenheiro ambiental pleno</v>
      </c>
      <c r="F201" s="4" t="str">
        <f ca="1">IFERROR(VLOOKUP(B201,MO_Matriz,3,0),"")</f>
        <v>S</v>
      </c>
      <c r="H201" s="2">
        <v>1</v>
      </c>
      <c r="J201" s="2">
        <v>1</v>
      </c>
      <c r="M201" s="2">
        <f>Listas!$B$6</f>
        <v>7.333333333333333</v>
      </c>
      <c r="P201" s="238">
        <f>$F$197</f>
        <v>1</v>
      </c>
      <c r="R201" s="2">
        <f>H201*J201*M201*P201</f>
        <v>7.333333333333333</v>
      </c>
      <c r="T201" s="2">
        <f>R201/220</f>
        <v>3.3333333333333333E-2</v>
      </c>
      <c r="V201" s="315">
        <f ca="1">IFERROR(VLOOKUP(B201,MO_Matriz,5,0),"")</f>
        <v>26558.86</v>
      </c>
      <c r="W201" s="315">
        <f ca="1">TRUNC(T201*V201,2)</f>
        <v>885.29</v>
      </c>
    </row>
    <row r="202" spans="1:23" x14ac:dyDescent="0.25">
      <c r="B202" s="4" t="s">
        <v>124</v>
      </c>
      <c r="C202" s="2" t="str">
        <f ca="1">IFERROR(VLOOKUP(B202,MO_Matriz,2,0),"")</f>
        <v>Geólogo júnior</v>
      </c>
      <c r="F202" s="4" t="str">
        <f ca="1">IFERROR(VLOOKUP(B202,MO_Matriz,3,0),"")</f>
        <v>S</v>
      </c>
      <c r="H202" s="2">
        <v>1</v>
      </c>
      <c r="J202" s="2">
        <v>1</v>
      </c>
      <c r="M202" s="2">
        <f>Listas!$B$6</f>
        <v>7.333333333333333</v>
      </c>
      <c r="P202" s="238">
        <f>$F$197</f>
        <v>1</v>
      </c>
      <c r="R202" s="2">
        <f>H202*J202*M202*P202</f>
        <v>7.333333333333333</v>
      </c>
      <c r="T202" s="2">
        <f>R202/220</f>
        <v>3.3333333333333333E-2</v>
      </c>
      <c r="V202" s="315">
        <f ca="1">IFERROR(VLOOKUP(B202,MO_Matriz,5,0),"")</f>
        <v>24321.09</v>
      </c>
      <c r="W202" s="315">
        <f t="shared" ref="W202:W203" ca="1" si="2">TRUNC(T202*V202,2)</f>
        <v>810.7</v>
      </c>
    </row>
    <row r="203" spans="1:23" x14ac:dyDescent="0.25">
      <c r="B203" s="4" t="s">
        <v>167</v>
      </c>
      <c r="C203" s="2" t="str">
        <f ca="1">IFERROR(VLOOKUP(B203,MO_Matriz,2,0),"")</f>
        <v>Técnico ambiental</v>
      </c>
      <c r="F203" s="4" t="str">
        <f ca="1">IFERROR(VLOOKUP(B203,MO_Matriz,3,0),"")</f>
        <v>T</v>
      </c>
      <c r="H203" s="2">
        <v>1</v>
      </c>
      <c r="J203" s="2">
        <v>1</v>
      </c>
      <c r="M203" s="2">
        <f>Listas!$B$6</f>
        <v>7.333333333333333</v>
      </c>
      <c r="P203" s="238">
        <f>$F$197</f>
        <v>1</v>
      </c>
      <c r="R203" s="2">
        <f>H203*J203*M203*P203</f>
        <v>7.333333333333333</v>
      </c>
      <c r="T203" s="2">
        <f>R203/220</f>
        <v>3.3333333333333333E-2</v>
      </c>
      <c r="V203" s="315">
        <f ca="1">IFERROR(VLOOKUP(B203,MO_Matriz,5,0),"")</f>
        <v>6565.04</v>
      </c>
      <c r="W203" s="315">
        <f t="shared" ca="1" si="2"/>
        <v>218.83</v>
      </c>
    </row>
    <row r="204" spans="1:23" x14ac:dyDescent="0.25">
      <c r="V204" s="340" t="s">
        <v>329</v>
      </c>
      <c r="W204" s="339">
        <f ca="1">SUM(W201:W203)</f>
        <v>1914.82</v>
      </c>
    </row>
    <row r="205" spans="1:23" x14ac:dyDescent="0.25">
      <c r="A205" s="337" t="s">
        <v>339</v>
      </c>
      <c r="B205" s="2" t="s">
        <v>340</v>
      </c>
    </row>
    <row r="206" spans="1:23" x14ac:dyDescent="0.25">
      <c r="B206" s="2" t="s">
        <v>341</v>
      </c>
    </row>
    <row r="208" spans="1:23" x14ac:dyDescent="0.25">
      <c r="A208" s="4" t="s">
        <v>348</v>
      </c>
      <c r="B208" s="2" t="s">
        <v>349</v>
      </c>
    </row>
    <row r="209" spans="1:15" x14ac:dyDescent="0.25">
      <c r="A209" s="4" t="s">
        <v>451</v>
      </c>
      <c r="B209" s="2" t="s">
        <v>452</v>
      </c>
    </row>
    <row r="210" spans="1:15" x14ac:dyDescent="0.25">
      <c r="B210" s="4" t="s">
        <v>360</v>
      </c>
      <c r="C210" s="2" t="s">
        <v>15</v>
      </c>
      <c r="F210" s="4" t="s">
        <v>321</v>
      </c>
      <c r="G210" s="4"/>
      <c r="H210" s="4" t="s">
        <v>453</v>
      </c>
      <c r="I210" s="4"/>
      <c r="J210" s="4" t="s">
        <v>454</v>
      </c>
    </row>
    <row r="211" spans="1:15" x14ac:dyDescent="0.25">
      <c r="B211" s="4" t="str">
        <f>B201</f>
        <v>P8058</v>
      </c>
      <c r="C211" s="2" t="str">
        <f ca="1">IFERROR(VLOOKUP(B211,MO_Matriz,2,0),"")</f>
        <v>Engenheiro ambiental pleno</v>
      </c>
      <c r="F211" s="4" t="str">
        <f ca="1">IFERROR(VLOOKUP(B211,MO_Matriz,3,0),"")</f>
        <v>S</v>
      </c>
      <c r="H211" s="2" t="s">
        <v>455</v>
      </c>
      <c r="J211" s="2">
        <v>1</v>
      </c>
    </row>
    <row r="212" spans="1:15" x14ac:dyDescent="0.25">
      <c r="B212" s="4" t="str">
        <f t="shared" ref="B212:B213" si="3">B202</f>
        <v>P8080</v>
      </c>
      <c r="C212" s="2" t="str">
        <f ca="1">IFERROR(VLOOKUP(B212,MO_Matriz,2,0),"")</f>
        <v>Geólogo júnior</v>
      </c>
      <c r="F212" s="4" t="str">
        <f ca="1">IFERROR(VLOOKUP(B212,MO_Matriz,3,0),"")</f>
        <v>S</v>
      </c>
      <c r="H212" s="2" t="s">
        <v>455</v>
      </c>
      <c r="J212" s="2">
        <v>1</v>
      </c>
    </row>
    <row r="213" spans="1:15" x14ac:dyDescent="0.25">
      <c r="B213" s="4" t="str">
        <f t="shared" si="3"/>
        <v>P8143</v>
      </c>
      <c r="C213" s="2" t="str">
        <f ca="1">IFERROR(VLOOKUP(B213,MO_Matriz,2,0),"")</f>
        <v>Técnico ambiental</v>
      </c>
      <c r="F213" s="4" t="str">
        <f ca="1">IFERROR(VLOOKUP(B213,MO_Matriz,3,0),"")</f>
        <v>T</v>
      </c>
      <c r="H213" s="2" t="s">
        <v>455</v>
      </c>
      <c r="J213" s="2">
        <v>1</v>
      </c>
    </row>
    <row r="214" spans="1:15" x14ac:dyDescent="0.25">
      <c r="I214" s="340" t="s">
        <v>329</v>
      </c>
      <c r="J214" s="340">
        <f>SUM(J211:J213)</f>
        <v>3</v>
      </c>
    </row>
    <row r="216" spans="1:15" x14ac:dyDescent="0.25">
      <c r="A216" s="4" t="s">
        <v>456</v>
      </c>
      <c r="B216" s="2" t="s">
        <v>457</v>
      </c>
    </row>
    <row r="217" spans="1:15" x14ac:dyDescent="0.25">
      <c r="A217" s="4"/>
      <c r="B217" s="2" t="s">
        <v>1033</v>
      </c>
    </row>
    <row r="219" spans="1:15" x14ac:dyDescent="0.25">
      <c r="A219" s="4" t="s">
        <v>350</v>
      </c>
      <c r="B219" s="2" t="s">
        <v>351</v>
      </c>
    </row>
    <row r="220" spans="1:15" x14ac:dyDescent="0.25">
      <c r="B220" s="2" t="s">
        <v>344</v>
      </c>
    </row>
    <row r="222" spans="1:15" x14ac:dyDescent="0.25">
      <c r="A222" s="4" t="s">
        <v>197</v>
      </c>
      <c r="B222" s="2" t="s">
        <v>352</v>
      </c>
    </row>
    <row r="223" spans="1:15" s="28" customFormat="1" ht="17.25" x14ac:dyDescent="0.25">
      <c r="A223" s="2"/>
      <c r="B223" s="2" t="s">
        <v>346</v>
      </c>
      <c r="C223" s="2"/>
      <c r="D223" s="2"/>
      <c r="E223" s="2"/>
      <c r="F223" s="2"/>
      <c r="G223" s="2"/>
      <c r="H223" s="2"/>
      <c r="I223" s="2"/>
      <c r="J223" s="2"/>
      <c r="K223" s="2"/>
      <c r="L223" s="2"/>
      <c r="M223" s="2"/>
      <c r="N223" s="2"/>
      <c r="O223" s="2"/>
    </row>
    <row r="225" spans="1:15" x14ac:dyDescent="0.25">
      <c r="A225" s="4" t="s">
        <v>353</v>
      </c>
      <c r="B225" s="2" t="s">
        <v>354</v>
      </c>
    </row>
    <row r="226" spans="1:15" x14ac:dyDescent="0.25">
      <c r="B226" s="2" t="s">
        <v>347</v>
      </c>
    </row>
    <row r="228" spans="1:15" x14ac:dyDescent="0.25">
      <c r="A228" s="4" t="s">
        <v>355</v>
      </c>
      <c r="B228" s="2" t="s">
        <v>356</v>
      </c>
    </row>
    <row r="229" spans="1:15" x14ac:dyDescent="0.25">
      <c r="B229" s="2" t="s">
        <v>15</v>
      </c>
      <c r="F229" s="2" t="s">
        <v>357</v>
      </c>
    </row>
    <row r="230" spans="1:15" x14ac:dyDescent="0.25">
      <c r="B230" s="2" t="s">
        <v>317</v>
      </c>
      <c r="F230" s="315">
        <f ca="1">W204</f>
        <v>1914.82</v>
      </c>
    </row>
    <row r="231" spans="1:15" x14ac:dyDescent="0.25">
      <c r="B231" s="2" t="s">
        <v>276</v>
      </c>
      <c r="F231" s="315">
        <v>0</v>
      </c>
    </row>
    <row r="232" spans="1:15" x14ac:dyDescent="0.25">
      <c r="B232" s="2" t="s">
        <v>342</v>
      </c>
      <c r="F232" s="315">
        <v>0</v>
      </c>
    </row>
    <row r="233" spans="1:15" x14ac:dyDescent="0.25">
      <c r="B233" s="2" t="s">
        <v>343</v>
      </c>
      <c r="F233" s="315">
        <v>0</v>
      </c>
    </row>
    <row r="234" spans="1:15" x14ac:dyDescent="0.25">
      <c r="B234" s="2" t="s">
        <v>345</v>
      </c>
      <c r="F234" s="315">
        <v>0</v>
      </c>
    </row>
    <row r="235" spans="1:15" x14ac:dyDescent="0.25">
      <c r="B235" s="2" t="s">
        <v>516</v>
      </c>
      <c r="F235" s="315">
        <v>0</v>
      </c>
    </row>
    <row r="236" spans="1:15" x14ac:dyDescent="0.25">
      <c r="E236" s="340" t="s">
        <v>329</v>
      </c>
      <c r="F236" s="339">
        <f ca="1">SUM(F230:F235)</f>
        <v>1914.82</v>
      </c>
    </row>
    <row r="238" spans="1:15" ht="17.25" x14ac:dyDescent="0.25">
      <c r="A238" s="336" t="s">
        <v>423</v>
      </c>
      <c r="B238" s="336" t="s">
        <v>210</v>
      </c>
      <c r="C238" s="336"/>
      <c r="D238" s="336"/>
      <c r="E238" s="28"/>
      <c r="F238" s="28"/>
      <c r="G238" s="28"/>
      <c r="H238" s="28"/>
      <c r="I238" s="28"/>
      <c r="J238" s="28"/>
      <c r="K238" s="28"/>
      <c r="L238" s="28"/>
      <c r="M238" s="28"/>
      <c r="N238" s="28"/>
      <c r="O238" s="28"/>
    </row>
    <row r="239" spans="1:15" x14ac:dyDescent="0.25">
      <c r="A239" s="4" t="s">
        <v>61</v>
      </c>
      <c r="B239" s="2" t="s">
        <v>338</v>
      </c>
    </row>
    <row r="240" spans="1:15" x14ac:dyDescent="0.25">
      <c r="B240" s="2" t="s">
        <v>15</v>
      </c>
      <c r="F240" s="4" t="s">
        <v>421</v>
      </c>
      <c r="H240" s="4" t="s">
        <v>381</v>
      </c>
    </row>
    <row r="241" spans="1:23" x14ac:dyDescent="0.25">
      <c r="B241" s="2" t="s">
        <v>422</v>
      </c>
      <c r="F241" s="238">
        <v>1</v>
      </c>
      <c r="H241" s="2">
        <f>ROUNDUP(F241*Listas!$E$5,0)</f>
        <v>2</v>
      </c>
    </row>
    <row r="243" spans="1:23" x14ac:dyDescent="0.25">
      <c r="B243" s="4" t="s">
        <v>360</v>
      </c>
      <c r="C243" s="2" t="s">
        <v>15</v>
      </c>
      <c r="D243" s="4"/>
      <c r="E243" s="4"/>
      <c r="F243" s="4" t="s">
        <v>321</v>
      </c>
      <c r="G243" s="4"/>
      <c r="H243" s="4" t="s">
        <v>322</v>
      </c>
      <c r="I243" s="4"/>
      <c r="J243" s="4" t="s">
        <v>323</v>
      </c>
      <c r="K243" s="4"/>
      <c r="M243" s="4" t="s">
        <v>324</v>
      </c>
      <c r="N243" s="4"/>
      <c r="P243" s="4" t="s">
        <v>325</v>
      </c>
      <c r="Q243" s="4"/>
      <c r="R243" s="4" t="s">
        <v>326</v>
      </c>
      <c r="S243" s="4"/>
      <c r="T243" s="4" t="s">
        <v>327</v>
      </c>
      <c r="U243" s="4"/>
      <c r="V243" s="4" t="s">
        <v>328</v>
      </c>
      <c r="W243" s="4" t="s">
        <v>329</v>
      </c>
    </row>
    <row r="244" spans="1:23" x14ac:dyDescent="0.25">
      <c r="B244" s="4"/>
      <c r="C244" s="4"/>
      <c r="D244" s="4"/>
      <c r="E244" s="4"/>
      <c r="F244" s="4"/>
      <c r="G244" s="4"/>
      <c r="H244" s="4" t="s">
        <v>330</v>
      </c>
      <c r="I244" s="4"/>
      <c r="J244" s="4" t="s">
        <v>331</v>
      </c>
      <c r="K244" s="4"/>
      <c r="M244" s="4" t="s">
        <v>332</v>
      </c>
      <c r="N244" s="4"/>
      <c r="P244" s="4" t="s">
        <v>333</v>
      </c>
      <c r="Q244" s="4"/>
      <c r="R244" s="4" t="s">
        <v>334</v>
      </c>
      <c r="S244" s="4"/>
      <c r="T244" s="4" t="s">
        <v>335</v>
      </c>
      <c r="U244" s="4"/>
      <c r="V244" s="4" t="s">
        <v>336</v>
      </c>
      <c r="W244" s="4" t="s">
        <v>337</v>
      </c>
    </row>
    <row r="245" spans="1:23" x14ac:dyDescent="0.25">
      <c r="B245" s="4" t="s">
        <v>112</v>
      </c>
      <c r="C245" s="2" t="str">
        <f ca="1">IFERROR(VLOOKUP(B245,MO_Matriz,2,0),"")</f>
        <v>Engenheiro de projetos júnior</v>
      </c>
      <c r="F245" s="4" t="str">
        <f ca="1">IFERROR(VLOOKUP(B245,MO_Matriz,3,0),"")</f>
        <v>S</v>
      </c>
      <c r="H245" s="2">
        <v>1</v>
      </c>
      <c r="J245" s="2">
        <v>1</v>
      </c>
      <c r="M245" s="2">
        <f>Listas!$B$6</f>
        <v>7.333333333333333</v>
      </c>
      <c r="P245" s="238">
        <f>$F$241</f>
        <v>1</v>
      </c>
      <c r="R245" s="2">
        <f>H245*J245*M245*P245</f>
        <v>7.333333333333333</v>
      </c>
      <c r="T245" s="2">
        <f>R245/220</f>
        <v>3.3333333333333333E-2</v>
      </c>
      <c r="V245" s="315">
        <f ca="1">IFERROR(VLOOKUP(B245,MO_Matriz,5,0),"")</f>
        <v>24288.81</v>
      </c>
      <c r="W245" s="315">
        <f ca="1">TRUNC(T245*V245,2)</f>
        <v>809.62</v>
      </c>
    </row>
    <row r="246" spans="1:23" x14ac:dyDescent="0.25">
      <c r="B246" s="4" t="s">
        <v>173</v>
      </c>
      <c r="C246" s="2" t="str">
        <f ca="1">IFERROR(VLOOKUP(B246,MO_Matriz,2,0),"")</f>
        <v>Técnico em geoprocessamento</v>
      </c>
      <c r="F246" s="4" t="str">
        <f ca="1">IFERROR(VLOOKUP(B246,MO_Matriz,3,0),"")</f>
        <v>T</v>
      </c>
      <c r="H246" s="2">
        <v>1</v>
      </c>
      <c r="J246" s="2">
        <v>1</v>
      </c>
      <c r="M246" s="2">
        <f>Listas!$B$6</f>
        <v>7.333333333333333</v>
      </c>
      <c r="P246" s="238">
        <f>$F$241</f>
        <v>1</v>
      </c>
      <c r="R246" s="2">
        <f>H246*J246*M246*P246</f>
        <v>7.333333333333333</v>
      </c>
      <c r="T246" s="2">
        <f>R246/220</f>
        <v>3.3333333333333333E-2</v>
      </c>
      <c r="V246" s="315">
        <f ca="1">IFERROR(VLOOKUP(B246,MO_Matriz,5,0),"")</f>
        <v>6390.65</v>
      </c>
      <c r="W246" s="315">
        <f t="shared" ref="W246" ca="1" si="4">TRUNC(T246*V246,2)</f>
        <v>213.02</v>
      </c>
    </row>
    <row r="247" spans="1:23" x14ac:dyDescent="0.25">
      <c r="V247" s="340" t="s">
        <v>329</v>
      </c>
      <c r="W247" s="339">
        <f ca="1">SUM(W245:W246)</f>
        <v>1022.64</v>
      </c>
    </row>
    <row r="248" spans="1:23" x14ac:dyDescent="0.25">
      <c r="A248" s="337" t="s">
        <v>339</v>
      </c>
      <c r="B248" s="2" t="s">
        <v>340</v>
      </c>
    </row>
    <row r="249" spans="1:23" x14ac:dyDescent="0.25">
      <c r="B249" s="2" t="s">
        <v>341</v>
      </c>
    </row>
    <row r="251" spans="1:23" x14ac:dyDescent="0.25">
      <c r="A251" s="4" t="s">
        <v>348</v>
      </c>
      <c r="B251" s="2" t="s">
        <v>349</v>
      </c>
    </row>
    <row r="252" spans="1:23" x14ac:dyDescent="0.25">
      <c r="A252" s="4" t="s">
        <v>451</v>
      </c>
      <c r="B252" s="2" t="s">
        <v>452</v>
      </c>
    </row>
    <row r="253" spans="1:23" x14ac:dyDescent="0.25">
      <c r="B253" s="4" t="s">
        <v>360</v>
      </c>
      <c r="C253" s="2" t="s">
        <v>15</v>
      </c>
      <c r="F253" s="4" t="s">
        <v>321</v>
      </c>
      <c r="G253" s="4"/>
      <c r="H253" s="4" t="s">
        <v>453</v>
      </c>
      <c r="I253" s="4"/>
      <c r="J253" s="4" t="s">
        <v>454</v>
      </c>
    </row>
    <row r="254" spans="1:23" x14ac:dyDescent="0.25">
      <c r="B254" s="4" t="str">
        <f t="shared" ref="B254:B255" si="5">B245</f>
        <v>P8065</v>
      </c>
      <c r="C254" s="2" t="str">
        <f ca="1">IFERROR(VLOOKUP(B254,MO_Matriz,2,0),"")</f>
        <v>Engenheiro de projetos júnior</v>
      </c>
      <c r="F254" s="4" t="str">
        <f ca="1">IFERROR(VLOOKUP(B254,MO_Matriz,3,0),"")</f>
        <v>S</v>
      </c>
      <c r="H254" s="2" t="s">
        <v>455</v>
      </c>
      <c r="J254" s="2">
        <v>1</v>
      </c>
    </row>
    <row r="255" spans="1:23" x14ac:dyDescent="0.25">
      <c r="B255" s="4" t="str">
        <f t="shared" si="5"/>
        <v>P8155</v>
      </c>
      <c r="C255" s="2" t="str">
        <f ca="1">IFERROR(VLOOKUP(B255,MO_Matriz,2,0),"")</f>
        <v>Técnico em geoprocessamento</v>
      </c>
      <c r="F255" s="4" t="str">
        <f ca="1">IFERROR(VLOOKUP(B255,MO_Matriz,3,0),"")</f>
        <v>T</v>
      </c>
      <c r="H255" s="2" t="s">
        <v>455</v>
      </c>
      <c r="J255" s="2">
        <v>1</v>
      </c>
    </row>
    <row r="256" spans="1:23" x14ac:dyDescent="0.25">
      <c r="I256" s="340" t="s">
        <v>329</v>
      </c>
      <c r="J256" s="340">
        <f>SUM(J254:J255)</f>
        <v>2</v>
      </c>
    </row>
    <row r="258" spans="1:6" x14ac:dyDescent="0.25">
      <c r="A258" s="4" t="s">
        <v>456</v>
      </c>
      <c r="B258" s="2" t="s">
        <v>457</v>
      </c>
    </row>
    <row r="259" spans="1:6" x14ac:dyDescent="0.25">
      <c r="A259" s="4"/>
      <c r="B259" s="2" t="s">
        <v>1033</v>
      </c>
    </row>
    <row r="260" spans="1:6" x14ac:dyDescent="0.25">
      <c r="A260" s="4"/>
    </row>
    <row r="261" spans="1:6" x14ac:dyDescent="0.25">
      <c r="A261" s="4" t="s">
        <v>350</v>
      </c>
      <c r="B261" s="2" t="s">
        <v>351</v>
      </c>
    </row>
    <row r="262" spans="1:6" x14ac:dyDescent="0.25">
      <c r="B262" s="2" t="s">
        <v>344</v>
      </c>
    </row>
    <row r="264" spans="1:6" x14ac:dyDescent="0.25">
      <c r="A264" s="4" t="s">
        <v>197</v>
      </c>
      <c r="B264" s="2" t="s">
        <v>352</v>
      </c>
    </row>
    <row r="265" spans="1:6" x14ac:dyDescent="0.25">
      <c r="B265" s="2" t="s">
        <v>346</v>
      </c>
    </row>
    <row r="267" spans="1:6" x14ac:dyDescent="0.25">
      <c r="A267" s="4" t="s">
        <v>353</v>
      </c>
      <c r="B267" s="2" t="s">
        <v>354</v>
      </c>
    </row>
    <row r="268" spans="1:6" x14ac:dyDescent="0.25">
      <c r="B268" s="2" t="s">
        <v>347</v>
      </c>
    </row>
    <row r="270" spans="1:6" x14ac:dyDescent="0.25">
      <c r="A270" s="4" t="s">
        <v>355</v>
      </c>
      <c r="B270" s="2" t="s">
        <v>356</v>
      </c>
    </row>
    <row r="271" spans="1:6" x14ac:dyDescent="0.25">
      <c r="B271" s="2" t="s">
        <v>15</v>
      </c>
      <c r="F271" s="2" t="s">
        <v>357</v>
      </c>
    </row>
    <row r="272" spans="1:6" x14ac:dyDescent="0.25">
      <c r="B272" s="2" t="s">
        <v>317</v>
      </c>
      <c r="F272" s="315">
        <f ca="1">W247</f>
        <v>1022.64</v>
      </c>
    </row>
    <row r="273" spans="1:23" x14ac:dyDescent="0.25">
      <c r="B273" s="2" t="s">
        <v>276</v>
      </c>
      <c r="F273" s="315">
        <v>0</v>
      </c>
    </row>
    <row r="274" spans="1:23" x14ac:dyDescent="0.25">
      <c r="B274" s="2" t="s">
        <v>342</v>
      </c>
      <c r="F274" s="315">
        <v>0</v>
      </c>
    </row>
    <row r="275" spans="1:23" x14ac:dyDescent="0.25">
      <c r="B275" s="2" t="s">
        <v>343</v>
      </c>
      <c r="F275" s="315">
        <v>0</v>
      </c>
    </row>
    <row r="276" spans="1:23" x14ac:dyDescent="0.25">
      <c r="B276" s="2" t="s">
        <v>345</v>
      </c>
      <c r="F276" s="315">
        <v>0</v>
      </c>
    </row>
    <row r="277" spans="1:23" x14ac:dyDescent="0.25">
      <c r="B277" s="2" t="s">
        <v>516</v>
      </c>
      <c r="F277" s="315">
        <v>0</v>
      </c>
    </row>
    <row r="278" spans="1:23" x14ac:dyDescent="0.25">
      <c r="E278" s="340" t="s">
        <v>329</v>
      </c>
      <c r="F278" s="339">
        <f ca="1">SUM(F272:F277)</f>
        <v>1022.64</v>
      </c>
    </row>
    <row r="280" spans="1:23" ht="17.25" x14ac:dyDescent="0.25">
      <c r="A280" s="336" t="s">
        <v>484</v>
      </c>
      <c r="B280" s="336" t="s">
        <v>208</v>
      </c>
      <c r="C280" s="350"/>
      <c r="D280" s="350"/>
      <c r="E280" s="351"/>
    </row>
    <row r="281" spans="1:23" x14ac:dyDescent="0.25">
      <c r="A281" s="2" t="s">
        <v>61</v>
      </c>
      <c r="B281" s="2" t="s">
        <v>338</v>
      </c>
    </row>
    <row r="282" spans="1:23" x14ac:dyDescent="0.25">
      <c r="B282" s="2" t="s">
        <v>15</v>
      </c>
      <c r="F282" s="2" t="s">
        <v>325</v>
      </c>
      <c r="H282" s="2" t="s">
        <v>381</v>
      </c>
    </row>
    <row r="283" spans="1:23" x14ac:dyDescent="0.25">
      <c r="B283" s="2" t="s">
        <v>424</v>
      </c>
      <c r="F283" s="238">
        <v>1</v>
      </c>
      <c r="H283" s="2">
        <f>ROUNDUP(F283*Listas!$E$5,0)</f>
        <v>2</v>
      </c>
    </row>
    <row r="285" spans="1:23" x14ac:dyDescent="0.25">
      <c r="B285" s="4" t="s">
        <v>360</v>
      </c>
      <c r="C285" s="2" t="s">
        <v>15</v>
      </c>
      <c r="F285" s="4" t="s">
        <v>321</v>
      </c>
      <c r="H285" s="4" t="s">
        <v>322</v>
      </c>
      <c r="J285" s="4" t="s">
        <v>323</v>
      </c>
      <c r="M285" s="4" t="s">
        <v>324</v>
      </c>
      <c r="P285" s="4" t="s">
        <v>325</v>
      </c>
      <c r="R285" s="4" t="s">
        <v>326</v>
      </c>
      <c r="T285" s="4" t="s">
        <v>327</v>
      </c>
      <c r="V285" s="4" t="s">
        <v>328</v>
      </c>
      <c r="W285" s="4" t="s">
        <v>329</v>
      </c>
    </row>
    <row r="286" spans="1:23" x14ac:dyDescent="0.25">
      <c r="H286" s="4" t="s">
        <v>330</v>
      </c>
      <c r="J286" s="4" t="s">
        <v>331</v>
      </c>
      <c r="M286" s="4" t="s">
        <v>332</v>
      </c>
      <c r="P286" s="4" t="s">
        <v>333</v>
      </c>
      <c r="R286" s="4" t="s">
        <v>334</v>
      </c>
      <c r="T286" s="4" t="s">
        <v>335</v>
      </c>
      <c r="V286" s="4" t="s">
        <v>336</v>
      </c>
      <c r="W286" s="4" t="s">
        <v>337</v>
      </c>
    </row>
    <row r="287" spans="1:23" x14ac:dyDescent="0.25">
      <c r="B287" s="4" t="s">
        <v>112</v>
      </c>
      <c r="C287" s="2" t="str">
        <f ca="1">IFERROR(VLOOKUP(B287,MO_Matriz,2,0),"")</f>
        <v>Engenheiro de projetos júnior</v>
      </c>
      <c r="F287" s="4" t="str">
        <f ca="1">IFERROR(VLOOKUP(B287,MO_Matriz,3,0),"")</f>
        <v>S</v>
      </c>
      <c r="H287" s="2">
        <v>1</v>
      </c>
      <c r="J287" s="2">
        <v>1</v>
      </c>
      <c r="M287" s="2">
        <f>Listas!$B$6</f>
        <v>7.333333333333333</v>
      </c>
      <c r="P287" s="238">
        <f>$F$283</f>
        <v>1</v>
      </c>
      <c r="R287" s="2">
        <f>H287*J287*M287*P287</f>
        <v>7.333333333333333</v>
      </c>
      <c r="T287" s="2">
        <f>R287/220</f>
        <v>3.3333333333333333E-2</v>
      </c>
      <c r="V287" s="315">
        <f ca="1">IFERROR(VLOOKUP(B287,MO_Matriz,5,0),"")</f>
        <v>24288.81</v>
      </c>
      <c r="W287" s="274">
        <f ca="1">TRUNC(T287*V287,2)</f>
        <v>809.62</v>
      </c>
    </row>
    <row r="288" spans="1:23" x14ac:dyDescent="0.25">
      <c r="B288" s="4" t="s">
        <v>181</v>
      </c>
      <c r="C288" s="2" t="str">
        <f ca="1">IFERROR(VLOOKUP(B288,MO_Matriz,2,0),"")</f>
        <v>Desenhista</v>
      </c>
      <c r="F288" s="4" t="str">
        <f ca="1">IFERROR(VLOOKUP(B288,MO_Matriz,3,0),"")</f>
        <v>T</v>
      </c>
      <c r="H288" s="2">
        <v>1</v>
      </c>
      <c r="J288" s="2">
        <v>1</v>
      </c>
      <c r="M288" s="2">
        <f>Listas!$B$6</f>
        <v>7.333333333333333</v>
      </c>
      <c r="P288" s="238">
        <f>$F$283</f>
        <v>1</v>
      </c>
      <c r="R288" s="2">
        <f>H288*J288*M288*P288</f>
        <v>7.333333333333333</v>
      </c>
      <c r="T288" s="2">
        <f>R288/220</f>
        <v>3.3333333333333333E-2</v>
      </c>
      <c r="V288" s="315">
        <f ca="1">IFERROR(VLOOKUP(B288,MO_Matriz,5,0),"")</f>
        <v>7821.6815999999999</v>
      </c>
      <c r="W288" s="274">
        <f t="shared" ref="W288" ca="1" si="6">TRUNC(T288*V288,2)</f>
        <v>260.72000000000003</v>
      </c>
    </row>
    <row r="289" spans="1:23" x14ac:dyDescent="0.25">
      <c r="V289" s="340" t="s">
        <v>329</v>
      </c>
      <c r="W289" s="339">
        <f ca="1">SUM(W287:W288)</f>
        <v>1070.3400000000001</v>
      </c>
    </row>
    <row r="290" spans="1:23" x14ac:dyDescent="0.25">
      <c r="A290" s="2" t="s">
        <v>339</v>
      </c>
      <c r="B290" s="2" t="s">
        <v>340</v>
      </c>
    </row>
    <row r="291" spans="1:23" x14ac:dyDescent="0.25">
      <c r="B291" s="2" t="s">
        <v>341</v>
      </c>
    </row>
    <row r="293" spans="1:23" x14ac:dyDescent="0.25">
      <c r="A293" s="2" t="s">
        <v>348</v>
      </c>
      <c r="B293" s="2" t="s">
        <v>349</v>
      </c>
    </row>
    <row r="294" spans="1:23" x14ac:dyDescent="0.25">
      <c r="A294" s="4" t="s">
        <v>451</v>
      </c>
      <c r="B294" s="2" t="s">
        <v>452</v>
      </c>
    </row>
    <row r="295" spans="1:23" x14ac:dyDescent="0.25">
      <c r="B295" s="4" t="s">
        <v>360</v>
      </c>
      <c r="C295" s="2" t="s">
        <v>15</v>
      </c>
      <c r="F295" s="4" t="s">
        <v>321</v>
      </c>
      <c r="G295" s="4"/>
      <c r="H295" s="4" t="s">
        <v>453</v>
      </c>
      <c r="I295" s="4"/>
      <c r="J295" s="4" t="s">
        <v>454</v>
      </c>
    </row>
    <row r="296" spans="1:23" x14ac:dyDescent="0.25">
      <c r="B296" s="4" t="str">
        <f t="shared" ref="B296:B297" si="7">B287</f>
        <v>P8065</v>
      </c>
      <c r="C296" s="2" t="str">
        <f ca="1">IFERROR(VLOOKUP(B296,MO_Matriz,2,0),"")</f>
        <v>Engenheiro de projetos júnior</v>
      </c>
      <c r="F296" s="4" t="str">
        <f ca="1">IFERROR(VLOOKUP(B296,MO_Matriz,3,0),"")</f>
        <v>S</v>
      </c>
      <c r="H296" s="2" t="s">
        <v>455</v>
      </c>
      <c r="J296" s="2">
        <v>1</v>
      </c>
    </row>
    <row r="297" spans="1:23" x14ac:dyDescent="0.25">
      <c r="B297" s="4" t="str">
        <f t="shared" si="7"/>
        <v>P9848</v>
      </c>
      <c r="C297" s="2" t="str">
        <f ca="1">IFERROR(VLOOKUP(B297,MO_Matriz,2,0),"")</f>
        <v>Desenhista</v>
      </c>
      <c r="F297" s="4" t="str">
        <f ca="1">IFERROR(VLOOKUP(B297,MO_Matriz,3,0),"")</f>
        <v>T</v>
      </c>
      <c r="H297" s="2" t="s">
        <v>455</v>
      </c>
      <c r="J297" s="2">
        <v>1</v>
      </c>
    </row>
    <row r="298" spans="1:23" x14ac:dyDescent="0.25">
      <c r="I298" s="340" t="s">
        <v>329</v>
      </c>
      <c r="J298" s="340">
        <f>SUM(J296:J297)</f>
        <v>2</v>
      </c>
    </row>
    <row r="300" spans="1:23" x14ac:dyDescent="0.25">
      <c r="A300" s="4" t="s">
        <v>456</v>
      </c>
      <c r="B300" s="2" t="s">
        <v>457</v>
      </c>
    </row>
    <row r="301" spans="1:23" x14ac:dyDescent="0.25">
      <c r="A301" s="4"/>
      <c r="B301" s="2" t="s">
        <v>1033</v>
      </c>
    </row>
    <row r="303" spans="1:23" x14ac:dyDescent="0.25">
      <c r="A303" s="2" t="s">
        <v>350</v>
      </c>
      <c r="B303" s="2" t="s">
        <v>351</v>
      </c>
    </row>
    <row r="304" spans="1:23" x14ac:dyDescent="0.25">
      <c r="B304" s="2" t="s">
        <v>344</v>
      </c>
    </row>
    <row r="306" spans="1:6" x14ac:dyDescent="0.25">
      <c r="A306" s="2" t="s">
        <v>197</v>
      </c>
      <c r="B306" s="2" t="s">
        <v>352</v>
      </c>
    </row>
    <row r="307" spans="1:6" x14ac:dyDescent="0.25">
      <c r="B307" s="2" t="s">
        <v>346</v>
      </c>
    </row>
    <row r="309" spans="1:6" x14ac:dyDescent="0.25">
      <c r="A309" s="2" t="s">
        <v>353</v>
      </c>
      <c r="B309" s="2" t="s">
        <v>354</v>
      </c>
    </row>
    <row r="310" spans="1:6" x14ac:dyDescent="0.25">
      <c r="B310" s="2" t="s">
        <v>347</v>
      </c>
    </row>
    <row r="312" spans="1:6" x14ac:dyDescent="0.25">
      <c r="A312" s="2" t="s">
        <v>355</v>
      </c>
      <c r="B312" s="2" t="s">
        <v>356</v>
      </c>
    </row>
    <row r="313" spans="1:6" x14ac:dyDescent="0.25">
      <c r="B313" s="2" t="s">
        <v>15</v>
      </c>
      <c r="F313" s="2" t="s">
        <v>357</v>
      </c>
    </row>
    <row r="314" spans="1:6" x14ac:dyDescent="0.25">
      <c r="B314" s="2" t="s">
        <v>317</v>
      </c>
      <c r="F314" s="274">
        <f ca="1">W289</f>
        <v>1070.3400000000001</v>
      </c>
    </row>
    <row r="315" spans="1:6" x14ac:dyDescent="0.25">
      <c r="B315" s="2" t="s">
        <v>276</v>
      </c>
      <c r="F315" s="274">
        <v>0</v>
      </c>
    </row>
    <row r="316" spans="1:6" x14ac:dyDescent="0.25">
      <c r="B316" s="2" t="s">
        <v>342</v>
      </c>
      <c r="F316" s="274">
        <v>0</v>
      </c>
    </row>
    <row r="317" spans="1:6" x14ac:dyDescent="0.25">
      <c r="B317" s="2" t="s">
        <v>343</v>
      </c>
      <c r="F317" s="274">
        <v>0</v>
      </c>
    </row>
    <row r="318" spans="1:6" x14ac:dyDescent="0.25">
      <c r="B318" s="2" t="s">
        <v>345</v>
      </c>
      <c r="F318" s="274">
        <v>0</v>
      </c>
    </row>
    <row r="319" spans="1:6" x14ac:dyDescent="0.25">
      <c r="B319" s="2" t="s">
        <v>516</v>
      </c>
      <c r="F319" s="274">
        <v>0</v>
      </c>
    </row>
    <row r="320" spans="1:6" x14ac:dyDescent="0.25">
      <c r="E320" s="340" t="s">
        <v>329</v>
      </c>
      <c r="F320" s="352">
        <f ca="1">SUM(F314:F319)</f>
        <v>1070.3400000000001</v>
      </c>
    </row>
    <row r="322" spans="1:21" ht="17.25" x14ac:dyDescent="0.25">
      <c r="A322" s="336" t="s">
        <v>485</v>
      </c>
      <c r="B322" s="336" t="s">
        <v>211</v>
      </c>
      <c r="C322" s="350"/>
      <c r="D322" s="350"/>
    </row>
    <row r="323" spans="1:21" x14ac:dyDescent="0.25">
      <c r="A323" s="350" t="s">
        <v>731</v>
      </c>
      <c r="B323" s="350" t="s">
        <v>735</v>
      </c>
      <c r="C323" s="350"/>
      <c r="D323" s="350"/>
      <c r="E323" s="350"/>
    </row>
    <row r="324" spans="1:21" x14ac:dyDescent="0.25">
      <c r="B324" s="51" t="s">
        <v>470</v>
      </c>
      <c r="C324" s="238">
        <f>'Carac trecho'!I18</f>
        <v>3</v>
      </c>
      <c r="D324" s="2" t="s">
        <v>198</v>
      </c>
      <c r="E324" s="2" t="s">
        <v>471</v>
      </c>
    </row>
    <row r="325" spans="1:21" x14ac:dyDescent="0.25">
      <c r="B325" s="2" t="s">
        <v>359</v>
      </c>
      <c r="C325" s="2">
        <v>1</v>
      </c>
      <c r="D325" s="2" t="s">
        <v>13</v>
      </c>
      <c r="E325" s="4" t="s">
        <v>201</v>
      </c>
      <c r="F325" s="2">
        <f>ROUND(C325/C324,2)</f>
        <v>0.33</v>
      </c>
      <c r="G325" s="2" t="s">
        <v>472</v>
      </c>
      <c r="I325" s="4" t="s">
        <v>201</v>
      </c>
      <c r="J325" s="2">
        <f>ROUNDUP(F325*Listas!$E$5,0)</f>
        <v>1</v>
      </c>
      <c r="K325" s="2" t="s">
        <v>473</v>
      </c>
      <c r="M325" s="2" t="s">
        <v>471</v>
      </c>
    </row>
    <row r="327" spans="1:21" x14ac:dyDescent="0.25">
      <c r="B327" s="2" t="s">
        <v>474</v>
      </c>
      <c r="C327" s="2">
        <v>1</v>
      </c>
      <c r="D327" s="2" t="s">
        <v>475</v>
      </c>
      <c r="E327" s="4" t="s">
        <v>201</v>
      </c>
      <c r="F327" s="2">
        <f>F325/C327</f>
        <v>0.33</v>
      </c>
      <c r="G327" s="2" t="s">
        <v>472</v>
      </c>
      <c r="I327" s="4" t="s">
        <v>431</v>
      </c>
      <c r="J327" s="2">
        <v>2</v>
      </c>
      <c r="K327" s="2" t="s">
        <v>476</v>
      </c>
      <c r="L327" s="4" t="s">
        <v>432</v>
      </c>
      <c r="M327" s="2">
        <f>F328+J327</f>
        <v>3</v>
      </c>
      <c r="N327" s="2" t="s">
        <v>477</v>
      </c>
    </row>
    <row r="328" spans="1:21" x14ac:dyDescent="0.25">
      <c r="F328" s="2">
        <f>ROUNDUP(F327*Listas!$E$5,0)</f>
        <v>1</v>
      </c>
      <c r="G328" s="2" t="s">
        <v>473</v>
      </c>
    </row>
    <row r="329" spans="1:21" x14ac:dyDescent="0.25">
      <c r="A329" s="4" t="s">
        <v>61</v>
      </c>
      <c r="B329" s="2" t="s">
        <v>338</v>
      </c>
    </row>
    <row r="330" spans="1:21" x14ac:dyDescent="0.25">
      <c r="B330" s="4" t="s">
        <v>360</v>
      </c>
      <c r="C330" s="2" t="s">
        <v>15</v>
      </c>
      <c r="F330" s="4" t="s">
        <v>321</v>
      </c>
      <c r="G330" s="4"/>
      <c r="H330" s="4" t="s">
        <v>322</v>
      </c>
      <c r="I330" s="4"/>
      <c r="J330" s="4" t="s">
        <v>323</v>
      </c>
      <c r="K330" s="4"/>
      <c r="L330" s="4" t="s">
        <v>324</v>
      </c>
      <c r="M330" s="4"/>
      <c r="N330" s="4" t="s">
        <v>325</v>
      </c>
      <c r="O330" s="4"/>
      <c r="P330" s="4" t="s">
        <v>326</v>
      </c>
      <c r="Q330" s="4"/>
      <c r="R330" s="4" t="s">
        <v>327</v>
      </c>
      <c r="S330" s="4"/>
      <c r="T330" s="4" t="s">
        <v>328</v>
      </c>
      <c r="U330" s="4" t="s">
        <v>329</v>
      </c>
    </row>
    <row r="331" spans="1:21" x14ac:dyDescent="0.25">
      <c r="B331" s="4"/>
      <c r="F331" s="4"/>
      <c r="G331" s="4"/>
      <c r="H331" s="4" t="s">
        <v>330</v>
      </c>
      <c r="I331" s="4"/>
      <c r="J331" s="4" t="s">
        <v>331</v>
      </c>
      <c r="K331" s="4"/>
      <c r="L331" s="4" t="s">
        <v>332</v>
      </c>
      <c r="M331" s="4"/>
      <c r="N331" s="4" t="s">
        <v>333</v>
      </c>
      <c r="O331" s="4"/>
      <c r="P331" s="4" t="s">
        <v>334</v>
      </c>
      <c r="Q331" s="4"/>
      <c r="R331" s="4" t="s">
        <v>335</v>
      </c>
      <c r="S331" s="4"/>
      <c r="T331" s="4" t="s">
        <v>336</v>
      </c>
      <c r="U331" s="4" t="s">
        <v>337</v>
      </c>
    </row>
    <row r="332" spans="1:21" x14ac:dyDescent="0.25">
      <c r="B332" s="4" t="s">
        <v>177</v>
      </c>
      <c r="C332" s="2" t="str">
        <f ca="1">IFERROR(VLOOKUP(B332,MO_Matriz,2,0),"")</f>
        <v>Topógrafo</v>
      </c>
      <c r="F332" s="4" t="str">
        <f ca="1">IFERROR(VLOOKUP(B332,MO_Matriz,3,0),"")</f>
        <v>T</v>
      </c>
      <c r="H332" s="2">
        <f>$C$327</f>
        <v>1</v>
      </c>
      <c r="J332" s="2">
        <v>1</v>
      </c>
      <c r="L332" s="2">
        <f>Listas!$B$6</f>
        <v>7.333333333333333</v>
      </c>
      <c r="N332" s="2">
        <f>$M$327</f>
        <v>3</v>
      </c>
      <c r="P332" s="2">
        <f>H332*J332*L332*N332</f>
        <v>22</v>
      </c>
      <c r="R332" s="2">
        <f>P332/220</f>
        <v>0.1</v>
      </c>
      <c r="T332" s="315">
        <f ca="1">IFERROR(VLOOKUP(B332,MO_Matriz,5,0),"")</f>
        <v>5810.76</v>
      </c>
      <c r="U332" s="315">
        <f ca="1">TRUNC(R332*T332,2)</f>
        <v>581.07000000000005</v>
      </c>
    </row>
    <row r="333" spans="1:21" x14ac:dyDescent="0.25">
      <c r="B333" s="4" t="s">
        <v>66</v>
      </c>
      <c r="C333" s="2" t="str">
        <f ca="1">IFERROR(VLOOKUP(B333,MO_Matriz,2,0),"")</f>
        <v>Auxiliar de topografia</v>
      </c>
      <c r="F333" s="4" t="str">
        <f ca="1">IFERROR(VLOOKUP(B333,MO_Matriz,3,0),"")</f>
        <v>A</v>
      </c>
      <c r="H333" s="2">
        <f>$C$327</f>
        <v>1</v>
      </c>
      <c r="J333" s="2">
        <v>2</v>
      </c>
      <c r="L333" s="2">
        <f>Listas!$B$6</f>
        <v>7.333333333333333</v>
      </c>
      <c r="N333" s="2">
        <f>$M$327</f>
        <v>3</v>
      </c>
      <c r="P333" s="2">
        <f>H333*J333*L333*N333</f>
        <v>44</v>
      </c>
      <c r="R333" s="2">
        <f>P333/220</f>
        <v>0.2</v>
      </c>
      <c r="T333" s="315">
        <f ca="1">IFERROR(VLOOKUP(B333,MO_Matriz,5,0),"")</f>
        <v>4255.96</v>
      </c>
      <c r="U333" s="315">
        <f t="shared" ref="U333" ca="1" si="8">TRUNC(R333*T333,2)</f>
        <v>851.19</v>
      </c>
    </row>
    <row r="334" spans="1:21" x14ac:dyDescent="0.25">
      <c r="T334" s="340" t="s">
        <v>329</v>
      </c>
      <c r="U334" s="339">
        <f ca="1">SUM(U332:U333)</f>
        <v>1432.2600000000002</v>
      </c>
    </row>
    <row r="335" spans="1:21" x14ac:dyDescent="0.25">
      <c r="A335" s="4" t="s">
        <v>339</v>
      </c>
      <c r="B335" s="2" t="s">
        <v>340</v>
      </c>
    </row>
    <row r="336" spans="1:21" x14ac:dyDescent="0.25">
      <c r="B336" s="4" t="s">
        <v>360</v>
      </c>
      <c r="C336" s="2" t="s">
        <v>15</v>
      </c>
      <c r="G336" s="4" t="s">
        <v>31</v>
      </c>
      <c r="H336" s="4" t="s">
        <v>224</v>
      </c>
      <c r="I336" s="4" t="s">
        <v>361</v>
      </c>
      <c r="J336" s="4" t="s">
        <v>328</v>
      </c>
      <c r="K336" s="338" t="s">
        <v>362</v>
      </c>
    </row>
    <row r="337" spans="1:11" x14ac:dyDescent="0.25">
      <c r="B337" s="4"/>
      <c r="G337" s="4" t="s">
        <v>363</v>
      </c>
      <c r="H337" s="4" t="s">
        <v>330</v>
      </c>
      <c r="I337" s="4" t="s">
        <v>364</v>
      </c>
      <c r="J337" s="4" t="s">
        <v>332</v>
      </c>
      <c r="K337" s="338" t="s">
        <v>365</v>
      </c>
    </row>
    <row r="338" spans="1:11" x14ac:dyDescent="0.25">
      <c r="B338" s="4" t="s">
        <v>193</v>
      </c>
      <c r="C338" s="2" t="str">
        <f ca="1">IFERROR(VLOOKUP(B338,Veiculo_Equip_Matriz,2,0),"")</f>
        <v>Veículo leve picape 4 x 4 com capacidade de 1,10 t - 147 kW (sem motorista)</v>
      </c>
      <c r="G338" s="2">
        <f>$C$327</f>
        <v>1</v>
      </c>
      <c r="H338" s="2">
        <f>$J$327/2</f>
        <v>1</v>
      </c>
      <c r="I338" s="2">
        <f>H338/30</f>
        <v>3.3333333333333333E-2</v>
      </c>
      <c r="J338" s="315">
        <f ca="1">IFERROR(VLOOKUP(B338,Veiculo_Equip_Matriz,10,0),"")</f>
        <v>7920.0560999999998</v>
      </c>
      <c r="K338" s="339">
        <f ca="1">TRUNC(G338*I338*J338,2)</f>
        <v>264</v>
      </c>
    </row>
    <row r="339" spans="1:11" x14ac:dyDescent="0.25">
      <c r="J339" s="340" t="s">
        <v>329</v>
      </c>
      <c r="K339" s="339">
        <f ca="1">SUM(K338:K338)</f>
        <v>264</v>
      </c>
    </row>
    <row r="340" spans="1:11" x14ac:dyDescent="0.25">
      <c r="A340" s="4" t="s">
        <v>348</v>
      </c>
      <c r="B340" s="2" t="s">
        <v>349</v>
      </c>
    </row>
    <row r="341" spans="1:11" x14ac:dyDescent="0.25">
      <c r="A341" s="4" t="s">
        <v>451</v>
      </c>
      <c r="B341" s="2" t="s">
        <v>452</v>
      </c>
    </row>
    <row r="342" spans="1:11" x14ac:dyDescent="0.25">
      <c r="B342" s="2" t="s">
        <v>1034</v>
      </c>
      <c r="F342" s="4"/>
      <c r="G342" s="4"/>
      <c r="H342" s="4"/>
      <c r="I342" s="4"/>
      <c r="J342" s="4"/>
    </row>
    <row r="343" spans="1:11" x14ac:dyDescent="0.25">
      <c r="B343" s="4"/>
      <c r="F343" s="4"/>
    </row>
    <row r="344" spans="1:11" x14ac:dyDescent="0.25">
      <c r="A344" s="4" t="s">
        <v>456</v>
      </c>
      <c r="B344" s="2" t="s">
        <v>457</v>
      </c>
    </row>
    <row r="346" spans="1:11" x14ac:dyDescent="0.25">
      <c r="B346" s="4" t="s">
        <v>360</v>
      </c>
      <c r="C346" s="2" t="s">
        <v>15</v>
      </c>
      <c r="F346" s="4" t="s">
        <v>321</v>
      </c>
      <c r="G346" s="4"/>
      <c r="H346" s="4" t="s">
        <v>453</v>
      </c>
      <c r="I346" s="4"/>
      <c r="J346" s="4" t="s">
        <v>454</v>
      </c>
    </row>
    <row r="347" spans="1:11" x14ac:dyDescent="0.25">
      <c r="B347" s="4" t="str">
        <f>B332</f>
        <v>P8163</v>
      </c>
      <c r="C347" s="2" t="str">
        <f ca="1">IFERROR(VLOOKUP(B347,MO_Matriz,2,0),"")</f>
        <v>Topógrafo</v>
      </c>
      <c r="F347" s="4" t="str">
        <f ca="1">IFERROR(VLOOKUP(B347,MO_Matriz,3,0),"")</f>
        <v>T</v>
      </c>
      <c r="H347" s="2" t="s">
        <v>455</v>
      </c>
      <c r="J347" s="2">
        <f>J332</f>
        <v>1</v>
      </c>
    </row>
    <row r="348" spans="1:11" x14ac:dyDescent="0.25">
      <c r="I348" s="340" t="s">
        <v>329</v>
      </c>
      <c r="J348" s="340">
        <f>SUM(J347:J347)</f>
        <v>1</v>
      </c>
    </row>
    <row r="349" spans="1:11" x14ac:dyDescent="0.25">
      <c r="A349" s="4"/>
    </row>
    <row r="350" spans="1:11" x14ac:dyDescent="0.25">
      <c r="A350" s="4" t="s">
        <v>350</v>
      </c>
      <c r="B350" s="2" t="s">
        <v>351</v>
      </c>
    </row>
    <row r="351" spans="1:11" x14ac:dyDescent="0.25">
      <c r="B351" s="4" t="s">
        <v>320</v>
      </c>
      <c r="C351" s="2" t="s">
        <v>15</v>
      </c>
      <c r="E351" s="4" t="s">
        <v>202</v>
      </c>
      <c r="F351" s="4" t="s">
        <v>224</v>
      </c>
      <c r="G351" s="4" t="s">
        <v>361</v>
      </c>
      <c r="H351" s="4"/>
      <c r="I351" s="4" t="s">
        <v>478</v>
      </c>
      <c r="K351" s="338" t="s">
        <v>396</v>
      </c>
    </row>
    <row r="352" spans="1:11" x14ac:dyDescent="0.25">
      <c r="B352" s="4"/>
      <c r="E352" s="4" t="s">
        <v>363</v>
      </c>
      <c r="F352" s="4" t="s">
        <v>330</v>
      </c>
      <c r="G352" s="4" t="s">
        <v>364</v>
      </c>
      <c r="H352" s="4"/>
      <c r="I352" s="4" t="s">
        <v>332</v>
      </c>
      <c r="K352" s="338" t="s">
        <v>365</v>
      </c>
    </row>
    <row r="353" spans="1:28" x14ac:dyDescent="0.25">
      <c r="B353" s="4" t="s">
        <v>294</v>
      </c>
      <c r="C353" s="2" t="str">
        <f>VLOOKUP(B353,'Imóveis-Mobiliários-Cestas-Dive'!B3:F13,3,0)</f>
        <v>Topografia</v>
      </c>
      <c r="E353" s="2">
        <f>C327</f>
        <v>1</v>
      </c>
      <c r="F353" s="2">
        <f>F328</f>
        <v>1</v>
      </c>
      <c r="G353" s="2">
        <f>F353/30</f>
        <v>3.3333333333333333E-2</v>
      </c>
      <c r="I353" s="315">
        <f>VLOOKUP(B353,'Imóveis-Mobiliários-Cestas-Dive'!B3:F13,5,0)</f>
        <v>5150.2700000000004</v>
      </c>
      <c r="K353" s="339">
        <f>TRUNC(I353*E353*G353,2)</f>
        <v>171.67</v>
      </c>
    </row>
    <row r="355" spans="1:28" x14ac:dyDescent="0.25">
      <c r="A355" s="4" t="s">
        <v>197</v>
      </c>
      <c r="B355" s="2" t="s">
        <v>352</v>
      </c>
    </row>
    <row r="356" spans="1:28" x14ac:dyDescent="0.25">
      <c r="A356" s="4" t="s">
        <v>450</v>
      </c>
      <c r="B356" s="2" t="s">
        <v>433</v>
      </c>
    </row>
    <row r="357" spans="1:28" x14ac:dyDescent="0.25">
      <c r="A357" s="4"/>
      <c r="B357" s="2" t="s">
        <v>1036</v>
      </c>
    </row>
    <row r="358" spans="1:28" x14ac:dyDescent="0.25">
      <c r="B358" s="2" t="str">
        <f>"Segundo Decreto nº 16.536, de 26 de dezembro de 2024, para "&amp;Listas!$D$17&amp;" :"</f>
        <v>Segundo Decreto nº 16.536, de 26 de dezembro de 2024, para Ribas do Rio Pardo :</v>
      </c>
    </row>
    <row r="359" spans="1:28" x14ac:dyDescent="0.25">
      <c r="B359" s="2" t="s">
        <v>15</v>
      </c>
      <c r="E359" s="2" t="s">
        <v>357</v>
      </c>
      <c r="F359" s="2" t="s">
        <v>202</v>
      </c>
    </row>
    <row r="360" spans="1:28" x14ac:dyDescent="0.25">
      <c r="B360" s="2" t="s">
        <v>248</v>
      </c>
      <c r="E360" s="238">
        <f>Listas!$D$19</f>
        <v>200</v>
      </c>
    </row>
    <row r="361" spans="1:28" x14ac:dyDescent="0.25">
      <c r="B361" s="2" t="s">
        <v>252</v>
      </c>
      <c r="E361" s="238">
        <f>E360/2</f>
        <v>100</v>
      </c>
      <c r="F361" s="2">
        <f>N332</f>
        <v>3</v>
      </c>
    </row>
    <row r="362" spans="1:28" x14ac:dyDescent="0.25">
      <c r="B362" s="2" t="s">
        <v>255</v>
      </c>
      <c r="E362" s="238">
        <f>E361</f>
        <v>100</v>
      </c>
      <c r="F362" s="2">
        <f>F361-1</f>
        <v>2</v>
      </c>
    </row>
    <row r="364" spans="1:28" x14ac:dyDescent="0.25">
      <c r="B364" s="4" t="s">
        <v>360</v>
      </c>
      <c r="C364" s="2" t="s">
        <v>15</v>
      </c>
      <c r="D364" s="4"/>
      <c r="E364" s="4"/>
      <c r="F364" s="4" t="s">
        <v>321</v>
      </c>
      <c r="G364" s="4"/>
      <c r="H364" s="4" t="s">
        <v>434</v>
      </c>
      <c r="I364" s="4"/>
      <c r="J364" s="4" t="s">
        <v>435</v>
      </c>
      <c r="L364" s="4" t="s">
        <v>323</v>
      </c>
      <c r="N364" s="338" t="s">
        <v>329</v>
      </c>
    </row>
    <row r="365" spans="1:28" x14ac:dyDescent="0.25">
      <c r="B365" s="4"/>
      <c r="C365" s="4"/>
      <c r="D365" s="4"/>
      <c r="E365" s="4"/>
      <c r="F365" s="4"/>
      <c r="G365" s="4"/>
      <c r="H365" s="4" t="s">
        <v>363</v>
      </c>
      <c r="I365" s="4"/>
      <c r="J365" s="4" t="s">
        <v>330</v>
      </c>
      <c r="N365" s="338" t="s">
        <v>436</v>
      </c>
      <c r="P365" s="84"/>
      <c r="Q365" s="84"/>
      <c r="R365" s="84"/>
      <c r="S365" s="84"/>
      <c r="T365" s="84"/>
      <c r="U365" s="84"/>
      <c r="V365" s="84"/>
      <c r="W365" s="84"/>
      <c r="X365" s="84"/>
      <c r="Y365" s="84"/>
      <c r="Z365" s="84"/>
      <c r="AA365" s="84"/>
      <c r="AB365" s="84"/>
    </row>
    <row r="366" spans="1:28" x14ac:dyDescent="0.25">
      <c r="B366" s="4" t="s">
        <v>177</v>
      </c>
      <c r="C366" s="2" t="str">
        <f ca="1">IFERROR(VLOOKUP(B366,MO_Matriz,2,0),"")</f>
        <v>Topógrafo</v>
      </c>
      <c r="F366" s="4" t="str">
        <f ca="1">IFERROR(VLOOKUP(B366,MO_Matriz,3,0),"")</f>
        <v>T</v>
      </c>
      <c r="H366" s="315">
        <f>$E$361*$F$361*$L$366</f>
        <v>300</v>
      </c>
      <c r="I366" s="315"/>
      <c r="J366" s="315">
        <f>$E$362*$F$362*L366</f>
        <v>200</v>
      </c>
      <c r="L366" s="2">
        <f>J332</f>
        <v>1</v>
      </c>
      <c r="N366" s="339">
        <f>(H366+J366)*L366</f>
        <v>500</v>
      </c>
      <c r="P366" s="84"/>
      <c r="Q366" s="84"/>
      <c r="R366" s="84"/>
      <c r="S366" s="84"/>
      <c r="T366" s="84"/>
      <c r="U366" s="84"/>
      <c r="V366" s="84"/>
      <c r="W366" s="84"/>
      <c r="X366" s="84"/>
      <c r="Y366" s="84"/>
      <c r="Z366" s="84"/>
      <c r="AA366" s="84"/>
      <c r="AB366" s="84"/>
    </row>
    <row r="367" spans="1:28" x14ac:dyDescent="0.25">
      <c r="M367" s="340" t="s">
        <v>329</v>
      </c>
      <c r="N367" s="339">
        <f>SUM(N366:N366)</f>
        <v>500</v>
      </c>
      <c r="P367" s="84"/>
      <c r="Q367" s="84"/>
      <c r="R367" s="84"/>
      <c r="S367" s="84"/>
      <c r="T367" s="84"/>
      <c r="U367" s="84"/>
      <c r="V367" s="84"/>
      <c r="W367" s="84"/>
      <c r="X367" s="84"/>
      <c r="Y367" s="84"/>
      <c r="Z367" s="84"/>
      <c r="AA367" s="84"/>
      <c r="AB367" s="84"/>
    </row>
    <row r="368" spans="1:28" x14ac:dyDescent="0.25">
      <c r="A368" s="4" t="s">
        <v>459</v>
      </c>
      <c r="B368" s="2" t="s">
        <v>437</v>
      </c>
      <c r="P368" s="84"/>
      <c r="Q368" s="84"/>
      <c r="R368" s="84"/>
      <c r="S368" s="84"/>
      <c r="T368" s="84"/>
      <c r="U368" s="84"/>
      <c r="V368" s="84"/>
      <c r="W368" s="84"/>
      <c r="X368" s="84"/>
      <c r="Y368" s="84"/>
      <c r="Z368" s="84"/>
      <c r="AA368" s="84"/>
      <c r="AB368" s="84"/>
    </row>
    <row r="369" spans="1:28" x14ac:dyDescent="0.25">
      <c r="B369" s="2" t="s">
        <v>438</v>
      </c>
      <c r="P369" s="84"/>
      <c r="Q369" s="84"/>
      <c r="R369" s="84"/>
      <c r="S369" s="84"/>
      <c r="T369" s="84"/>
      <c r="U369" s="84"/>
      <c r="V369" s="84"/>
      <c r="W369" s="84"/>
      <c r="X369" s="84"/>
      <c r="Y369" s="84"/>
      <c r="Z369" s="84"/>
      <c r="AA369" s="84"/>
      <c r="AB369" s="84"/>
    </row>
    <row r="370" spans="1:28" x14ac:dyDescent="0.25">
      <c r="P370" s="84"/>
      <c r="Q370" s="84"/>
      <c r="R370" s="84"/>
      <c r="S370" s="84"/>
      <c r="T370" s="84"/>
      <c r="U370" s="84"/>
      <c r="V370" s="84"/>
      <c r="W370" s="84"/>
      <c r="X370" s="84"/>
      <c r="Y370" s="84"/>
      <c r="Z370" s="84"/>
      <c r="AA370" s="84"/>
      <c r="AB370" s="84"/>
    </row>
    <row r="371" spans="1:28" x14ac:dyDescent="0.25">
      <c r="A371" s="4" t="s">
        <v>353</v>
      </c>
      <c r="B371" s="2" t="s">
        <v>354</v>
      </c>
      <c r="P371" s="84"/>
      <c r="Q371" s="84"/>
      <c r="R371" s="84"/>
      <c r="S371" s="84"/>
      <c r="T371" s="84"/>
      <c r="U371" s="84"/>
      <c r="V371" s="84"/>
      <c r="W371" s="84"/>
      <c r="X371" s="84"/>
      <c r="Y371" s="84"/>
      <c r="Z371" s="84"/>
      <c r="AA371" s="84"/>
      <c r="AB371" s="84"/>
    </row>
    <row r="372" spans="1:28" x14ac:dyDescent="0.25">
      <c r="A372" s="4" t="s">
        <v>385</v>
      </c>
      <c r="B372" s="2" t="s">
        <v>317</v>
      </c>
    </row>
    <row r="373" spans="1:28" x14ac:dyDescent="0.25">
      <c r="B373" s="2" t="s">
        <v>439</v>
      </c>
    </row>
    <row r="375" spans="1:28" x14ac:dyDescent="0.25">
      <c r="A375" s="4" t="s">
        <v>386</v>
      </c>
      <c r="B375" s="2" t="s">
        <v>366</v>
      </c>
    </row>
    <row r="376" spans="1:28" x14ac:dyDescent="0.25">
      <c r="A376" s="4"/>
    </row>
    <row r="377" spans="1:28" x14ac:dyDescent="0.25">
      <c r="A377" s="4"/>
      <c r="B377" s="2" t="s">
        <v>367</v>
      </c>
      <c r="D377" s="2" t="s">
        <v>237</v>
      </c>
      <c r="F377" s="4" t="s">
        <v>387</v>
      </c>
      <c r="H377" s="4" t="s">
        <v>13</v>
      </c>
      <c r="I377" s="4" t="s">
        <v>414</v>
      </c>
      <c r="K377" s="2" t="s">
        <v>15</v>
      </c>
      <c r="L377" s="84"/>
      <c r="M377" s="84"/>
      <c r="N377" s="4" t="s">
        <v>368</v>
      </c>
      <c r="O377" s="4" t="s">
        <v>357</v>
      </c>
    </row>
    <row r="378" spans="1:28" x14ac:dyDescent="0.25">
      <c r="A378" s="4"/>
      <c r="B378" s="2" t="s">
        <v>245</v>
      </c>
      <c r="D378" s="2" t="s">
        <v>245</v>
      </c>
      <c r="F378" s="238">
        <f>Listas!$J$3</f>
        <v>60</v>
      </c>
      <c r="H378" s="238">
        <f>Listas!$L$3</f>
        <v>103</v>
      </c>
      <c r="I378" s="316">
        <f>H378/H381</f>
        <v>1</v>
      </c>
      <c r="K378" s="2" t="s">
        <v>369</v>
      </c>
      <c r="L378" s="84"/>
      <c r="M378" s="84"/>
      <c r="N378" s="344" t="str">
        <f>Listas!$D$21</f>
        <v>ABRIL/25</v>
      </c>
      <c r="O378" s="84">
        <f>Listas!$D$23</f>
        <v>303.67500000000001</v>
      </c>
    </row>
    <row r="379" spans="1:28" x14ac:dyDescent="0.25">
      <c r="A379" s="4"/>
      <c r="D379" s="2" t="s">
        <v>251</v>
      </c>
      <c r="F379" s="238">
        <f>Listas!$J$4</f>
        <v>50</v>
      </c>
      <c r="H379" s="238">
        <f>Listas!$L$4</f>
        <v>0</v>
      </c>
      <c r="I379" s="316">
        <f>H379/H381</f>
        <v>0</v>
      </c>
      <c r="K379" s="2" t="s">
        <v>369</v>
      </c>
      <c r="L379" s="84"/>
      <c r="M379" s="84"/>
      <c r="N379" s="344" t="str">
        <f>Listas!$D$21</f>
        <v>ABRIL/25</v>
      </c>
      <c r="O379" s="84">
        <f>Listas!$D$23</f>
        <v>303.67500000000001</v>
      </c>
    </row>
    <row r="380" spans="1:28" x14ac:dyDescent="0.25">
      <c r="A380" s="4"/>
      <c r="D380" s="2" t="s">
        <v>254</v>
      </c>
      <c r="F380" s="238">
        <f>Listas!$J$5</f>
        <v>40</v>
      </c>
      <c r="H380" s="238">
        <f>Listas!$L$5</f>
        <v>0</v>
      </c>
      <c r="I380" s="316">
        <f>H380/H381</f>
        <v>0</v>
      </c>
      <c r="K380" s="2" t="s">
        <v>370</v>
      </c>
      <c r="L380" s="84"/>
      <c r="M380" s="84"/>
      <c r="N380" s="337" t="s">
        <v>259</v>
      </c>
      <c r="O380" s="345">
        <f>O379/O378-1</f>
        <v>0</v>
      </c>
    </row>
    <row r="381" spans="1:28" x14ac:dyDescent="0.25">
      <c r="A381" s="4"/>
      <c r="G381" s="340" t="s">
        <v>329</v>
      </c>
      <c r="H381" s="238">
        <f>SUM(H378:H380)</f>
        <v>103</v>
      </c>
      <c r="I381" s="316">
        <f>SUM(I378:I380)</f>
        <v>1</v>
      </c>
      <c r="K381" s="2" t="s">
        <v>867</v>
      </c>
      <c r="L381" s="84"/>
      <c r="M381" s="84"/>
      <c r="N381" s="346">
        <v>45839</v>
      </c>
      <c r="O381" s="347">
        <v>36.9</v>
      </c>
    </row>
    <row r="382" spans="1:28" x14ac:dyDescent="0.25">
      <c r="A382" s="4"/>
      <c r="K382" s="2" t="s">
        <v>868</v>
      </c>
      <c r="L382" s="84"/>
      <c r="M382" s="84"/>
      <c r="N382" s="346">
        <v>45839</v>
      </c>
      <c r="O382" s="347">
        <f>Listas!$D$26</f>
        <v>0</v>
      </c>
    </row>
    <row r="383" spans="1:28" x14ac:dyDescent="0.25">
      <c r="A383" s="4"/>
      <c r="F383" s="4"/>
      <c r="H383" s="4"/>
      <c r="I383" s="4"/>
      <c r="K383" s="2" t="s">
        <v>869</v>
      </c>
      <c r="L383" s="84"/>
      <c r="M383" s="84"/>
      <c r="N383" s="344" t="s">
        <v>1155</v>
      </c>
      <c r="O383" s="315">
        <f>ROUND(O381*(1+O380), 2)</f>
        <v>36.9</v>
      </c>
    </row>
    <row r="384" spans="1:28" x14ac:dyDescent="0.25">
      <c r="A384" s="4"/>
      <c r="F384" s="238"/>
      <c r="H384" s="238"/>
      <c r="I384" s="316"/>
      <c r="K384" s="2" t="s">
        <v>870</v>
      </c>
      <c r="L384" s="84"/>
      <c r="M384" s="84"/>
      <c r="N384" s="344" t="s">
        <v>1155</v>
      </c>
      <c r="O384" s="315">
        <f>ROUND(O382*(1+O380), 2)</f>
        <v>0</v>
      </c>
    </row>
    <row r="385" spans="1:29" x14ac:dyDescent="0.25">
      <c r="A385" s="4"/>
      <c r="H385" s="238"/>
      <c r="I385" s="316"/>
      <c r="L385" s="84"/>
      <c r="M385" s="84"/>
      <c r="N385" s="344"/>
      <c r="O385" s="315"/>
    </row>
    <row r="386" spans="1:29" x14ac:dyDescent="0.25">
      <c r="A386" s="4"/>
      <c r="L386" s="84"/>
      <c r="M386" s="84"/>
      <c r="N386" s="344"/>
      <c r="O386" s="315"/>
    </row>
    <row r="387" spans="1:29" x14ac:dyDescent="0.25">
      <c r="B387" s="2" t="s">
        <v>360</v>
      </c>
      <c r="C387" s="2" t="s">
        <v>15</v>
      </c>
      <c r="G387" s="4" t="s">
        <v>202</v>
      </c>
      <c r="I387" s="4" t="s">
        <v>401</v>
      </c>
      <c r="K387" s="4" t="s">
        <v>402</v>
      </c>
      <c r="M387" s="4" t="s">
        <v>371</v>
      </c>
      <c r="O387" s="4" t="s">
        <v>372</v>
      </c>
      <c r="P387" s="4" t="s">
        <v>373</v>
      </c>
      <c r="Q387" s="2" t="s">
        <v>236</v>
      </c>
      <c r="S387" s="4" t="s">
        <v>183</v>
      </c>
      <c r="T387" s="4"/>
      <c r="U387" s="4" t="s">
        <v>374</v>
      </c>
      <c r="V387" s="4"/>
      <c r="W387" s="4" t="s">
        <v>375</v>
      </c>
      <c r="Y387" s="4" t="s">
        <v>376</v>
      </c>
      <c r="Z387" s="4"/>
      <c r="AA387" s="4" t="s">
        <v>377</v>
      </c>
      <c r="AB387" s="4" t="s">
        <v>388</v>
      </c>
      <c r="AC387" s="338" t="s">
        <v>362</v>
      </c>
    </row>
    <row r="388" spans="1:29" x14ac:dyDescent="0.25">
      <c r="G388" s="4" t="s">
        <v>363</v>
      </c>
      <c r="I388" s="4" t="s">
        <v>330</v>
      </c>
      <c r="K388" s="4" t="s">
        <v>331</v>
      </c>
      <c r="M388" s="4" t="s">
        <v>403</v>
      </c>
      <c r="O388" s="4" t="s">
        <v>372</v>
      </c>
      <c r="P388" s="4" t="s">
        <v>333</v>
      </c>
      <c r="Q388" s="4"/>
      <c r="S388" s="4" t="s">
        <v>378</v>
      </c>
      <c r="T388" s="4"/>
      <c r="U388" s="4" t="s">
        <v>407</v>
      </c>
      <c r="V388" s="4"/>
      <c r="W388" s="4" t="s">
        <v>389</v>
      </c>
      <c r="Y388" s="4" t="s">
        <v>413</v>
      </c>
      <c r="Z388" s="4"/>
      <c r="AA388" s="4" t="s">
        <v>410</v>
      </c>
      <c r="AB388" s="4" t="s">
        <v>411</v>
      </c>
      <c r="AC388" s="338" t="s">
        <v>412</v>
      </c>
    </row>
    <row r="389" spans="1:29" x14ac:dyDescent="0.25">
      <c r="B389" s="43" t="str">
        <f>B338</f>
        <v>E8891</v>
      </c>
      <c r="C389" s="2" t="str">
        <f ca="1">IFERROR(VLOOKUP(B389,Veiculo_Equip_Matriz,2,0),"")</f>
        <v>Veículo leve picape 4 x 4 com capacidade de 1,10 t - 147 kW (sem motorista)</v>
      </c>
      <c r="G389" s="2">
        <v>1</v>
      </c>
      <c r="I389" s="238">
        <f>H381</f>
        <v>103</v>
      </c>
      <c r="K389" s="238">
        <f>F378</f>
        <v>60</v>
      </c>
      <c r="M389" s="2">
        <f>I389/K389</f>
        <v>1.7166666666666666</v>
      </c>
      <c r="N389" s="84"/>
      <c r="O389" s="84">
        <v>2</v>
      </c>
      <c r="P389" s="84">
        <v>1</v>
      </c>
      <c r="Q389" s="4" t="str">
        <f>B338</f>
        <v>E8891</v>
      </c>
      <c r="S389" s="238">
        <f ca="1">IFERROR(VLOOKUP(Q389,Veiculo_Equip_Matriz,4,0),"")</f>
        <v>79.599999999999994</v>
      </c>
      <c r="U389" s="315">
        <f ca="1">G389*M389*O389*P389*S389</f>
        <v>273.29333333333329</v>
      </c>
      <c r="W389" s="2">
        <f>((INT(M389/4))*30)/60</f>
        <v>0</v>
      </c>
      <c r="Y389" s="2">
        <f>M389+W389</f>
        <v>1.7166666666666666</v>
      </c>
      <c r="AA389" s="315">
        <v>0</v>
      </c>
      <c r="AB389" s="315">
        <f>O383*O389</f>
        <v>73.8</v>
      </c>
      <c r="AC389" s="339">
        <f ca="1">TRUNC(U389+AA389+AB389,2)</f>
        <v>347.09</v>
      </c>
    </row>
    <row r="390" spans="1:29" x14ac:dyDescent="0.25">
      <c r="AB390" s="340" t="s">
        <v>329</v>
      </c>
      <c r="AC390" s="339">
        <f ca="1">AC389</f>
        <v>347.09</v>
      </c>
    </row>
    <row r="391" spans="1:29" x14ac:dyDescent="0.25">
      <c r="A391" s="4" t="s">
        <v>355</v>
      </c>
      <c r="B391" s="2" t="s">
        <v>356</v>
      </c>
    </row>
    <row r="392" spans="1:29" x14ac:dyDescent="0.25">
      <c r="B392" s="2" t="s">
        <v>15</v>
      </c>
      <c r="F392" s="4" t="s">
        <v>357</v>
      </c>
    </row>
    <row r="393" spans="1:29" x14ac:dyDescent="0.25">
      <c r="B393" s="2" t="s">
        <v>317</v>
      </c>
      <c r="F393" s="315">
        <f ca="1">U334</f>
        <v>1432.2600000000002</v>
      </c>
    </row>
    <row r="394" spans="1:29" x14ac:dyDescent="0.25">
      <c r="B394" s="2" t="s">
        <v>276</v>
      </c>
      <c r="F394" s="315">
        <f ca="1">K339</f>
        <v>264</v>
      </c>
    </row>
    <row r="395" spans="1:29" x14ac:dyDescent="0.25">
      <c r="B395" s="2" t="s">
        <v>342</v>
      </c>
      <c r="F395" s="315">
        <v>0</v>
      </c>
    </row>
    <row r="396" spans="1:29" x14ac:dyDescent="0.25">
      <c r="B396" s="2" t="s">
        <v>343</v>
      </c>
      <c r="F396" s="315">
        <f>K353</f>
        <v>171.67</v>
      </c>
    </row>
    <row r="397" spans="1:29" x14ac:dyDescent="0.25">
      <c r="B397" s="2" t="s">
        <v>345</v>
      </c>
      <c r="F397" s="315">
        <f>N367</f>
        <v>500</v>
      </c>
    </row>
    <row r="398" spans="1:29" x14ac:dyDescent="0.25">
      <c r="B398" s="2" t="s">
        <v>516</v>
      </c>
      <c r="F398" s="315">
        <f ca="1">AC390</f>
        <v>347.09</v>
      </c>
    </row>
    <row r="399" spans="1:29" x14ac:dyDescent="0.25">
      <c r="E399" s="340" t="s">
        <v>329</v>
      </c>
      <c r="F399" s="339">
        <f ca="1">SUM(F393:F398)</f>
        <v>2715.0200000000004</v>
      </c>
    </row>
    <row r="401" spans="1:21" x14ac:dyDescent="0.25">
      <c r="A401" s="350" t="s">
        <v>733</v>
      </c>
      <c r="B401" s="350" t="s">
        <v>736</v>
      </c>
      <c r="C401" s="350"/>
      <c r="D401" s="350"/>
      <c r="E401" s="350"/>
      <c r="F401" s="350"/>
    </row>
    <row r="402" spans="1:21" x14ac:dyDescent="0.25">
      <c r="A402" s="4" t="s">
        <v>61</v>
      </c>
      <c r="B402" s="2" t="s">
        <v>338</v>
      </c>
    </row>
    <row r="403" spans="1:21" x14ac:dyDescent="0.25">
      <c r="B403" s="2" t="s">
        <v>15</v>
      </c>
      <c r="G403" s="2" t="s">
        <v>325</v>
      </c>
      <c r="I403" s="2" t="s">
        <v>381</v>
      </c>
    </row>
    <row r="404" spans="1:21" x14ac:dyDescent="0.25">
      <c r="B404" s="2" t="s">
        <v>737</v>
      </c>
      <c r="G404" s="2">
        <f>M327</f>
        <v>3</v>
      </c>
      <c r="I404" s="2">
        <f>ROUNDUP(G404*Listas!$E$5,0)</f>
        <v>4</v>
      </c>
    </row>
    <row r="405" spans="1:21" x14ac:dyDescent="0.25">
      <c r="B405" s="2" t="s">
        <v>382</v>
      </c>
      <c r="G405" s="2">
        <v>2</v>
      </c>
      <c r="I405" s="2">
        <f>ROUNDUP(G405*Listas!$E$5,0)</f>
        <v>3</v>
      </c>
    </row>
    <row r="406" spans="1:21" x14ac:dyDescent="0.25">
      <c r="B406" s="2" t="s">
        <v>479</v>
      </c>
      <c r="G406" s="238">
        <f>SUM(G404:G405)</f>
        <v>5</v>
      </c>
      <c r="I406" s="2">
        <f>I404+I405</f>
        <v>7</v>
      </c>
    </row>
    <row r="408" spans="1:21" x14ac:dyDescent="0.25">
      <c r="B408" s="4" t="s">
        <v>360</v>
      </c>
      <c r="C408" s="2" t="s">
        <v>15</v>
      </c>
      <c r="F408" s="4" t="s">
        <v>321</v>
      </c>
      <c r="G408" s="4"/>
      <c r="H408" s="4" t="s">
        <v>322</v>
      </c>
      <c r="I408" s="4"/>
      <c r="J408" s="4" t="s">
        <v>323</v>
      </c>
      <c r="K408" s="4"/>
      <c r="L408" s="4" t="s">
        <v>324</v>
      </c>
      <c r="M408" s="4"/>
      <c r="N408" s="4" t="s">
        <v>325</v>
      </c>
      <c r="O408" s="4"/>
      <c r="P408" s="4" t="s">
        <v>326</v>
      </c>
      <c r="Q408" s="4"/>
      <c r="R408" s="4" t="s">
        <v>327</v>
      </c>
      <c r="S408" s="4"/>
      <c r="T408" s="4" t="s">
        <v>328</v>
      </c>
      <c r="U408" s="4" t="s">
        <v>329</v>
      </c>
    </row>
    <row r="409" spans="1:21" x14ac:dyDescent="0.25">
      <c r="B409" s="4"/>
      <c r="F409" s="4"/>
      <c r="G409" s="4"/>
      <c r="H409" s="4" t="s">
        <v>330</v>
      </c>
      <c r="I409" s="4"/>
      <c r="J409" s="4" t="s">
        <v>331</v>
      </c>
      <c r="K409" s="4"/>
      <c r="L409" s="4" t="s">
        <v>332</v>
      </c>
      <c r="M409" s="4"/>
      <c r="N409" s="4" t="s">
        <v>333</v>
      </c>
      <c r="O409" s="4"/>
      <c r="P409" s="4" t="s">
        <v>334</v>
      </c>
      <c r="Q409" s="4"/>
      <c r="R409" s="4" t="s">
        <v>335</v>
      </c>
      <c r="S409" s="4"/>
      <c r="T409" s="4" t="s">
        <v>336</v>
      </c>
      <c r="U409" s="4" t="s">
        <v>337</v>
      </c>
    </row>
    <row r="410" spans="1:21" x14ac:dyDescent="0.25">
      <c r="B410" s="4" t="s">
        <v>112</v>
      </c>
      <c r="C410" s="2" t="str">
        <f ca="1">IFERROR(VLOOKUP(B410,MO_Matriz,2,0),"")</f>
        <v>Engenheiro de projetos júnior</v>
      </c>
      <c r="F410" s="4" t="str">
        <f ca="1">IFERROR(VLOOKUP(B410,MO_Matriz,3,0),"")</f>
        <v>S</v>
      </c>
      <c r="H410" s="2">
        <v>1</v>
      </c>
      <c r="J410" s="2">
        <v>1</v>
      </c>
      <c r="L410" s="2">
        <f>Listas!$B$6</f>
        <v>7.333333333333333</v>
      </c>
      <c r="N410" s="2">
        <f>$G$405</f>
        <v>2</v>
      </c>
      <c r="P410" s="2">
        <f>H410*J410*L410*N410</f>
        <v>14.666666666666666</v>
      </c>
      <c r="R410" s="2">
        <f>P410/220</f>
        <v>6.6666666666666666E-2</v>
      </c>
      <c r="T410" s="315">
        <f ca="1">IFERROR(VLOOKUP(B410,MO_Matriz,5,0),"")</f>
        <v>24288.81</v>
      </c>
      <c r="U410" s="315">
        <f ca="1">TRUNC(R410*T410,2)</f>
        <v>1619.25</v>
      </c>
    </row>
    <row r="411" spans="1:21" x14ac:dyDescent="0.25">
      <c r="B411" s="4" t="s">
        <v>177</v>
      </c>
      <c r="C411" s="2" t="str">
        <f ca="1">IFERROR(VLOOKUP(B411,MO_Matriz,2,0),"")</f>
        <v>Topógrafo</v>
      </c>
      <c r="F411" s="4" t="str">
        <f ca="1">IFERROR(VLOOKUP(B411,MO_Matriz,3,0),"")</f>
        <v>T</v>
      </c>
      <c r="H411" s="2">
        <v>1</v>
      </c>
      <c r="J411" s="2">
        <v>1</v>
      </c>
      <c r="L411" s="2">
        <f>Listas!$B$6</f>
        <v>7.333333333333333</v>
      </c>
      <c r="N411" s="2">
        <f>$G$405</f>
        <v>2</v>
      </c>
      <c r="P411" s="2">
        <f>H411*J411*L411*N411</f>
        <v>14.666666666666666</v>
      </c>
      <c r="R411" s="2">
        <f>P411/220</f>
        <v>6.6666666666666666E-2</v>
      </c>
      <c r="T411" s="315">
        <f ca="1">IFERROR(VLOOKUP(B411,MO_Matriz,5,0),"")</f>
        <v>5810.76</v>
      </c>
      <c r="U411" s="315">
        <f t="shared" ref="U411:U412" ca="1" si="9">TRUNC(R411*T411,2)</f>
        <v>387.38</v>
      </c>
    </row>
    <row r="412" spans="1:21" x14ac:dyDescent="0.25">
      <c r="B412" s="4" t="s">
        <v>181</v>
      </c>
      <c r="C412" s="2" t="str">
        <f ca="1">IFERROR(VLOOKUP(B412,MO_Matriz,2,0),"")</f>
        <v>Desenhista</v>
      </c>
      <c r="F412" s="4" t="str">
        <f ca="1">IFERROR(VLOOKUP(B412,MO_Matriz,3,0),"")</f>
        <v>T</v>
      </c>
      <c r="H412" s="2">
        <v>1</v>
      </c>
      <c r="J412" s="2">
        <v>1</v>
      </c>
      <c r="L412" s="2">
        <f>Listas!$B$6</f>
        <v>7.333333333333333</v>
      </c>
      <c r="N412" s="2">
        <f>$G$405</f>
        <v>2</v>
      </c>
      <c r="P412" s="2">
        <f>H412*J412*L412*N412</f>
        <v>14.666666666666666</v>
      </c>
      <c r="R412" s="2">
        <f>P412/220</f>
        <v>6.6666666666666666E-2</v>
      </c>
      <c r="T412" s="315">
        <f ca="1">IFERROR(VLOOKUP(B412,MO_Matriz,5,0),"")</f>
        <v>7821.6815999999999</v>
      </c>
      <c r="U412" s="315">
        <f t="shared" ca="1" si="9"/>
        <v>521.44000000000005</v>
      </c>
    </row>
    <row r="413" spans="1:21" x14ac:dyDescent="0.25">
      <c r="T413" s="340" t="s">
        <v>329</v>
      </c>
      <c r="U413" s="339">
        <f ca="1">SUM(U410:U412)</f>
        <v>2528.0700000000002</v>
      </c>
    </row>
    <row r="414" spans="1:21" x14ac:dyDescent="0.25">
      <c r="A414" s="337" t="s">
        <v>339</v>
      </c>
      <c r="B414" s="2" t="s">
        <v>340</v>
      </c>
    </row>
    <row r="415" spans="1:21" x14ac:dyDescent="0.25">
      <c r="B415" s="2" t="s">
        <v>341</v>
      </c>
    </row>
    <row r="417" spans="1:15" x14ac:dyDescent="0.25">
      <c r="A417" s="4" t="s">
        <v>348</v>
      </c>
      <c r="B417" s="2" t="s">
        <v>349</v>
      </c>
    </row>
    <row r="418" spans="1:15" x14ac:dyDescent="0.25">
      <c r="A418" s="4" t="s">
        <v>451</v>
      </c>
      <c r="B418" s="2" t="s">
        <v>452</v>
      </c>
    </row>
    <row r="419" spans="1:15" x14ac:dyDescent="0.25">
      <c r="B419" s="4" t="s">
        <v>360</v>
      </c>
      <c r="C419" s="2" t="s">
        <v>15</v>
      </c>
      <c r="F419" s="4" t="s">
        <v>321</v>
      </c>
      <c r="G419" s="4"/>
      <c r="H419" s="4" t="s">
        <v>453</v>
      </c>
      <c r="I419" s="4"/>
      <c r="J419" s="4" t="s">
        <v>454</v>
      </c>
    </row>
    <row r="420" spans="1:15" x14ac:dyDescent="0.25">
      <c r="B420" s="4" t="str">
        <f>B410</f>
        <v>P8065</v>
      </c>
      <c r="C420" s="2" t="str">
        <f ca="1">IFERROR(VLOOKUP(B420,MO_Matriz,2,0),"")</f>
        <v>Engenheiro de projetos júnior</v>
      </c>
      <c r="F420" s="4" t="str">
        <f ca="1">IFERROR(VLOOKUP(B420,MO_Matriz,3,0),"")</f>
        <v>S</v>
      </c>
      <c r="H420" s="2" t="s">
        <v>455</v>
      </c>
      <c r="J420" s="2">
        <v>1</v>
      </c>
    </row>
    <row r="421" spans="1:15" x14ac:dyDescent="0.25">
      <c r="B421" s="4" t="str">
        <f t="shared" ref="B421:B422" si="10">B411</f>
        <v>P8163</v>
      </c>
      <c r="C421" s="2" t="str">
        <f ca="1">IFERROR(VLOOKUP(B421,MO_Matriz,2,0),"")</f>
        <v>Topógrafo</v>
      </c>
      <c r="F421" s="4" t="str">
        <f ca="1">IFERROR(VLOOKUP(B421,MO_Matriz,3,0),"")</f>
        <v>T</v>
      </c>
      <c r="H421" s="2" t="s">
        <v>455</v>
      </c>
      <c r="J421" s="2">
        <v>1</v>
      </c>
    </row>
    <row r="422" spans="1:15" x14ac:dyDescent="0.25">
      <c r="B422" s="4" t="str">
        <f t="shared" si="10"/>
        <v>P9848</v>
      </c>
      <c r="C422" s="2" t="str">
        <f ca="1">IFERROR(VLOOKUP(B422,MO_Matriz,2,0),"")</f>
        <v>Desenhista</v>
      </c>
      <c r="F422" s="4" t="str">
        <f ca="1">IFERROR(VLOOKUP(B422,MO_Matriz,3,0),"")</f>
        <v>T</v>
      </c>
      <c r="H422" s="2" t="s">
        <v>455</v>
      </c>
      <c r="J422" s="2">
        <v>1</v>
      </c>
    </row>
    <row r="423" spans="1:15" x14ac:dyDescent="0.25">
      <c r="I423" s="340" t="s">
        <v>329</v>
      </c>
      <c r="J423" s="340">
        <f>SUM(J420:J422)</f>
        <v>3</v>
      </c>
    </row>
    <row r="425" spans="1:15" x14ac:dyDescent="0.25">
      <c r="A425" s="4" t="s">
        <v>456</v>
      </c>
      <c r="B425" s="2" t="s">
        <v>457</v>
      </c>
    </row>
    <row r="426" spans="1:15" x14ac:dyDescent="0.25">
      <c r="A426" s="4"/>
      <c r="B426" s="2" t="s">
        <v>1033</v>
      </c>
    </row>
    <row r="427" spans="1:15" x14ac:dyDescent="0.25">
      <c r="A427" s="4"/>
    </row>
    <row r="428" spans="1:15" x14ac:dyDescent="0.25">
      <c r="A428" s="4" t="s">
        <v>350</v>
      </c>
      <c r="B428" s="2" t="s">
        <v>351</v>
      </c>
    </row>
    <row r="429" spans="1:15" x14ac:dyDescent="0.25">
      <c r="B429" s="2" t="s">
        <v>344</v>
      </c>
    </row>
    <row r="431" spans="1:15" x14ac:dyDescent="0.25">
      <c r="A431" s="4" t="s">
        <v>197</v>
      </c>
      <c r="B431" s="2" t="s">
        <v>352</v>
      </c>
    </row>
    <row r="432" spans="1:15" s="334" customFormat="1" ht="21" x14ac:dyDescent="0.25">
      <c r="A432" s="2"/>
      <c r="B432" s="2" t="s">
        <v>346</v>
      </c>
      <c r="C432" s="2"/>
      <c r="D432" s="2"/>
      <c r="E432" s="2"/>
      <c r="F432" s="2"/>
      <c r="G432" s="2"/>
      <c r="H432" s="2"/>
      <c r="I432" s="2"/>
      <c r="J432" s="2"/>
      <c r="K432" s="2"/>
      <c r="L432" s="2"/>
      <c r="M432" s="2"/>
      <c r="N432" s="2"/>
      <c r="O432" s="2"/>
    </row>
    <row r="433" spans="1:15" s="28" customFormat="1" ht="17.25" x14ac:dyDescent="0.25">
      <c r="A433" s="2"/>
      <c r="B433" s="2"/>
      <c r="C433" s="2"/>
      <c r="D433" s="2"/>
      <c r="E433" s="2"/>
      <c r="F433" s="2"/>
      <c r="G433" s="2"/>
      <c r="H433" s="2"/>
      <c r="I433" s="2"/>
      <c r="J433" s="2"/>
      <c r="K433" s="2"/>
      <c r="L433" s="2"/>
      <c r="M433" s="2"/>
      <c r="N433" s="2"/>
      <c r="O433" s="2"/>
    </row>
    <row r="434" spans="1:15" x14ac:dyDescent="0.25">
      <c r="A434" s="4" t="s">
        <v>353</v>
      </c>
      <c r="B434" s="2" t="s">
        <v>354</v>
      </c>
    </row>
    <row r="435" spans="1:15" x14ac:dyDescent="0.25">
      <c r="B435" s="2" t="s">
        <v>347</v>
      </c>
    </row>
    <row r="437" spans="1:15" x14ac:dyDescent="0.25">
      <c r="A437" s="4" t="s">
        <v>355</v>
      </c>
      <c r="B437" s="2" t="s">
        <v>356</v>
      </c>
    </row>
    <row r="438" spans="1:15" x14ac:dyDescent="0.25">
      <c r="B438" s="2" t="s">
        <v>15</v>
      </c>
      <c r="F438" s="4" t="s">
        <v>357</v>
      </c>
    </row>
    <row r="439" spans="1:15" x14ac:dyDescent="0.25">
      <c r="B439" s="2" t="s">
        <v>317</v>
      </c>
      <c r="F439" s="315">
        <f ca="1">U413</f>
        <v>2528.0700000000002</v>
      </c>
    </row>
    <row r="440" spans="1:15" x14ac:dyDescent="0.25">
      <c r="B440" s="2" t="s">
        <v>276</v>
      </c>
      <c r="F440" s="315">
        <v>0</v>
      </c>
    </row>
    <row r="441" spans="1:15" x14ac:dyDescent="0.25">
      <c r="B441" s="2" t="s">
        <v>342</v>
      </c>
      <c r="F441" s="315">
        <v>0</v>
      </c>
    </row>
    <row r="442" spans="1:15" x14ac:dyDescent="0.25">
      <c r="B442" s="2" t="s">
        <v>343</v>
      </c>
      <c r="F442" s="315">
        <v>0</v>
      </c>
    </row>
    <row r="443" spans="1:15" x14ac:dyDescent="0.25">
      <c r="B443" s="2" t="s">
        <v>345</v>
      </c>
      <c r="F443" s="315">
        <v>0</v>
      </c>
    </row>
    <row r="444" spans="1:15" x14ac:dyDescent="0.25">
      <c r="B444" s="2" t="s">
        <v>516</v>
      </c>
      <c r="F444" s="315">
        <v>0</v>
      </c>
    </row>
    <row r="445" spans="1:15" x14ac:dyDescent="0.25">
      <c r="E445" s="340" t="s">
        <v>329</v>
      </c>
      <c r="F445" s="339">
        <f ca="1">SUM(F439:F444)</f>
        <v>2528.0700000000002</v>
      </c>
    </row>
    <row r="447" spans="1:15" ht="21" x14ac:dyDescent="0.25">
      <c r="A447" s="335" t="s">
        <v>932</v>
      </c>
      <c r="B447" s="335" t="s">
        <v>487</v>
      </c>
      <c r="C447" s="335"/>
      <c r="D447" s="335"/>
      <c r="E447" s="334"/>
      <c r="G447" s="334"/>
      <c r="H447" s="334"/>
      <c r="I447" s="334"/>
      <c r="J447" s="334"/>
      <c r="K447" s="334"/>
      <c r="L447" s="334"/>
      <c r="M447" s="334"/>
      <c r="N447" s="334"/>
      <c r="O447" s="334"/>
    </row>
    <row r="448" spans="1:15" ht="17.25" x14ac:dyDescent="0.25">
      <c r="A448" s="336" t="s">
        <v>621</v>
      </c>
      <c r="B448" s="336" t="s">
        <v>212</v>
      </c>
      <c r="C448" s="336"/>
      <c r="D448" s="336"/>
      <c r="E448" s="28"/>
      <c r="G448" s="28"/>
      <c r="H448" s="28"/>
      <c r="I448" s="28"/>
      <c r="J448" s="28"/>
      <c r="K448" s="28"/>
      <c r="L448" s="28"/>
      <c r="M448" s="28"/>
      <c r="N448" s="28"/>
      <c r="O448" s="28"/>
    </row>
    <row r="449" spans="1:21" x14ac:dyDescent="0.25">
      <c r="A449" s="350" t="s">
        <v>1011</v>
      </c>
      <c r="B449" s="350" t="s">
        <v>509</v>
      </c>
      <c r="C449" s="350"/>
      <c r="D449" s="350"/>
      <c r="E449" s="350"/>
      <c r="F449" s="350"/>
      <c r="G449" s="350"/>
      <c r="H449" s="350"/>
      <c r="I449" s="350"/>
      <c r="J449" s="2" t="s">
        <v>1014</v>
      </c>
    </row>
    <row r="450" spans="1:21" x14ac:dyDescent="0.25">
      <c r="B450" s="2" t="s">
        <v>854</v>
      </c>
    </row>
    <row r="451" spans="1:21" x14ac:dyDescent="0.25">
      <c r="B451" s="2" t="s">
        <v>15</v>
      </c>
      <c r="E451" s="4" t="s">
        <v>199</v>
      </c>
      <c r="G451" s="4" t="s">
        <v>775</v>
      </c>
      <c r="J451" s="4" t="s">
        <v>776</v>
      </c>
      <c r="L451" s="4" t="s">
        <v>322</v>
      </c>
      <c r="N451" s="4" t="s">
        <v>325</v>
      </c>
      <c r="P451" s="4" t="s">
        <v>777</v>
      </c>
      <c r="R451" s="4"/>
      <c r="U451" s="4"/>
    </row>
    <row r="452" spans="1:21" x14ac:dyDescent="0.25">
      <c r="B452" s="2" t="s">
        <v>738</v>
      </c>
      <c r="E452" s="238">
        <f>'Carac trecho'!I31</f>
        <v>15</v>
      </c>
      <c r="G452" s="353">
        <f>E452/'Carac trecho'!I25</f>
        <v>1</v>
      </c>
      <c r="J452" s="2">
        <f>G452*Listas!$E$5</f>
        <v>1.1666666666666667</v>
      </c>
      <c r="L452" s="2">
        <v>1</v>
      </c>
      <c r="N452" s="353">
        <f>G452</f>
        <v>1</v>
      </c>
      <c r="P452" s="2">
        <f>J452</f>
        <v>1.1666666666666667</v>
      </c>
    </row>
    <row r="453" spans="1:21" x14ac:dyDescent="0.25">
      <c r="B453" s="2" t="s">
        <v>773</v>
      </c>
      <c r="E453" s="238">
        <f>'Carac trecho'!I39</f>
        <v>36</v>
      </c>
      <c r="G453" s="353">
        <v>2</v>
      </c>
      <c r="J453" s="2">
        <f>G453*Listas!$E$5</f>
        <v>2.3333333333333335</v>
      </c>
      <c r="N453" s="353">
        <f t="shared" ref="N453:N455" si="11">G453</f>
        <v>2</v>
      </c>
      <c r="P453" s="2">
        <f t="shared" ref="P453:P455" si="12">J453</f>
        <v>2.3333333333333335</v>
      </c>
    </row>
    <row r="454" spans="1:21" x14ac:dyDescent="0.25">
      <c r="B454" s="2" t="s">
        <v>774</v>
      </c>
      <c r="E454" s="238">
        <f>'Carac trecho'!I29</f>
        <v>0</v>
      </c>
      <c r="G454" s="353">
        <f>E454/'Carac trecho'!I22</f>
        <v>0</v>
      </c>
      <c r="J454" s="2">
        <f>G454*Listas!$E$5</f>
        <v>0</v>
      </c>
      <c r="N454" s="353">
        <f t="shared" si="11"/>
        <v>0</v>
      </c>
      <c r="P454" s="2">
        <f t="shared" si="12"/>
        <v>0</v>
      </c>
    </row>
    <row r="455" spans="1:21" x14ac:dyDescent="0.25">
      <c r="B455" s="2" t="s">
        <v>1021</v>
      </c>
      <c r="E455" s="238">
        <v>0</v>
      </c>
      <c r="G455" s="353">
        <v>2</v>
      </c>
      <c r="J455" s="2">
        <f>G455*Listas!$E$5</f>
        <v>2.3333333333333335</v>
      </c>
      <c r="N455" s="353">
        <f t="shared" si="11"/>
        <v>2</v>
      </c>
      <c r="P455" s="2">
        <f t="shared" si="12"/>
        <v>2.3333333333333335</v>
      </c>
    </row>
    <row r="456" spans="1:21" x14ac:dyDescent="0.25">
      <c r="D456" s="2" t="s">
        <v>329</v>
      </c>
      <c r="E456" s="238">
        <f>SUM(E452:E454)</f>
        <v>51</v>
      </c>
      <c r="G456" s="353">
        <f>SUM(G452:G455)</f>
        <v>5</v>
      </c>
      <c r="J456" s="2">
        <f>SUM(J452:J455)</f>
        <v>5.8333333333333339</v>
      </c>
      <c r="N456" s="2">
        <f>SUM(N452:N455)</f>
        <v>5</v>
      </c>
      <c r="P456" s="2">
        <f>SUM(P452:P455)</f>
        <v>5.8333333333333339</v>
      </c>
      <c r="Q456" s="4"/>
      <c r="U456" s="4"/>
    </row>
    <row r="459" spans="1:21" x14ac:dyDescent="0.25">
      <c r="A459" s="4" t="s">
        <v>61</v>
      </c>
      <c r="B459" s="2" t="s">
        <v>338</v>
      </c>
    </row>
    <row r="460" spans="1:21" x14ac:dyDescent="0.25">
      <c r="B460" s="4" t="s">
        <v>360</v>
      </c>
      <c r="C460" s="2" t="s">
        <v>15</v>
      </c>
      <c r="F460" s="4" t="s">
        <v>321</v>
      </c>
      <c r="G460" s="4"/>
      <c r="H460" s="4" t="s">
        <v>322</v>
      </c>
      <c r="I460" s="4"/>
      <c r="J460" s="4" t="s">
        <v>323</v>
      </c>
      <c r="K460" s="4"/>
      <c r="L460" s="4" t="s">
        <v>324</v>
      </c>
      <c r="M460" s="4"/>
      <c r="N460" s="4" t="s">
        <v>325</v>
      </c>
      <c r="O460" s="4"/>
      <c r="P460" s="4" t="s">
        <v>326</v>
      </c>
      <c r="Q460" s="4"/>
      <c r="R460" s="4" t="s">
        <v>327</v>
      </c>
      <c r="S460" s="4"/>
      <c r="T460" s="4" t="s">
        <v>328</v>
      </c>
      <c r="U460" s="4" t="s">
        <v>329</v>
      </c>
    </row>
    <row r="461" spans="1:21" x14ac:dyDescent="0.25">
      <c r="B461" s="4"/>
      <c r="F461" s="4"/>
      <c r="G461" s="4"/>
      <c r="H461" s="4" t="s">
        <v>330</v>
      </c>
      <c r="I461" s="4"/>
      <c r="J461" s="4" t="s">
        <v>331</v>
      </c>
      <c r="K461" s="4"/>
      <c r="L461" s="4" t="s">
        <v>332</v>
      </c>
      <c r="M461" s="4"/>
      <c r="N461" s="4" t="s">
        <v>333</v>
      </c>
      <c r="O461" s="4"/>
      <c r="P461" s="4" t="s">
        <v>334</v>
      </c>
      <c r="Q461" s="4"/>
      <c r="R461" s="4" t="s">
        <v>335</v>
      </c>
      <c r="S461" s="4"/>
      <c r="T461" s="4" t="s">
        <v>336</v>
      </c>
      <c r="U461" s="4" t="s">
        <v>337</v>
      </c>
    </row>
    <row r="462" spans="1:21" x14ac:dyDescent="0.25">
      <c r="B462" s="4" t="s">
        <v>165</v>
      </c>
      <c r="C462" s="2" t="str">
        <f ca="1">IFERROR(VLOOKUP(B462,MO_Matriz,2,0),"")</f>
        <v>Sondador</v>
      </c>
      <c r="F462" s="4" t="str">
        <f ca="1">IFERROR(VLOOKUP(B462,MO_Matriz,3,0),"")</f>
        <v>T</v>
      </c>
      <c r="H462" s="2">
        <f>$L$452</f>
        <v>1</v>
      </c>
      <c r="J462" s="2">
        <v>1</v>
      </c>
      <c r="L462" s="2">
        <f>Listas!$B$6</f>
        <v>7.333333333333333</v>
      </c>
      <c r="N462" s="2">
        <f>N456</f>
        <v>5</v>
      </c>
      <c r="P462" s="2">
        <f>H462*J462*L462*N462</f>
        <v>36.666666666666664</v>
      </c>
      <c r="R462" s="2">
        <f>P462/220</f>
        <v>0.16666666666666666</v>
      </c>
      <c r="T462" s="315">
        <f ca="1">IFERROR(VLOOKUP(B462,MO_Matriz,5,0),"")</f>
        <v>5087.7700000000004</v>
      </c>
      <c r="U462" s="315">
        <f ca="1">R462*T462</f>
        <v>847.9616666666667</v>
      </c>
    </row>
    <row r="463" spans="1:21" x14ac:dyDescent="0.25">
      <c r="B463" s="4" t="s">
        <v>59</v>
      </c>
      <c r="C463" s="2" t="str">
        <f ca="1">IFERROR(VLOOKUP(B463,MO_Matriz,2,0),"")</f>
        <v>Auxiliar</v>
      </c>
      <c r="F463" s="4" t="str">
        <f ca="1">IFERROR(VLOOKUP(B463,MO_Matriz,3,0),"")</f>
        <v>A</v>
      </c>
      <c r="H463" s="2">
        <f>$L$452</f>
        <v>1</v>
      </c>
      <c r="J463" s="2">
        <v>2</v>
      </c>
      <c r="L463" s="2">
        <f>Listas!$B$6</f>
        <v>7.333333333333333</v>
      </c>
      <c r="N463" s="2">
        <f>N456</f>
        <v>5</v>
      </c>
      <c r="P463" s="2">
        <f>H463*J463*L463*N463</f>
        <v>73.333333333333329</v>
      </c>
      <c r="R463" s="2">
        <f>P463/220</f>
        <v>0.33333333333333331</v>
      </c>
      <c r="T463" s="315">
        <f ca="1">IFERROR(VLOOKUP(B463,MO_Matriz,5,0),"")</f>
        <v>4276.41</v>
      </c>
      <c r="U463" s="315">
        <f ca="1">R463*T463</f>
        <v>1425.4699999999998</v>
      </c>
    </row>
    <row r="464" spans="1:21" x14ac:dyDescent="0.25">
      <c r="T464" s="340" t="s">
        <v>329</v>
      </c>
      <c r="U464" s="339">
        <f ca="1">SUM(U462:U463)</f>
        <v>2273.4316666666664</v>
      </c>
    </row>
    <row r="465" spans="1:12" x14ac:dyDescent="0.25">
      <c r="A465" s="4" t="s">
        <v>339</v>
      </c>
      <c r="B465" s="2" t="s">
        <v>340</v>
      </c>
    </row>
    <row r="466" spans="1:12" x14ac:dyDescent="0.25">
      <c r="B466" s="4" t="s">
        <v>360</v>
      </c>
      <c r="C466" s="2" t="s">
        <v>15</v>
      </c>
      <c r="H466" s="4" t="s">
        <v>31</v>
      </c>
      <c r="I466" s="4" t="s">
        <v>224</v>
      </c>
      <c r="J466" s="4" t="s">
        <v>361</v>
      </c>
      <c r="K466" s="4" t="s">
        <v>328</v>
      </c>
      <c r="L466" s="4" t="s">
        <v>362</v>
      </c>
    </row>
    <row r="467" spans="1:12" x14ac:dyDescent="0.25">
      <c r="B467" s="4"/>
      <c r="H467" s="4" t="s">
        <v>363</v>
      </c>
      <c r="I467" s="4" t="s">
        <v>330</v>
      </c>
      <c r="J467" s="4" t="s">
        <v>364</v>
      </c>
      <c r="K467" s="4" t="s">
        <v>332</v>
      </c>
      <c r="L467" s="4" t="s">
        <v>365</v>
      </c>
    </row>
    <row r="468" spans="1:12" x14ac:dyDescent="0.25">
      <c r="B468" s="4" t="s">
        <v>193</v>
      </c>
      <c r="C468" s="2" t="str">
        <f ca="1">IFERROR(VLOOKUP(B468,Veiculo_Equip_Matriz,2,0),"")</f>
        <v>Veículo leve picape 4 x 4 com capacidade de 1,10 t - 147 kW (sem motorista)</v>
      </c>
      <c r="H468" s="2">
        <v>1</v>
      </c>
      <c r="I468" s="2">
        <v>2</v>
      </c>
      <c r="J468" s="2">
        <f>I468/30</f>
        <v>6.6666666666666666E-2</v>
      </c>
      <c r="K468" s="315">
        <f ca="1">IFERROR(VLOOKUP(B468,Veiculo_Equip_Matriz,10,0),"")</f>
        <v>7920.0560999999998</v>
      </c>
      <c r="L468" s="315">
        <f ca="1">TRUNC(H468*J468*K468,2)</f>
        <v>528</v>
      </c>
    </row>
    <row r="469" spans="1:12" x14ac:dyDescent="0.25">
      <c r="K469" s="340" t="s">
        <v>329</v>
      </c>
      <c r="L469" s="339">
        <f ca="1">SUM(L468:L468)</f>
        <v>528</v>
      </c>
    </row>
    <row r="470" spans="1:12" x14ac:dyDescent="0.25">
      <c r="A470" s="4" t="s">
        <v>348</v>
      </c>
      <c r="B470" s="2" t="s">
        <v>349</v>
      </c>
    </row>
    <row r="471" spans="1:12" x14ac:dyDescent="0.25">
      <c r="A471" s="4" t="s">
        <v>451</v>
      </c>
      <c r="B471" s="2" t="s">
        <v>452</v>
      </c>
    </row>
    <row r="472" spans="1:12" x14ac:dyDescent="0.25">
      <c r="B472" s="2" t="s">
        <v>1034</v>
      </c>
      <c r="F472" s="4"/>
      <c r="G472" s="4"/>
      <c r="H472" s="4"/>
      <c r="I472" s="4"/>
      <c r="J472" s="4"/>
    </row>
    <row r="473" spans="1:12" x14ac:dyDescent="0.25">
      <c r="B473" s="4"/>
      <c r="F473" s="4"/>
    </row>
    <row r="474" spans="1:12" x14ac:dyDescent="0.25">
      <c r="A474" s="4" t="s">
        <v>456</v>
      </c>
      <c r="B474" s="2" t="s">
        <v>457</v>
      </c>
    </row>
    <row r="476" spans="1:12" x14ac:dyDescent="0.25">
      <c r="B476" s="4" t="s">
        <v>360</v>
      </c>
      <c r="C476" s="2" t="s">
        <v>15</v>
      </c>
      <c r="F476" s="4" t="s">
        <v>321</v>
      </c>
      <c r="G476" s="4"/>
      <c r="H476" s="4" t="s">
        <v>453</v>
      </c>
      <c r="I476" s="4"/>
      <c r="J476" s="4" t="s">
        <v>454</v>
      </c>
    </row>
    <row r="477" spans="1:12" x14ac:dyDescent="0.25">
      <c r="B477" s="4" t="str">
        <f>B462</f>
        <v>P8139</v>
      </c>
      <c r="C477" s="2" t="str">
        <f ca="1">IFERROR(VLOOKUP(B477,MO_Matriz,2,0),"")</f>
        <v>Sondador</v>
      </c>
      <c r="F477" s="4" t="str">
        <f ca="1">IFERROR(VLOOKUP(B477,MO_Matriz,3,0),"")</f>
        <v>T</v>
      </c>
      <c r="H477" s="2" t="s">
        <v>455</v>
      </c>
      <c r="J477" s="2">
        <f>J462</f>
        <v>1</v>
      </c>
    </row>
    <row r="478" spans="1:12" x14ac:dyDescent="0.25">
      <c r="I478" s="340" t="s">
        <v>329</v>
      </c>
      <c r="J478" s="340">
        <f>SUM(J477:J477)</f>
        <v>1</v>
      </c>
    </row>
    <row r="479" spans="1:12" x14ac:dyDescent="0.25">
      <c r="A479" s="4"/>
    </row>
    <row r="480" spans="1:12" x14ac:dyDescent="0.25">
      <c r="A480" s="4" t="s">
        <v>350</v>
      </c>
      <c r="B480" s="2" t="s">
        <v>351</v>
      </c>
    </row>
    <row r="481" spans="1:13" x14ac:dyDescent="0.25">
      <c r="A481" s="4"/>
      <c r="B481" s="2" t="s">
        <v>779</v>
      </c>
    </row>
    <row r="482" spans="1:13" x14ac:dyDescent="0.25">
      <c r="A482" s="4"/>
    </row>
    <row r="483" spans="1:13" x14ac:dyDescent="0.25">
      <c r="B483" s="4" t="s">
        <v>360</v>
      </c>
      <c r="C483" s="2" t="s">
        <v>15</v>
      </c>
      <c r="H483" s="4" t="s">
        <v>31</v>
      </c>
      <c r="I483" s="4" t="s">
        <v>778</v>
      </c>
      <c r="J483" s="4" t="s">
        <v>202</v>
      </c>
      <c r="K483" s="4" t="s">
        <v>224</v>
      </c>
      <c r="L483" s="4" t="s">
        <v>361</v>
      </c>
      <c r="M483" s="338" t="s">
        <v>362</v>
      </c>
    </row>
    <row r="484" spans="1:13" x14ac:dyDescent="0.25">
      <c r="B484" s="4"/>
      <c r="I484" s="4" t="s">
        <v>363</v>
      </c>
      <c r="J484" s="4" t="s">
        <v>330</v>
      </c>
      <c r="K484" s="4" t="s">
        <v>331</v>
      </c>
      <c r="L484" s="4" t="s">
        <v>682</v>
      </c>
      <c r="M484" s="338"/>
    </row>
    <row r="485" spans="1:13" x14ac:dyDescent="0.25">
      <c r="B485" s="4" t="s">
        <v>1056</v>
      </c>
      <c r="C485" s="2" t="str">
        <f>IFERROR(VLOOKUP(B485,Sudecap!$A$1:$K$55,3,0),"")</f>
        <v>Perfuração de solo sondagem a trado (NBR 9603:2015) DN 20CM</v>
      </c>
      <c r="H485" s="4" t="s">
        <v>411</v>
      </c>
      <c r="I485" s="315">
        <f>IFERROR(VLOOKUP(B485,Sudecap!$A$1:$K$55,11,0),"")</f>
        <v>74.97</v>
      </c>
      <c r="J485" s="238">
        <f>E452</f>
        <v>15</v>
      </c>
      <c r="K485" s="91">
        <v>0</v>
      </c>
      <c r="L485" s="91">
        <v>0</v>
      </c>
      <c r="M485" s="339">
        <f>ROUND(I485*J485,2)</f>
        <v>1124.55</v>
      </c>
    </row>
    <row r="486" spans="1:13" x14ac:dyDescent="0.25">
      <c r="B486" s="4" t="s">
        <v>1053</v>
      </c>
      <c r="C486" s="2" t="str">
        <f>IFERROR(VLOOKUP(B486,Sudecap!$A$1:$K$55,3,0),"")</f>
        <v>PERFURAÇÃO DE SOLO SONDAGEM À PERCUSSÃO (NBR 6484:2020)</v>
      </c>
      <c r="H486" s="4" t="s">
        <v>411</v>
      </c>
      <c r="I486" s="315">
        <f>IFERROR(VLOOKUP(B486,Sudecap!$A$1:$K$55,11,0),"")</f>
        <v>94.96</v>
      </c>
      <c r="J486" s="238">
        <f>E453</f>
        <v>36</v>
      </c>
      <c r="K486" s="91">
        <v>0</v>
      </c>
      <c r="L486" s="91">
        <v>0</v>
      </c>
      <c r="M486" s="339">
        <f>ROUND(I486*J486,2)</f>
        <v>3418.56</v>
      </c>
    </row>
    <row r="487" spans="1:13" x14ac:dyDescent="0.25">
      <c r="B487" s="4" t="s">
        <v>1054</v>
      </c>
      <c r="C487" s="2" t="str">
        <f>IFERROR(VLOOKUP(B487,Sudecap!$A$1:$K$55,3,0),"")</f>
        <v>DESMONTAGEM, TRANSPORTE E MONTAGEM DE EQUIPAMENTOS DE SONDAGEM A PERCUSSÃO POR FURO</v>
      </c>
      <c r="H487" s="4" t="s">
        <v>411</v>
      </c>
      <c r="I487" s="315">
        <f>IFERROR(VLOOKUP(B487,Sudecap!$A$1:$K$55,11,0),"")</f>
        <v>299.89</v>
      </c>
      <c r="J487" s="238">
        <v>3</v>
      </c>
      <c r="K487" s="91">
        <v>0</v>
      </c>
      <c r="L487" s="91">
        <v>0</v>
      </c>
      <c r="M487" s="339">
        <f>ROUND(I487*J487,2)</f>
        <v>899.67</v>
      </c>
    </row>
    <row r="488" spans="1:13" x14ac:dyDescent="0.25">
      <c r="B488" s="4"/>
      <c r="H488" s="4"/>
      <c r="I488" s="315"/>
      <c r="J488" s="238"/>
      <c r="K488" s="91"/>
      <c r="L488" s="340" t="s">
        <v>329</v>
      </c>
      <c r="M488" s="339">
        <f>SUM(M485:M487)</f>
        <v>5442.78</v>
      </c>
    </row>
    <row r="490" spans="1:13" x14ac:dyDescent="0.25">
      <c r="A490" s="4" t="s">
        <v>197</v>
      </c>
      <c r="B490" s="2" t="s">
        <v>352</v>
      </c>
    </row>
    <row r="491" spans="1:13" x14ac:dyDescent="0.25">
      <c r="A491" s="4" t="s">
        <v>450</v>
      </c>
      <c r="B491" s="2" t="s">
        <v>433</v>
      </c>
    </row>
    <row r="492" spans="1:13" x14ac:dyDescent="0.25">
      <c r="A492" s="4"/>
      <c r="B492" s="2" t="s">
        <v>1036</v>
      </c>
    </row>
    <row r="493" spans="1:13" x14ac:dyDescent="0.25">
      <c r="B493" s="2" t="str">
        <f>"Segundo Decreto nº 16.536, de 26 de dezembro de 2024, para "&amp;Listas!$D$17&amp;" :"</f>
        <v>Segundo Decreto nº 16.536, de 26 de dezembro de 2024, para Ribas do Rio Pardo :</v>
      </c>
    </row>
    <row r="494" spans="1:13" x14ac:dyDescent="0.25">
      <c r="B494" s="2" t="s">
        <v>15</v>
      </c>
      <c r="E494" s="2" t="s">
        <v>357</v>
      </c>
      <c r="F494" s="2" t="s">
        <v>202</v>
      </c>
    </row>
    <row r="495" spans="1:13" x14ac:dyDescent="0.25">
      <c r="B495" s="2" t="s">
        <v>248</v>
      </c>
      <c r="E495" s="238">
        <f>Listas!$D$19</f>
        <v>200</v>
      </c>
    </row>
    <row r="496" spans="1:13" x14ac:dyDescent="0.25">
      <c r="B496" s="2" t="s">
        <v>252</v>
      </c>
      <c r="E496" s="238">
        <f>E495/2</f>
        <v>100</v>
      </c>
      <c r="F496" s="2">
        <f>N462</f>
        <v>5</v>
      </c>
    </row>
    <row r="497" spans="1:31" x14ac:dyDescent="0.25">
      <c r="B497" s="2" t="s">
        <v>255</v>
      </c>
      <c r="E497" s="238">
        <f>E496</f>
        <v>100</v>
      </c>
      <c r="F497" s="2">
        <f>F496-1</f>
        <v>4</v>
      </c>
    </row>
    <row r="499" spans="1:31" x14ac:dyDescent="0.25">
      <c r="B499" s="4" t="s">
        <v>360</v>
      </c>
      <c r="C499" s="2" t="s">
        <v>15</v>
      </c>
      <c r="D499" s="4"/>
      <c r="E499" s="4"/>
      <c r="F499" s="4" t="s">
        <v>321</v>
      </c>
      <c r="G499" s="4"/>
      <c r="H499" s="4" t="s">
        <v>434</v>
      </c>
      <c r="I499" s="4"/>
      <c r="J499" s="4" t="s">
        <v>435</v>
      </c>
      <c r="K499" s="4" t="s">
        <v>202</v>
      </c>
      <c r="L499" s="338" t="s">
        <v>329</v>
      </c>
    </row>
    <row r="500" spans="1:31" x14ac:dyDescent="0.25">
      <c r="B500" s="4"/>
      <c r="C500" s="4"/>
      <c r="D500" s="4"/>
      <c r="E500" s="4"/>
      <c r="F500" s="4"/>
      <c r="G500" s="4"/>
      <c r="H500" s="4" t="s">
        <v>363</v>
      </c>
      <c r="I500" s="4"/>
      <c r="J500" s="4" t="s">
        <v>330</v>
      </c>
      <c r="K500" s="2" t="s">
        <v>332</v>
      </c>
      <c r="L500" s="338" t="s">
        <v>436</v>
      </c>
      <c r="P500" s="84"/>
      <c r="Q500" s="84"/>
      <c r="R500" s="84"/>
      <c r="S500" s="84"/>
      <c r="T500" s="84"/>
      <c r="U500" s="84"/>
      <c r="V500" s="84"/>
      <c r="W500" s="84"/>
      <c r="X500" s="84"/>
      <c r="Y500" s="84"/>
      <c r="Z500" s="84"/>
      <c r="AA500" s="84"/>
      <c r="AB500" s="84"/>
    </row>
    <row r="501" spans="1:31" x14ac:dyDescent="0.25">
      <c r="B501" s="4" t="s">
        <v>165</v>
      </c>
      <c r="C501" s="2" t="str">
        <f ca="1">IFERROR(VLOOKUP(B501,MO_Matriz,2,0),"")</f>
        <v>Sondador</v>
      </c>
      <c r="F501" s="4" t="str">
        <f ca="1">IFERROR(VLOOKUP(B501,MO_Matriz,3,0),"")</f>
        <v>T</v>
      </c>
      <c r="H501" s="315">
        <f>$E$496*$F$496</f>
        <v>500</v>
      </c>
      <c r="I501" s="315"/>
      <c r="J501" s="315">
        <f>$E$497*$F$497</f>
        <v>400</v>
      </c>
      <c r="K501" s="2">
        <f>J462</f>
        <v>1</v>
      </c>
      <c r="L501" s="339">
        <f>(H501+J501)*K501</f>
        <v>900</v>
      </c>
      <c r="P501" s="84"/>
      <c r="Q501" s="84"/>
      <c r="R501" s="84"/>
      <c r="S501" s="84"/>
      <c r="T501" s="84"/>
      <c r="U501" s="84"/>
      <c r="V501" s="84"/>
      <c r="W501" s="84"/>
      <c r="X501" s="84"/>
      <c r="Y501" s="84"/>
      <c r="Z501" s="84"/>
      <c r="AA501" s="84"/>
      <c r="AB501" s="84"/>
    </row>
    <row r="502" spans="1:31" x14ac:dyDescent="0.25">
      <c r="J502" s="340" t="s">
        <v>329</v>
      </c>
      <c r="L502" s="339">
        <f>SUM(L501:L501)</f>
        <v>900</v>
      </c>
      <c r="P502" s="84"/>
      <c r="Q502" s="84"/>
      <c r="R502" s="84"/>
      <c r="S502" s="84"/>
      <c r="T502" s="84"/>
      <c r="U502" s="84"/>
      <c r="V502" s="84"/>
      <c r="W502" s="84"/>
      <c r="X502" s="84"/>
      <c r="Y502" s="84"/>
      <c r="Z502" s="84"/>
      <c r="AA502" s="84"/>
      <c r="AB502" s="84"/>
    </row>
    <row r="503" spans="1:31" x14ac:dyDescent="0.25">
      <c r="A503" s="4" t="s">
        <v>459</v>
      </c>
      <c r="B503" s="2" t="s">
        <v>437</v>
      </c>
      <c r="P503" s="84"/>
      <c r="Q503" s="84"/>
      <c r="R503" s="84"/>
      <c r="S503" s="84"/>
      <c r="T503" s="84"/>
      <c r="U503" s="84"/>
      <c r="V503" s="84"/>
      <c r="W503" s="84"/>
      <c r="X503" s="84"/>
      <c r="Y503" s="84"/>
      <c r="Z503" s="84"/>
      <c r="AA503" s="84"/>
      <c r="AB503" s="84"/>
    </row>
    <row r="504" spans="1:31" x14ac:dyDescent="0.25">
      <c r="B504" s="2" t="s">
        <v>438</v>
      </c>
      <c r="P504" s="84"/>
      <c r="Q504" s="84"/>
      <c r="R504" s="84"/>
      <c r="S504" s="84"/>
      <c r="T504" s="84"/>
      <c r="U504" s="84"/>
      <c r="V504" s="84"/>
      <c r="W504" s="84"/>
      <c r="X504" s="84"/>
      <c r="Y504" s="84"/>
      <c r="Z504" s="84"/>
      <c r="AA504" s="84"/>
      <c r="AB504" s="84"/>
    </row>
    <row r="505" spans="1:31" x14ac:dyDescent="0.25">
      <c r="P505" s="84"/>
      <c r="Q505" s="84"/>
      <c r="R505" s="84"/>
      <c r="S505" s="84"/>
      <c r="T505" s="84"/>
      <c r="U505" s="84"/>
      <c r="V505" s="84"/>
      <c r="W505" s="84"/>
      <c r="X505" s="84"/>
      <c r="Y505" s="84"/>
      <c r="Z505" s="84"/>
      <c r="AA505" s="84"/>
      <c r="AB505" s="84"/>
    </row>
    <row r="506" spans="1:31" x14ac:dyDescent="0.25">
      <c r="A506" s="4" t="s">
        <v>353</v>
      </c>
      <c r="B506" s="2" t="s">
        <v>354</v>
      </c>
      <c r="P506" s="84"/>
      <c r="Q506" s="84"/>
      <c r="R506" s="84"/>
      <c r="S506" s="84"/>
      <c r="T506" s="84"/>
      <c r="U506" s="84"/>
      <c r="V506" s="84"/>
      <c r="W506" s="84"/>
      <c r="X506" s="84"/>
      <c r="Y506" s="84"/>
      <c r="Z506" s="84"/>
      <c r="AA506" s="84"/>
      <c r="AB506" s="84"/>
    </row>
    <row r="507" spans="1:31" x14ac:dyDescent="0.25">
      <c r="A507" s="4" t="s">
        <v>385</v>
      </c>
      <c r="B507" s="2" t="s">
        <v>317</v>
      </c>
    </row>
    <row r="508" spans="1:31" x14ac:dyDescent="0.25">
      <c r="B508" s="2" t="s">
        <v>505</v>
      </c>
    </row>
    <row r="510" spans="1:31" x14ac:dyDescent="0.25">
      <c r="A510" s="4" t="s">
        <v>386</v>
      </c>
      <c r="B510" s="2" t="s">
        <v>366</v>
      </c>
    </row>
    <row r="511" spans="1:31" x14ac:dyDescent="0.25">
      <c r="A511" s="4"/>
      <c r="AD511" s="340"/>
      <c r="AE511" s="339"/>
    </row>
    <row r="512" spans="1:31" x14ac:dyDescent="0.25">
      <c r="A512" s="4"/>
      <c r="B512" s="2" t="s">
        <v>367</v>
      </c>
      <c r="D512" s="2" t="s">
        <v>237</v>
      </c>
      <c r="F512" s="4" t="s">
        <v>387</v>
      </c>
      <c r="H512" s="4" t="s">
        <v>13</v>
      </c>
      <c r="I512" s="4" t="s">
        <v>414</v>
      </c>
      <c r="K512" s="2" t="s">
        <v>15</v>
      </c>
      <c r="L512" s="84"/>
      <c r="M512" s="84"/>
      <c r="N512" s="4" t="s">
        <v>368</v>
      </c>
      <c r="O512" s="4" t="s">
        <v>357</v>
      </c>
    </row>
    <row r="513" spans="1:29" x14ac:dyDescent="0.25">
      <c r="A513" s="4"/>
      <c r="B513" s="2" t="s">
        <v>245</v>
      </c>
      <c r="D513" s="2" t="s">
        <v>245</v>
      </c>
      <c r="F513" s="238">
        <f>Listas!$J$3</f>
        <v>60</v>
      </c>
      <c r="H513" s="238">
        <f>Listas!$L$3</f>
        <v>103</v>
      </c>
      <c r="I513" s="316">
        <f>H513/H516</f>
        <v>1</v>
      </c>
      <c r="K513" s="2" t="s">
        <v>369</v>
      </c>
      <c r="L513" s="84"/>
      <c r="M513" s="84"/>
      <c r="N513" s="344" t="str">
        <f>Listas!$D$21</f>
        <v>ABRIL/25</v>
      </c>
      <c r="O513" s="84">
        <f>Listas!$D$23</f>
        <v>303.67500000000001</v>
      </c>
    </row>
    <row r="514" spans="1:29" x14ac:dyDescent="0.25">
      <c r="A514" s="4"/>
      <c r="D514" s="2" t="s">
        <v>251</v>
      </c>
      <c r="F514" s="238">
        <f>Listas!$J$4</f>
        <v>50</v>
      </c>
      <c r="H514" s="238">
        <f>Listas!$L$4</f>
        <v>0</v>
      </c>
      <c r="I514" s="316">
        <f>H514/H516</f>
        <v>0</v>
      </c>
      <c r="K514" s="2" t="s">
        <v>369</v>
      </c>
      <c r="L514" s="84"/>
      <c r="M514" s="84"/>
      <c r="N514" s="344" t="str">
        <f>Listas!$D$21</f>
        <v>ABRIL/25</v>
      </c>
      <c r="O514" s="84">
        <f>Listas!$D$23</f>
        <v>303.67500000000001</v>
      </c>
    </row>
    <row r="515" spans="1:29" x14ac:dyDescent="0.25">
      <c r="A515" s="4"/>
      <c r="D515" s="2" t="s">
        <v>254</v>
      </c>
      <c r="F515" s="238">
        <f>Listas!$J$5</f>
        <v>40</v>
      </c>
      <c r="H515" s="238">
        <f>Listas!$L$5</f>
        <v>0</v>
      </c>
      <c r="I515" s="316">
        <f>H515/H516</f>
        <v>0</v>
      </c>
      <c r="K515" s="2" t="s">
        <v>370</v>
      </c>
      <c r="L515" s="84"/>
      <c r="M515" s="84"/>
      <c r="N515" s="337" t="s">
        <v>259</v>
      </c>
      <c r="O515" s="345">
        <f>O514/O513-1</f>
        <v>0</v>
      </c>
    </row>
    <row r="516" spans="1:29" x14ac:dyDescent="0.25">
      <c r="A516" s="4"/>
      <c r="G516" s="340" t="s">
        <v>329</v>
      </c>
      <c r="H516" s="238">
        <f>SUM(H513:H515)</f>
        <v>103</v>
      </c>
      <c r="I516" s="316">
        <f>SUM(I513:I515)</f>
        <v>1</v>
      </c>
      <c r="K516" s="2" t="s">
        <v>867</v>
      </c>
      <c r="L516" s="84"/>
      <c r="M516" s="84"/>
      <c r="N516" s="346">
        <v>45839</v>
      </c>
      <c r="O516" s="347">
        <v>36.9</v>
      </c>
    </row>
    <row r="517" spans="1:29" x14ac:dyDescent="0.25">
      <c r="A517" s="4"/>
      <c r="K517" s="2" t="s">
        <v>868</v>
      </c>
      <c r="L517" s="84"/>
      <c r="M517" s="84"/>
      <c r="N517" s="346">
        <v>45839</v>
      </c>
      <c r="O517" s="347">
        <f>Listas!$D$26</f>
        <v>0</v>
      </c>
    </row>
    <row r="518" spans="1:29" x14ac:dyDescent="0.25">
      <c r="A518" s="4"/>
      <c r="F518" s="4"/>
      <c r="H518" s="4"/>
      <c r="I518" s="4"/>
      <c r="K518" s="2" t="s">
        <v>869</v>
      </c>
      <c r="L518" s="84"/>
      <c r="M518" s="84"/>
      <c r="N518" s="344" t="s">
        <v>1155</v>
      </c>
      <c r="O518" s="315">
        <f>ROUND(O516*(1+O515), 2)</f>
        <v>36.9</v>
      </c>
    </row>
    <row r="519" spans="1:29" x14ac:dyDescent="0.25">
      <c r="A519" s="4"/>
      <c r="F519" s="238"/>
      <c r="H519" s="238"/>
      <c r="I519" s="316"/>
      <c r="K519" s="2" t="s">
        <v>870</v>
      </c>
      <c r="L519" s="84"/>
      <c r="M519" s="84"/>
      <c r="N519" s="344" t="s">
        <v>1155</v>
      </c>
      <c r="O519" s="315">
        <f>ROUND(O517*(1+O515), 2)</f>
        <v>0</v>
      </c>
    </row>
    <row r="520" spans="1:29" x14ac:dyDescent="0.25">
      <c r="A520" s="4"/>
      <c r="H520" s="238"/>
      <c r="I520" s="316"/>
      <c r="L520" s="84"/>
      <c r="M520" s="84"/>
      <c r="N520" s="344"/>
      <c r="O520" s="315"/>
    </row>
    <row r="521" spans="1:29" x14ac:dyDescent="0.25">
      <c r="A521" s="4"/>
      <c r="L521" s="84"/>
      <c r="M521" s="84"/>
      <c r="N521" s="344"/>
      <c r="O521" s="315"/>
    </row>
    <row r="522" spans="1:29" x14ac:dyDescent="0.25">
      <c r="B522" s="2" t="s">
        <v>360</v>
      </c>
      <c r="C522" s="2" t="s">
        <v>15</v>
      </c>
      <c r="G522" s="4" t="s">
        <v>202</v>
      </c>
      <c r="I522" s="4" t="s">
        <v>401</v>
      </c>
      <c r="K522" s="4" t="s">
        <v>402</v>
      </c>
      <c r="M522" s="4" t="s">
        <v>371</v>
      </c>
      <c r="O522" s="4" t="s">
        <v>372</v>
      </c>
      <c r="P522" s="4" t="s">
        <v>373</v>
      </c>
      <c r="Q522" s="2" t="s">
        <v>236</v>
      </c>
      <c r="S522" s="4" t="s">
        <v>183</v>
      </c>
      <c r="T522" s="4"/>
      <c r="U522" s="4" t="s">
        <v>374</v>
      </c>
      <c r="V522" s="4"/>
      <c r="W522" s="4" t="s">
        <v>375</v>
      </c>
      <c r="Y522" s="4" t="s">
        <v>376</v>
      </c>
      <c r="Z522" s="4"/>
      <c r="AA522" s="4" t="s">
        <v>377</v>
      </c>
      <c r="AB522" s="4" t="s">
        <v>388</v>
      </c>
      <c r="AC522" s="338" t="s">
        <v>362</v>
      </c>
    </row>
    <row r="523" spans="1:29" x14ac:dyDescent="0.25">
      <c r="G523" s="4" t="s">
        <v>363</v>
      </c>
      <c r="I523" s="4" t="s">
        <v>330</v>
      </c>
      <c r="K523" s="4" t="s">
        <v>331</v>
      </c>
      <c r="M523" s="4" t="s">
        <v>403</v>
      </c>
      <c r="O523" s="4" t="s">
        <v>372</v>
      </c>
      <c r="P523" s="4" t="s">
        <v>333</v>
      </c>
      <c r="Q523" s="4"/>
      <c r="S523" s="4" t="s">
        <v>378</v>
      </c>
      <c r="T523" s="4"/>
      <c r="U523" s="4" t="s">
        <v>407</v>
      </c>
      <c r="V523" s="4"/>
      <c r="W523" s="4" t="s">
        <v>389</v>
      </c>
      <c r="Y523" s="4" t="s">
        <v>413</v>
      </c>
      <c r="Z523" s="4"/>
      <c r="AA523" s="4" t="s">
        <v>410</v>
      </c>
      <c r="AB523" s="4" t="s">
        <v>411</v>
      </c>
      <c r="AC523" s="338" t="s">
        <v>412</v>
      </c>
    </row>
    <row r="524" spans="1:29" x14ac:dyDescent="0.25">
      <c r="B524" s="43" t="str">
        <f>B468</f>
        <v>E8891</v>
      </c>
      <c r="C524" s="2" t="str">
        <f ca="1">IFERROR(VLOOKUP(B524,Veiculo_Equip_Matriz,2,0),"")</f>
        <v>Veículo leve picape 4 x 4 com capacidade de 1,10 t - 147 kW (sem motorista)</v>
      </c>
      <c r="G524" s="2">
        <v>1</v>
      </c>
      <c r="I524" s="238">
        <f>H516</f>
        <v>103</v>
      </c>
      <c r="K524" s="238">
        <f>F513</f>
        <v>60</v>
      </c>
      <c r="M524" s="2">
        <f>I524/K524</f>
        <v>1.7166666666666666</v>
      </c>
      <c r="N524" s="84"/>
      <c r="O524" s="84">
        <v>2</v>
      </c>
      <c r="P524" s="84">
        <v>1</v>
      </c>
      <c r="Q524" s="4" t="str">
        <f>B468</f>
        <v>E8891</v>
      </c>
      <c r="R524" s="84"/>
      <c r="S524" s="238">
        <f ca="1">IFERROR(VLOOKUP(Q524,Veiculo_Equip_Matriz,4,0),"")</f>
        <v>79.599999999999994</v>
      </c>
      <c r="T524" s="84"/>
      <c r="U524" s="315">
        <f ca="1">G524*M524*O524*P524*S524</f>
        <v>273.29333333333329</v>
      </c>
      <c r="V524" s="84"/>
      <c r="W524" s="2">
        <f>((INT(M524/4))*30)/60</f>
        <v>0</v>
      </c>
      <c r="X524" s="84"/>
      <c r="Y524" s="2">
        <f>M524+W524</f>
        <v>1.7166666666666666</v>
      </c>
      <c r="Z524" s="84"/>
      <c r="AA524" s="315">
        <v>0</v>
      </c>
      <c r="AB524" s="315">
        <f>O518*O524</f>
        <v>73.8</v>
      </c>
      <c r="AC524" s="339">
        <f ca="1">TRUNC(U524+AA524+AB524,2)</f>
        <v>347.09</v>
      </c>
    </row>
    <row r="525" spans="1:29" x14ac:dyDescent="0.25">
      <c r="B525" s="43"/>
      <c r="I525" s="238"/>
      <c r="K525" s="238"/>
      <c r="O525" s="84"/>
      <c r="P525" s="84"/>
      <c r="Q525" s="4"/>
      <c r="S525" s="238"/>
      <c r="U525" s="315"/>
      <c r="AA525" s="315"/>
      <c r="AB525" s="340" t="s">
        <v>329</v>
      </c>
      <c r="AC525" s="339">
        <f ca="1">AC524</f>
        <v>347.09</v>
      </c>
    </row>
    <row r="526" spans="1:29" x14ac:dyDescent="0.25">
      <c r="A526" s="4" t="s">
        <v>355</v>
      </c>
      <c r="B526" s="2" t="s">
        <v>356</v>
      </c>
    </row>
    <row r="527" spans="1:29" x14ac:dyDescent="0.25">
      <c r="B527" s="2" t="s">
        <v>15</v>
      </c>
      <c r="F527" s="2" t="s">
        <v>357</v>
      </c>
    </row>
    <row r="528" spans="1:29" x14ac:dyDescent="0.25">
      <c r="B528" s="2" t="s">
        <v>317</v>
      </c>
      <c r="F528" s="315">
        <f ca="1">U464</f>
        <v>2273.4316666666664</v>
      </c>
    </row>
    <row r="529" spans="1:16" x14ac:dyDescent="0.25">
      <c r="B529" s="2" t="s">
        <v>276</v>
      </c>
      <c r="F529" s="315">
        <f ca="1">L469</f>
        <v>528</v>
      </c>
    </row>
    <row r="530" spans="1:16" x14ac:dyDescent="0.25">
      <c r="B530" s="2" t="s">
        <v>342</v>
      </c>
      <c r="F530" s="315">
        <v>0</v>
      </c>
      <c r="P530" s="4"/>
    </row>
    <row r="531" spans="1:16" x14ac:dyDescent="0.25">
      <c r="B531" s="2" t="s">
        <v>343</v>
      </c>
      <c r="F531" s="315">
        <f>M488</f>
        <v>5442.78</v>
      </c>
    </row>
    <row r="532" spans="1:16" x14ac:dyDescent="0.25">
      <c r="B532" s="2" t="s">
        <v>345</v>
      </c>
      <c r="F532" s="315">
        <f>L502</f>
        <v>900</v>
      </c>
    </row>
    <row r="533" spans="1:16" x14ac:dyDescent="0.25">
      <c r="B533" s="2" t="s">
        <v>516</v>
      </c>
      <c r="F533" s="315">
        <f ca="1">AC525</f>
        <v>347.09</v>
      </c>
    </row>
    <row r="534" spans="1:16" x14ac:dyDescent="0.25">
      <c r="E534" s="340" t="s">
        <v>329</v>
      </c>
      <c r="F534" s="339">
        <f ca="1">SUM(F528:F533)</f>
        <v>9491.3016666666663</v>
      </c>
    </row>
    <row r="536" spans="1:16" x14ac:dyDescent="0.25">
      <c r="A536" s="350" t="s">
        <v>1012</v>
      </c>
      <c r="B536" s="350" t="s">
        <v>539</v>
      </c>
      <c r="C536" s="350"/>
      <c r="D536" s="350"/>
      <c r="E536" s="350"/>
      <c r="F536" s="350"/>
    </row>
    <row r="537" spans="1:16" x14ac:dyDescent="0.25">
      <c r="A537" s="4" t="s">
        <v>61</v>
      </c>
      <c r="B537" s="2" t="s">
        <v>338</v>
      </c>
    </row>
    <row r="538" spans="1:16" x14ac:dyDescent="0.25">
      <c r="B538" s="2" t="s">
        <v>504</v>
      </c>
    </row>
    <row r="540" spans="1:16" x14ac:dyDescent="0.25">
      <c r="B540" s="2">
        <v>1</v>
      </c>
      <c r="C540" s="2" t="s">
        <v>491</v>
      </c>
      <c r="D540" s="2" t="s">
        <v>489</v>
      </c>
      <c r="E540" s="2">
        <v>1.5</v>
      </c>
      <c r="F540" s="2" t="s">
        <v>411</v>
      </c>
    </row>
    <row r="541" spans="1:16" x14ac:dyDescent="0.25">
      <c r="B541" s="2">
        <v>1</v>
      </c>
      <c r="C541" s="2" t="s">
        <v>492</v>
      </c>
      <c r="E541" s="2" t="s">
        <v>493</v>
      </c>
      <c r="F541" s="2">
        <v>4</v>
      </c>
      <c r="G541" s="2" t="s">
        <v>200</v>
      </c>
    </row>
    <row r="543" spans="1:16" x14ac:dyDescent="0.25">
      <c r="B543" s="2" t="s">
        <v>199</v>
      </c>
      <c r="D543" s="2" t="s">
        <v>494</v>
      </c>
      <c r="E543" s="4"/>
      <c r="F543" s="4" t="s">
        <v>224</v>
      </c>
      <c r="G543" s="4" t="s">
        <v>855</v>
      </c>
      <c r="H543" s="4"/>
      <c r="I543" s="4" t="s">
        <v>325</v>
      </c>
      <c r="K543" s="4"/>
    </row>
    <row r="544" spans="1:16" x14ac:dyDescent="0.25">
      <c r="B544" s="238">
        <f>'Carac trecho'!I32</f>
        <v>15</v>
      </c>
      <c r="D544" s="2">
        <f>ROUND(B544/E540,0)</f>
        <v>10</v>
      </c>
      <c r="E544" s="238"/>
      <c r="F544" s="2">
        <f>D544/F541</f>
        <v>2.5</v>
      </c>
      <c r="G544" s="238">
        <f>'Carac trecho'!C43</f>
        <v>5</v>
      </c>
      <c r="I544" s="238">
        <f>F544+G544</f>
        <v>7.5</v>
      </c>
      <c r="J544" s="4" t="s">
        <v>201</v>
      </c>
      <c r="K544" s="238">
        <f>ROUNDUP(I544*Listas!$E$5,0)</f>
        <v>9</v>
      </c>
      <c r="L544" s="2" t="s">
        <v>473</v>
      </c>
    </row>
    <row r="545" spans="1:21" x14ac:dyDescent="0.25">
      <c r="M545" s="238"/>
      <c r="O545" s="238"/>
    </row>
    <row r="546" spans="1:21" x14ac:dyDescent="0.25">
      <c r="B546" s="2" t="s">
        <v>474</v>
      </c>
      <c r="C546" s="2">
        <v>1</v>
      </c>
      <c r="D546" s="2" t="s">
        <v>475</v>
      </c>
      <c r="E546" s="4" t="s">
        <v>201</v>
      </c>
      <c r="F546" s="2">
        <f>I544/C546</f>
        <v>7.5</v>
      </c>
      <c r="G546" s="2" t="s">
        <v>472</v>
      </c>
      <c r="I546" s="4"/>
      <c r="L546" s="4"/>
    </row>
    <row r="547" spans="1:21" x14ac:dyDescent="0.25">
      <c r="F547" s="2">
        <f>ROUNDUP(K544/C546,0)</f>
        <v>9</v>
      </c>
      <c r="G547" s="2" t="s">
        <v>473</v>
      </c>
    </row>
    <row r="549" spans="1:21" x14ac:dyDescent="0.25">
      <c r="B549" s="4" t="s">
        <v>360</v>
      </c>
      <c r="C549" s="2" t="s">
        <v>15</v>
      </c>
      <c r="F549" s="4" t="s">
        <v>321</v>
      </c>
      <c r="G549" s="4"/>
      <c r="H549" s="4" t="s">
        <v>322</v>
      </c>
      <c r="I549" s="4"/>
      <c r="J549" s="4" t="s">
        <v>323</v>
      </c>
      <c r="K549" s="4"/>
      <c r="L549" s="4" t="s">
        <v>324</v>
      </c>
      <c r="M549" s="4"/>
      <c r="N549" s="4" t="s">
        <v>325</v>
      </c>
      <c r="O549" s="4"/>
      <c r="P549" s="4" t="s">
        <v>326</v>
      </c>
      <c r="Q549" s="4"/>
      <c r="R549" s="4" t="s">
        <v>327</v>
      </c>
      <c r="S549" s="4"/>
      <c r="T549" s="4" t="s">
        <v>328</v>
      </c>
      <c r="U549" s="4" t="s">
        <v>329</v>
      </c>
    </row>
    <row r="550" spans="1:21" x14ac:dyDescent="0.25">
      <c r="B550" s="4"/>
      <c r="F550" s="4"/>
      <c r="G550" s="4"/>
      <c r="H550" s="4" t="s">
        <v>330</v>
      </c>
      <c r="I550" s="4"/>
      <c r="J550" s="4" t="s">
        <v>331</v>
      </c>
      <c r="K550" s="4"/>
      <c r="L550" s="4" t="s">
        <v>332</v>
      </c>
      <c r="M550" s="4"/>
      <c r="N550" s="4" t="s">
        <v>333</v>
      </c>
      <c r="O550" s="4"/>
      <c r="P550" s="4" t="s">
        <v>334</v>
      </c>
      <c r="Q550" s="4"/>
      <c r="R550" s="4" t="s">
        <v>335</v>
      </c>
      <c r="S550" s="4"/>
      <c r="T550" s="4" t="s">
        <v>336</v>
      </c>
      <c r="U550" s="4" t="s">
        <v>337</v>
      </c>
    </row>
    <row r="551" spans="1:21" x14ac:dyDescent="0.25">
      <c r="B551" s="4" t="s">
        <v>136</v>
      </c>
      <c r="C551" s="2" t="str">
        <f ca="1">IFERROR(VLOOKUP(B551,MO_Matriz,2,0),"")</f>
        <v>Laboratorista</v>
      </c>
      <c r="F551" s="4" t="str">
        <f ca="1">IFERROR(VLOOKUP(B551,MO_Matriz,3,0),"")</f>
        <v>T</v>
      </c>
      <c r="H551" s="2">
        <f>$C$546</f>
        <v>1</v>
      </c>
      <c r="J551" s="2">
        <v>1</v>
      </c>
      <c r="L551" s="2">
        <f>Listas!$B$6</f>
        <v>7.333333333333333</v>
      </c>
      <c r="N551" s="2">
        <f>$F$546</f>
        <v>7.5</v>
      </c>
      <c r="P551" s="2">
        <f>H551*J551*L551*N551</f>
        <v>55</v>
      </c>
      <c r="R551" s="2">
        <f>P551/220</f>
        <v>0.25</v>
      </c>
      <c r="T551" s="315">
        <f ca="1">IFERROR(VLOOKUP(B551,MO_Matriz,5,0),"")</f>
        <v>5615.95</v>
      </c>
      <c r="U551" s="315">
        <f ca="1">R551*T551</f>
        <v>1403.9875</v>
      </c>
    </row>
    <row r="552" spans="1:21" x14ac:dyDescent="0.25">
      <c r="B552" s="4" t="s">
        <v>64</v>
      </c>
      <c r="C552" s="2" t="str">
        <f ca="1">IFERROR(VLOOKUP(B552,MO_Matriz,2,0),"")</f>
        <v>Auxiliar de laboratório</v>
      </c>
      <c r="F552" s="4" t="str">
        <f ca="1">IFERROR(VLOOKUP(B552,MO_Matriz,3,0),"")</f>
        <v>A</v>
      </c>
      <c r="H552" s="2">
        <f>$C$546</f>
        <v>1</v>
      </c>
      <c r="J552" s="2">
        <v>1</v>
      </c>
      <c r="L552" s="2">
        <f>Listas!$B$6</f>
        <v>7.333333333333333</v>
      </c>
      <c r="N552" s="2">
        <f>$F$546</f>
        <v>7.5</v>
      </c>
      <c r="P552" s="2">
        <f>H552*J552*L552*N552</f>
        <v>55</v>
      </c>
      <c r="R552" s="2">
        <f>P552/220</f>
        <v>0.25</v>
      </c>
      <c r="T552" s="315">
        <f ca="1">IFERROR(VLOOKUP(B552,MO_Matriz,5,0),"")</f>
        <v>4554.09</v>
      </c>
      <c r="U552" s="315">
        <f ca="1">R552*T552</f>
        <v>1138.5225</v>
      </c>
    </row>
    <row r="553" spans="1:21" x14ac:dyDescent="0.25">
      <c r="T553" s="340" t="s">
        <v>329</v>
      </c>
      <c r="U553" s="339">
        <f ca="1">SUM(U551:U552)</f>
        <v>2542.5100000000002</v>
      </c>
    </row>
    <row r="555" spans="1:21" x14ac:dyDescent="0.25">
      <c r="A555" s="337" t="s">
        <v>339</v>
      </c>
      <c r="B555" s="2" t="s">
        <v>340</v>
      </c>
    </row>
    <row r="556" spans="1:21" x14ac:dyDescent="0.25">
      <c r="B556" s="2" t="s">
        <v>341</v>
      </c>
    </row>
    <row r="558" spans="1:21" x14ac:dyDescent="0.25">
      <c r="A558" s="4" t="s">
        <v>348</v>
      </c>
      <c r="B558" s="2" t="s">
        <v>349</v>
      </c>
    </row>
    <row r="559" spans="1:21" x14ac:dyDescent="0.25">
      <c r="A559" s="4" t="s">
        <v>451</v>
      </c>
      <c r="B559" s="2" t="s">
        <v>452</v>
      </c>
    </row>
    <row r="560" spans="1:21" x14ac:dyDescent="0.25">
      <c r="B560" s="4" t="s">
        <v>360</v>
      </c>
      <c r="C560" s="2" t="s">
        <v>15</v>
      </c>
      <c r="F560" s="4" t="s">
        <v>321</v>
      </c>
      <c r="G560" s="4"/>
      <c r="H560" s="4" t="s">
        <v>453</v>
      </c>
      <c r="I560" s="4"/>
      <c r="J560" s="4" t="s">
        <v>454</v>
      </c>
    </row>
    <row r="561" spans="1:12" x14ac:dyDescent="0.25">
      <c r="B561" s="4" t="str">
        <f>B551</f>
        <v>P8098</v>
      </c>
      <c r="C561" s="2" t="str">
        <f ca="1">IFERROR(VLOOKUP(B561,MO_Matriz,2,0),"")</f>
        <v>Laboratorista</v>
      </c>
      <c r="F561" s="4" t="str">
        <f ca="1">IFERROR(VLOOKUP(B561,MO_Matriz,3,0),"")</f>
        <v>T</v>
      </c>
      <c r="H561" s="2" t="s">
        <v>455</v>
      </c>
      <c r="J561" s="2">
        <f>J551</f>
        <v>1</v>
      </c>
    </row>
    <row r="562" spans="1:12" x14ac:dyDescent="0.25">
      <c r="B562" s="4" t="str">
        <f t="shared" ref="B562" si="13">B552</f>
        <v>P8027</v>
      </c>
      <c r="C562" s="2" t="str">
        <f ca="1">IFERROR(VLOOKUP(B562,MO_Matriz,2,0),"")</f>
        <v>Auxiliar de laboratório</v>
      </c>
      <c r="F562" s="4" t="str">
        <f ca="1">IFERROR(VLOOKUP(B562,MO_Matriz,3,0),"")</f>
        <v>A</v>
      </c>
      <c r="H562" s="2" t="s">
        <v>455</v>
      </c>
      <c r="J562" s="2">
        <f>J552</f>
        <v>1</v>
      </c>
    </row>
    <row r="563" spans="1:12" x14ac:dyDescent="0.25">
      <c r="I563" s="340" t="s">
        <v>329</v>
      </c>
      <c r="J563" s="340">
        <f>SUM(J561:J562)</f>
        <v>2</v>
      </c>
    </row>
    <row r="565" spans="1:12" x14ac:dyDescent="0.25">
      <c r="A565" s="4" t="s">
        <v>456</v>
      </c>
      <c r="B565" s="2" t="s">
        <v>457</v>
      </c>
    </row>
    <row r="566" spans="1:12" x14ac:dyDescent="0.25">
      <c r="A566" s="4"/>
      <c r="B566" s="2" t="s">
        <v>1033</v>
      </c>
    </row>
    <row r="567" spans="1:12" x14ac:dyDescent="0.25">
      <c r="A567" s="4"/>
    </row>
    <row r="568" spans="1:12" x14ac:dyDescent="0.25">
      <c r="A568" s="4" t="s">
        <v>350</v>
      </c>
      <c r="B568" s="2" t="s">
        <v>351</v>
      </c>
    </row>
    <row r="569" spans="1:12" x14ac:dyDescent="0.25">
      <c r="B569" s="4" t="s">
        <v>320</v>
      </c>
      <c r="C569" s="2" t="s">
        <v>15</v>
      </c>
      <c r="E569" s="4" t="s">
        <v>202</v>
      </c>
      <c r="F569" s="4" t="s">
        <v>224</v>
      </c>
      <c r="G569" s="4" t="s">
        <v>361</v>
      </c>
      <c r="H569" s="4"/>
      <c r="I569" s="4" t="s">
        <v>478</v>
      </c>
      <c r="K569" s="338" t="s">
        <v>396</v>
      </c>
      <c r="L569" s="338"/>
    </row>
    <row r="570" spans="1:12" x14ac:dyDescent="0.25">
      <c r="B570" s="4"/>
      <c r="E570" s="4" t="s">
        <v>363</v>
      </c>
      <c r="F570" s="4" t="s">
        <v>330</v>
      </c>
      <c r="G570" s="4" t="s">
        <v>364</v>
      </c>
      <c r="H570" s="4"/>
      <c r="I570" s="4" t="s">
        <v>332</v>
      </c>
      <c r="K570" s="338" t="s">
        <v>365</v>
      </c>
      <c r="L570" s="338"/>
    </row>
    <row r="571" spans="1:12" x14ac:dyDescent="0.25">
      <c r="B571" s="4" t="s">
        <v>292</v>
      </c>
      <c r="C571" s="2" t="str">
        <f>VLOOKUP(B571,'Imóveis-Mobiliários-Cestas-Dive'!$B$2:$F$13,3,0)</f>
        <v>Laboratório de solos</v>
      </c>
      <c r="E571" s="2">
        <f>C546</f>
        <v>1</v>
      </c>
      <c r="F571" s="2">
        <f>F546</f>
        <v>7.5</v>
      </c>
      <c r="G571" s="2">
        <f>F571/30</f>
        <v>0.25</v>
      </c>
      <c r="I571" s="315">
        <f>VLOOKUP(B571,'Imóveis-Mobiliários-Cestas-Dive'!$B$2:$F$13,5,0)</f>
        <v>3520.5</v>
      </c>
      <c r="K571" s="339">
        <f>I571*E571*G571</f>
        <v>880.125</v>
      </c>
      <c r="L571" s="339"/>
    </row>
    <row r="573" spans="1:12" x14ac:dyDescent="0.25">
      <c r="A573" s="4" t="s">
        <v>197</v>
      </c>
      <c r="B573" s="2" t="s">
        <v>352</v>
      </c>
    </row>
    <row r="574" spans="1:12" x14ac:dyDescent="0.25">
      <c r="A574" s="4"/>
      <c r="B574" s="2" t="s">
        <v>346</v>
      </c>
    </row>
    <row r="576" spans="1:12" x14ac:dyDescent="0.25">
      <c r="A576" s="4" t="s">
        <v>353</v>
      </c>
      <c r="B576" s="2" t="s">
        <v>354</v>
      </c>
    </row>
    <row r="577" spans="1:10" x14ac:dyDescent="0.25">
      <c r="B577" s="2" t="s">
        <v>347</v>
      </c>
      <c r="H577" s="315"/>
      <c r="I577" s="4"/>
      <c r="J577" s="354"/>
    </row>
    <row r="579" spans="1:10" x14ac:dyDescent="0.25">
      <c r="A579" s="4" t="s">
        <v>386</v>
      </c>
      <c r="B579" s="2" t="s">
        <v>366</v>
      </c>
    </row>
    <row r="580" spans="1:10" x14ac:dyDescent="0.25">
      <c r="B580" s="2" t="s">
        <v>347</v>
      </c>
    </row>
    <row r="582" spans="1:10" x14ac:dyDescent="0.25">
      <c r="A582" s="4" t="s">
        <v>355</v>
      </c>
      <c r="B582" s="2" t="s">
        <v>356</v>
      </c>
    </row>
    <row r="583" spans="1:10" x14ac:dyDescent="0.25">
      <c r="B583" s="2" t="s">
        <v>15</v>
      </c>
      <c r="F583" s="2" t="s">
        <v>357</v>
      </c>
    </row>
    <row r="584" spans="1:10" x14ac:dyDescent="0.25">
      <c r="B584" s="2" t="s">
        <v>317</v>
      </c>
      <c r="F584" s="315">
        <f ca="1">U553</f>
        <v>2542.5100000000002</v>
      </c>
    </row>
    <row r="585" spans="1:10" x14ac:dyDescent="0.25">
      <c r="B585" s="2" t="s">
        <v>276</v>
      </c>
      <c r="F585" s="315">
        <v>0</v>
      </c>
    </row>
    <row r="586" spans="1:10" x14ac:dyDescent="0.25">
      <c r="B586" s="2" t="s">
        <v>342</v>
      </c>
      <c r="F586" s="315">
        <v>0</v>
      </c>
    </row>
    <row r="587" spans="1:10" x14ac:dyDescent="0.25">
      <c r="B587" s="2" t="s">
        <v>343</v>
      </c>
      <c r="F587" s="315">
        <f>K571</f>
        <v>880.125</v>
      </c>
    </row>
    <row r="588" spans="1:10" x14ac:dyDescent="0.25">
      <c r="B588" s="2" t="s">
        <v>345</v>
      </c>
      <c r="F588" s="315">
        <v>0</v>
      </c>
    </row>
    <row r="589" spans="1:10" x14ac:dyDescent="0.25">
      <c r="B589" s="2" t="s">
        <v>516</v>
      </c>
      <c r="F589" s="315">
        <v>0</v>
      </c>
    </row>
    <row r="590" spans="1:10" x14ac:dyDescent="0.25">
      <c r="E590" s="340" t="s">
        <v>329</v>
      </c>
      <c r="F590" s="339">
        <f ca="1">SUM(F584:F589)</f>
        <v>3422.6350000000002</v>
      </c>
    </row>
    <row r="592" spans="1:10" x14ac:dyDescent="0.25">
      <c r="A592" s="350" t="s">
        <v>1013</v>
      </c>
      <c r="B592" s="350" t="s">
        <v>507</v>
      </c>
      <c r="C592" s="350"/>
      <c r="D592" s="350"/>
      <c r="E592" s="350"/>
      <c r="F592" s="350"/>
      <c r="G592" s="350"/>
    </row>
    <row r="593" spans="2:14" x14ac:dyDescent="0.25">
      <c r="B593" s="2" t="s">
        <v>1029</v>
      </c>
    </row>
    <row r="594" spans="2:14" x14ac:dyDescent="0.25">
      <c r="B594" s="2" t="s">
        <v>379</v>
      </c>
    </row>
    <row r="596" spans="2:14" x14ac:dyDescent="0.25">
      <c r="B596" s="2" t="s">
        <v>15</v>
      </c>
      <c r="H596" s="2" t="s">
        <v>325</v>
      </c>
      <c r="J596" s="2" t="s">
        <v>381</v>
      </c>
    </row>
    <row r="597" spans="2:14" x14ac:dyDescent="0.25">
      <c r="B597" s="2" t="s">
        <v>488</v>
      </c>
      <c r="H597" s="2">
        <f>N456</f>
        <v>5</v>
      </c>
      <c r="J597" s="2">
        <f>ROUNDUP(H597*Listas!$E$5,0)</f>
        <v>6</v>
      </c>
    </row>
    <row r="598" spans="2:14" x14ac:dyDescent="0.25">
      <c r="B598" s="2" t="s">
        <v>490</v>
      </c>
      <c r="H598" s="238">
        <f>F546</f>
        <v>7.5</v>
      </c>
      <c r="J598" s="2">
        <f>ROUNDUP(H598*Listas!$E$5,0)</f>
        <v>9</v>
      </c>
      <c r="K598" s="4" t="s">
        <v>201</v>
      </c>
      <c r="L598" s="2" t="s">
        <v>380</v>
      </c>
    </row>
    <row r="600" spans="2:14" x14ac:dyDescent="0.25">
      <c r="B600" s="2" t="s">
        <v>15</v>
      </c>
      <c r="E600" s="2" t="s">
        <v>856</v>
      </c>
      <c r="G600" s="2" t="s">
        <v>224</v>
      </c>
      <c r="H600" s="2" t="s">
        <v>855</v>
      </c>
      <c r="J600" s="2" t="s">
        <v>325</v>
      </c>
    </row>
    <row r="601" spans="2:14" x14ac:dyDescent="0.25">
      <c r="B601" s="2" t="s">
        <v>382</v>
      </c>
      <c r="E601" s="238">
        <f>'Carac trecho'!I52</f>
        <v>6</v>
      </c>
      <c r="G601" s="2">
        <f>'Qd abrang'!C7/E601</f>
        <v>0.21666666666666667</v>
      </c>
      <c r="H601" s="238">
        <f>'Carac trecho'!H52</f>
        <v>3</v>
      </c>
      <c r="J601" s="238">
        <f>G601+H601</f>
        <v>3.2166666666666668</v>
      </c>
      <c r="K601" s="4" t="s">
        <v>201</v>
      </c>
      <c r="L601" s="238">
        <f>ROUNDUP(J601*Listas!$E$5,0)</f>
        <v>4</v>
      </c>
      <c r="M601" s="2" t="s">
        <v>473</v>
      </c>
    </row>
    <row r="603" spans="2:14" x14ac:dyDescent="0.25">
      <c r="B603" s="2" t="s">
        <v>474</v>
      </c>
    </row>
    <row r="604" spans="2:14" x14ac:dyDescent="0.25">
      <c r="B604" s="2" t="s">
        <v>15</v>
      </c>
      <c r="F604" s="4" t="s">
        <v>325</v>
      </c>
      <c r="K604" s="2" t="s">
        <v>381</v>
      </c>
    </row>
    <row r="605" spans="2:14" x14ac:dyDescent="0.25">
      <c r="B605" s="2" t="str">
        <f>B597</f>
        <v>Sondagens subleito, cortes, caixas de empréstimo e  jazidas de solo</v>
      </c>
      <c r="F605" s="238">
        <f>H597</f>
        <v>5</v>
      </c>
    </row>
    <row r="606" spans="2:14" x14ac:dyDescent="0.25">
      <c r="B606" s="2" t="s">
        <v>490</v>
      </c>
      <c r="F606" s="238">
        <f>H598</f>
        <v>7.5</v>
      </c>
      <c r="K606" s="2">
        <f>ROUNDUP(F606*Listas!$E$5,0)</f>
        <v>9</v>
      </c>
    </row>
    <row r="607" spans="2:14" x14ac:dyDescent="0.25">
      <c r="B607" s="2" t="s">
        <v>382</v>
      </c>
      <c r="F607" s="238">
        <f>J601</f>
        <v>3.2166666666666668</v>
      </c>
      <c r="G607" s="4" t="s">
        <v>201</v>
      </c>
      <c r="H607" s="2">
        <f>F607/2</f>
        <v>1.6083333333333334</v>
      </c>
      <c r="I607" s="2" t="s">
        <v>445</v>
      </c>
      <c r="K607" s="2">
        <f>ROUNDUP(F607*Listas!$E$5,0)</f>
        <v>4</v>
      </c>
      <c r="L607" s="4" t="s">
        <v>201</v>
      </c>
      <c r="M607" s="2">
        <f>K607/2</f>
        <v>2</v>
      </c>
      <c r="N607" s="2" t="s">
        <v>445</v>
      </c>
    </row>
    <row r="608" spans="2:14" x14ac:dyDescent="0.25">
      <c r="B608" s="2" t="s">
        <v>501</v>
      </c>
      <c r="F608" s="238">
        <f>SUM(F605:F607)</f>
        <v>15.716666666666667</v>
      </c>
      <c r="G608" s="4"/>
      <c r="H608" s="355">
        <f>F607/2</f>
        <v>1.6083333333333334</v>
      </c>
      <c r="I608" s="2" t="s">
        <v>447</v>
      </c>
      <c r="K608" s="2">
        <f>ROUNDUP(F608*Listas!$E$5,0)</f>
        <v>19</v>
      </c>
      <c r="L608" s="4"/>
      <c r="M608" s="2">
        <f>K607/2</f>
        <v>2</v>
      </c>
      <c r="N608" s="2" t="s">
        <v>447</v>
      </c>
    </row>
    <row r="609" spans="1:21" x14ac:dyDescent="0.25">
      <c r="F609" s="238"/>
      <c r="G609" s="4"/>
      <c r="L609" s="4"/>
    </row>
    <row r="610" spans="1:21" x14ac:dyDescent="0.25">
      <c r="A610" s="4" t="s">
        <v>61</v>
      </c>
      <c r="B610" s="2" t="s">
        <v>338</v>
      </c>
      <c r="F610" s="238"/>
      <c r="G610" s="4"/>
      <c r="L610" s="4"/>
    </row>
    <row r="611" spans="1:21" x14ac:dyDescent="0.25">
      <c r="B611" s="4" t="s">
        <v>360</v>
      </c>
      <c r="C611" s="2" t="s">
        <v>15</v>
      </c>
      <c r="F611" s="4" t="s">
        <v>321</v>
      </c>
      <c r="G611" s="4"/>
      <c r="H611" s="4" t="s">
        <v>322</v>
      </c>
      <c r="I611" s="4"/>
      <c r="J611" s="4" t="s">
        <v>323</v>
      </c>
      <c r="K611" s="4"/>
      <c r="L611" s="4" t="s">
        <v>324</v>
      </c>
      <c r="M611" s="4"/>
      <c r="N611" s="4" t="s">
        <v>325</v>
      </c>
      <c r="O611" s="4"/>
      <c r="P611" s="4" t="s">
        <v>326</v>
      </c>
      <c r="Q611" s="4"/>
      <c r="R611" s="4" t="s">
        <v>327</v>
      </c>
      <c r="S611" s="4"/>
      <c r="T611" s="4" t="s">
        <v>328</v>
      </c>
      <c r="U611" s="4" t="s">
        <v>329</v>
      </c>
    </row>
    <row r="612" spans="1:21" x14ac:dyDescent="0.25">
      <c r="B612" s="4"/>
      <c r="F612" s="4"/>
      <c r="G612" s="4"/>
      <c r="H612" s="4" t="s">
        <v>330</v>
      </c>
      <c r="I612" s="4"/>
      <c r="J612" s="4" t="s">
        <v>331</v>
      </c>
      <c r="K612" s="4"/>
      <c r="L612" s="4" t="s">
        <v>332</v>
      </c>
      <c r="M612" s="4"/>
      <c r="N612" s="4" t="s">
        <v>333</v>
      </c>
      <c r="O612" s="4"/>
      <c r="P612" s="4" t="s">
        <v>334</v>
      </c>
      <c r="Q612" s="4"/>
      <c r="R612" s="4" t="s">
        <v>335</v>
      </c>
      <c r="S612" s="4"/>
      <c r="T612" s="4" t="s">
        <v>336</v>
      </c>
      <c r="U612" s="4" t="s">
        <v>337</v>
      </c>
    </row>
    <row r="613" spans="1:21" x14ac:dyDescent="0.25">
      <c r="B613" s="4" t="s">
        <v>112</v>
      </c>
      <c r="C613" s="2" t="str">
        <f ca="1">IFERROR(VLOOKUP(B613,MO_Matriz,2,0),"")</f>
        <v>Engenheiro de projetos júnior</v>
      </c>
      <c r="F613" s="4" t="str">
        <f ca="1">IFERROR(VLOOKUP(B613,MO_Matriz,3,0),"")</f>
        <v>S</v>
      </c>
      <c r="H613" s="2">
        <v>1</v>
      </c>
      <c r="J613" s="2">
        <v>1</v>
      </c>
      <c r="L613" s="2">
        <f>Listas!$B$6</f>
        <v>7.333333333333333</v>
      </c>
      <c r="N613" s="356">
        <f>$F$607</f>
        <v>3.2166666666666668</v>
      </c>
      <c r="P613" s="2">
        <f>H613*J613*L613*N613</f>
        <v>23.588888888888889</v>
      </c>
      <c r="R613" s="2">
        <f>P613/220</f>
        <v>0.10722222222222222</v>
      </c>
      <c r="T613" s="315">
        <f ca="1">IFERROR(VLOOKUP(B613,MO_Matriz,5,0),"")</f>
        <v>24288.81</v>
      </c>
      <c r="U613" s="315">
        <f ca="1">R613*T613</f>
        <v>2604.3001833333333</v>
      </c>
    </row>
    <row r="614" spans="1:21" x14ac:dyDescent="0.25">
      <c r="B614" s="4" t="s">
        <v>136</v>
      </c>
      <c r="C614" s="2" t="str">
        <f ca="1">IFERROR(VLOOKUP(B614,MO_Matriz,2,0),"")</f>
        <v>Laboratorista</v>
      </c>
      <c r="F614" s="4" t="str">
        <f ca="1">IFERROR(VLOOKUP(B614,MO_Matriz,3,0),"")</f>
        <v>T</v>
      </c>
      <c r="H614" s="2">
        <v>1</v>
      </c>
      <c r="J614" s="2">
        <v>1</v>
      </c>
      <c r="L614" s="2">
        <f>Listas!$B$6</f>
        <v>7.333333333333333</v>
      </c>
      <c r="N614" s="356">
        <f>$F$607</f>
        <v>3.2166666666666668</v>
      </c>
      <c r="P614" s="2">
        <f>H614*J614*L614*N614</f>
        <v>23.588888888888889</v>
      </c>
      <c r="R614" s="2">
        <f>P614/220</f>
        <v>0.10722222222222222</v>
      </c>
      <c r="T614" s="315">
        <f ca="1">IFERROR(VLOOKUP(B614,MO_Matriz,5,0),"")</f>
        <v>5615.95</v>
      </c>
      <c r="U614" s="315">
        <f ca="1">R614*T614</f>
        <v>602.15463888888883</v>
      </c>
    </row>
    <row r="615" spans="1:21" x14ac:dyDescent="0.25">
      <c r="T615" s="340" t="s">
        <v>329</v>
      </c>
      <c r="U615" s="339">
        <f ca="1">SUM(U613:U614)</f>
        <v>3206.454822222222</v>
      </c>
    </row>
    <row r="616" spans="1:21" x14ac:dyDescent="0.25">
      <c r="A616" s="337" t="s">
        <v>339</v>
      </c>
      <c r="B616" s="2" t="s">
        <v>340</v>
      </c>
    </row>
    <row r="617" spans="1:21" x14ac:dyDescent="0.25">
      <c r="B617" s="2" t="s">
        <v>341</v>
      </c>
    </row>
    <row r="619" spans="1:21" x14ac:dyDescent="0.25">
      <c r="A619" s="4" t="s">
        <v>348</v>
      </c>
      <c r="B619" s="2" t="s">
        <v>349</v>
      </c>
    </row>
    <row r="620" spans="1:21" x14ac:dyDescent="0.25">
      <c r="A620" s="4" t="s">
        <v>451</v>
      </c>
      <c r="B620" s="2" t="s">
        <v>452</v>
      </c>
    </row>
    <row r="621" spans="1:21" x14ac:dyDescent="0.25">
      <c r="B621" s="4" t="s">
        <v>360</v>
      </c>
      <c r="C621" s="2" t="s">
        <v>15</v>
      </c>
      <c r="F621" s="4" t="s">
        <v>321</v>
      </c>
      <c r="G621" s="4"/>
      <c r="H621" s="4" t="s">
        <v>453</v>
      </c>
      <c r="I621" s="4"/>
      <c r="J621" s="4" t="s">
        <v>454</v>
      </c>
    </row>
    <row r="622" spans="1:21" x14ac:dyDescent="0.25">
      <c r="B622" s="4" t="str">
        <f>B613</f>
        <v>P8065</v>
      </c>
      <c r="C622" s="2" t="str">
        <f ca="1">IFERROR(VLOOKUP(B622,MO_Matriz,2,0),"")</f>
        <v>Engenheiro de projetos júnior</v>
      </c>
      <c r="F622" s="4" t="str">
        <f ca="1">IFERROR(VLOOKUP(B622,MO_Matriz,3,0),"")</f>
        <v>S</v>
      </c>
      <c r="H622" s="2" t="s">
        <v>455</v>
      </c>
      <c r="J622" s="2">
        <v>1</v>
      </c>
    </row>
    <row r="623" spans="1:21" x14ac:dyDescent="0.25">
      <c r="B623" s="4" t="str">
        <f>B614</f>
        <v>P8098</v>
      </c>
      <c r="C623" s="2" t="str">
        <f ca="1">IFERROR(VLOOKUP(B623,MO_Matriz,2,0),"")</f>
        <v>Laboratorista</v>
      </c>
      <c r="F623" s="4" t="str">
        <f ca="1">IFERROR(VLOOKUP(B623,MO_Matriz,3,0),"")</f>
        <v>T</v>
      </c>
      <c r="H623" s="2" t="s">
        <v>455</v>
      </c>
      <c r="J623" s="2">
        <v>1</v>
      </c>
    </row>
    <row r="624" spans="1:21" x14ac:dyDescent="0.25">
      <c r="I624" s="340" t="s">
        <v>329</v>
      </c>
      <c r="J624" s="340">
        <f>SUM(J622:J623)</f>
        <v>2</v>
      </c>
    </row>
    <row r="626" spans="1:16" x14ac:dyDescent="0.25">
      <c r="A626" s="4" t="s">
        <v>456</v>
      </c>
      <c r="B626" s="2" t="s">
        <v>457</v>
      </c>
    </row>
    <row r="627" spans="1:16" x14ac:dyDescent="0.25">
      <c r="A627" s="4"/>
      <c r="B627" s="2" t="s">
        <v>1033</v>
      </c>
    </row>
    <row r="628" spans="1:16" x14ac:dyDescent="0.25">
      <c r="A628" s="4"/>
    </row>
    <row r="629" spans="1:16" x14ac:dyDescent="0.25">
      <c r="A629" s="4" t="s">
        <v>350</v>
      </c>
      <c r="B629" s="2" t="s">
        <v>351</v>
      </c>
    </row>
    <row r="630" spans="1:16" x14ac:dyDescent="0.25">
      <c r="B630" s="2" t="s">
        <v>344</v>
      </c>
    </row>
    <row r="632" spans="1:16" x14ac:dyDescent="0.25">
      <c r="A632" s="4" t="s">
        <v>197</v>
      </c>
      <c r="B632" s="2" t="s">
        <v>352</v>
      </c>
    </row>
    <row r="633" spans="1:16" s="28" customFormat="1" ht="17.25" x14ac:dyDescent="0.25">
      <c r="A633" s="2"/>
      <c r="B633" s="2" t="s">
        <v>346</v>
      </c>
      <c r="C633" s="2"/>
      <c r="D633" s="2"/>
      <c r="E633" s="2"/>
      <c r="F633" s="2"/>
      <c r="G633" s="2"/>
      <c r="H633" s="2"/>
      <c r="I633" s="2"/>
      <c r="J633" s="2"/>
      <c r="K633" s="2"/>
      <c r="L633" s="2"/>
      <c r="M633" s="2"/>
      <c r="N633" s="2"/>
      <c r="O633" s="2"/>
    </row>
    <row r="635" spans="1:16" x14ac:dyDescent="0.25">
      <c r="A635" s="4" t="s">
        <v>353</v>
      </c>
      <c r="B635" s="2" t="s">
        <v>354</v>
      </c>
    </row>
    <row r="636" spans="1:16" x14ac:dyDescent="0.25">
      <c r="B636" s="2" t="s">
        <v>347</v>
      </c>
    </row>
    <row r="638" spans="1:16" x14ac:dyDescent="0.25">
      <c r="A638" s="4" t="s">
        <v>355</v>
      </c>
      <c r="B638" s="2" t="s">
        <v>356</v>
      </c>
    </row>
    <row r="639" spans="1:16" x14ac:dyDescent="0.25">
      <c r="B639" s="2" t="s">
        <v>15</v>
      </c>
      <c r="F639" s="2" t="s">
        <v>357</v>
      </c>
      <c r="P639" s="4"/>
    </row>
    <row r="640" spans="1:16" x14ac:dyDescent="0.25">
      <c r="B640" s="2" t="s">
        <v>317</v>
      </c>
      <c r="F640" s="315">
        <f ca="1">U615</f>
        <v>3206.454822222222</v>
      </c>
      <c r="P640" s="4"/>
    </row>
    <row r="641" spans="1:20" x14ac:dyDescent="0.25">
      <c r="B641" s="2" t="s">
        <v>276</v>
      </c>
      <c r="F641" s="315">
        <v>0</v>
      </c>
      <c r="N641" s="315"/>
    </row>
    <row r="642" spans="1:20" x14ac:dyDescent="0.25">
      <c r="B642" s="2" t="s">
        <v>342</v>
      </c>
      <c r="F642" s="315">
        <v>0</v>
      </c>
      <c r="I642" s="2" t="s">
        <v>448</v>
      </c>
      <c r="J642" s="4" t="s">
        <v>406</v>
      </c>
      <c r="K642" s="2" t="s">
        <v>414</v>
      </c>
    </row>
    <row r="643" spans="1:20" x14ac:dyDescent="0.25">
      <c r="B643" s="2" t="s">
        <v>343</v>
      </c>
      <c r="F643" s="315">
        <v>0</v>
      </c>
      <c r="I643" s="2" t="s">
        <v>449</v>
      </c>
      <c r="J643" s="315">
        <v>0</v>
      </c>
      <c r="K643" s="316">
        <v>0</v>
      </c>
    </row>
    <row r="644" spans="1:20" x14ac:dyDescent="0.25">
      <c r="B644" s="2" t="s">
        <v>345</v>
      </c>
      <c r="F644" s="315">
        <v>0</v>
      </c>
      <c r="I644" s="2" t="s">
        <v>445</v>
      </c>
      <c r="J644" s="315">
        <f ca="1">J646*K644</f>
        <v>1858.247677989867</v>
      </c>
      <c r="K644" s="316">
        <f>(F606+H607)/F608</f>
        <v>0.57953340402969256</v>
      </c>
    </row>
    <row r="645" spans="1:20" x14ac:dyDescent="0.25">
      <c r="B645" s="2" t="s">
        <v>516</v>
      </c>
      <c r="F645" s="315">
        <v>0</v>
      </c>
      <c r="I645" s="2" t="s">
        <v>447</v>
      </c>
      <c r="J645" s="315">
        <f ca="1">J646-J644</f>
        <v>1348.2071442323549</v>
      </c>
      <c r="K645" s="316">
        <f>K646-K644</f>
        <v>0.42046659597030744</v>
      </c>
    </row>
    <row r="646" spans="1:20" x14ac:dyDescent="0.25">
      <c r="E646" s="340" t="s">
        <v>329</v>
      </c>
      <c r="F646" s="339">
        <f ca="1">SUM(F640:F645)</f>
        <v>3206.454822222222</v>
      </c>
      <c r="I646" s="2" t="s">
        <v>329</v>
      </c>
      <c r="J646" s="315">
        <f ca="1">F646</f>
        <v>3206.454822222222</v>
      </c>
      <c r="K646" s="316">
        <v>1</v>
      </c>
    </row>
    <row r="648" spans="1:20" ht="17.25" x14ac:dyDescent="0.25">
      <c r="A648" s="336" t="s">
        <v>508</v>
      </c>
      <c r="B648" s="336" t="s">
        <v>519</v>
      </c>
      <c r="C648" s="336"/>
      <c r="D648" s="336"/>
      <c r="E648" s="28"/>
      <c r="G648" s="28"/>
      <c r="H648" s="28"/>
      <c r="I648" s="28"/>
      <c r="J648" s="28"/>
      <c r="K648" s="28"/>
      <c r="L648" s="28"/>
      <c r="M648" s="28"/>
      <c r="N648" s="28"/>
      <c r="O648" s="28"/>
    </row>
    <row r="649" spans="1:20" x14ac:dyDescent="0.25">
      <c r="A649" s="4" t="s">
        <v>61</v>
      </c>
      <c r="B649" s="2" t="s">
        <v>338</v>
      </c>
    </row>
    <row r="650" spans="1:20" x14ac:dyDescent="0.25">
      <c r="A650" s="4"/>
      <c r="B650" s="2" t="s">
        <v>448</v>
      </c>
      <c r="D650" s="4" t="s">
        <v>225</v>
      </c>
      <c r="F650" s="4" t="s">
        <v>325</v>
      </c>
      <c r="H650" s="4" t="s">
        <v>922</v>
      </c>
      <c r="J650" s="4" t="s">
        <v>925</v>
      </c>
      <c r="L650" s="4"/>
    </row>
    <row r="651" spans="1:20" x14ac:dyDescent="0.25">
      <c r="A651" s="4"/>
      <c r="B651" s="2" t="s">
        <v>924</v>
      </c>
      <c r="D651" s="357">
        <f>D69+J325+N452</f>
        <v>3</v>
      </c>
      <c r="F651" s="2">
        <f>D651/Listas!$E$5</f>
        <v>2.5714285714285712</v>
      </c>
      <c r="H651" s="2">
        <v>2</v>
      </c>
      <c r="J651" s="2">
        <f>F651+H651</f>
        <v>4.5714285714285712</v>
      </c>
    </row>
    <row r="652" spans="1:20" x14ac:dyDescent="0.25">
      <c r="A652" s="4"/>
      <c r="C652" s="2" t="s">
        <v>329</v>
      </c>
      <c r="D652" s="238">
        <f>SUM(D651:D651)</f>
        <v>3</v>
      </c>
    </row>
    <row r="653" spans="1:20" x14ac:dyDescent="0.25">
      <c r="A653" s="4"/>
    </row>
    <row r="654" spans="1:20" x14ac:dyDescent="0.25">
      <c r="B654" s="4" t="s">
        <v>360</v>
      </c>
      <c r="C654" s="2" t="s">
        <v>15</v>
      </c>
      <c r="F654" s="4" t="s">
        <v>321</v>
      </c>
      <c r="G654" s="4"/>
      <c r="H654" s="4" t="s">
        <v>322</v>
      </c>
      <c r="I654" s="4" t="s">
        <v>323</v>
      </c>
      <c r="J654" s="4"/>
      <c r="K654" s="4" t="s">
        <v>324</v>
      </c>
      <c r="L654" s="4"/>
      <c r="M654" s="4" t="s">
        <v>325</v>
      </c>
      <c r="N654" s="4"/>
      <c r="O654" s="4" t="s">
        <v>326</v>
      </c>
      <c r="Q654" s="4" t="s">
        <v>327</v>
      </c>
      <c r="R654" s="4"/>
      <c r="S654" s="4" t="s">
        <v>328</v>
      </c>
      <c r="T654" s="337" t="s">
        <v>329</v>
      </c>
    </row>
    <row r="655" spans="1:20" x14ac:dyDescent="0.25">
      <c r="B655" s="4"/>
      <c r="F655" s="4"/>
      <c r="G655" s="4"/>
      <c r="H655" s="4" t="s">
        <v>330</v>
      </c>
      <c r="I655" s="4" t="s">
        <v>331</v>
      </c>
      <c r="J655" s="4"/>
      <c r="K655" s="4" t="s">
        <v>332</v>
      </c>
      <c r="L655" s="4"/>
      <c r="M655" s="4" t="s">
        <v>333</v>
      </c>
      <c r="N655" s="4"/>
      <c r="O655" s="4" t="s">
        <v>334</v>
      </c>
      <c r="Q655" s="4" t="s">
        <v>335</v>
      </c>
      <c r="R655" s="4"/>
      <c r="S655" s="4" t="s">
        <v>336</v>
      </c>
      <c r="T655" s="337" t="s">
        <v>337</v>
      </c>
    </row>
    <row r="656" spans="1:20" x14ac:dyDescent="0.25">
      <c r="B656" s="4" t="s">
        <v>104</v>
      </c>
      <c r="C656" s="2" t="str">
        <f ca="1">IFERROR(VLOOKUP(B656,MO_Matriz,2,0),"")</f>
        <v>Engenheiro coordenador</v>
      </c>
      <c r="F656" s="4" t="str">
        <f ca="1">IFERROR(VLOOKUP(B656,MO_Matriz,3,0),"")</f>
        <v>S</v>
      </c>
      <c r="H656" s="2">
        <v>1</v>
      </c>
      <c r="I656" s="2">
        <v>1</v>
      </c>
      <c r="K656" s="2">
        <f>Listas!$B$6</f>
        <v>7.333333333333333</v>
      </c>
      <c r="M656" s="238">
        <f>$J$651</f>
        <v>4.5714285714285712</v>
      </c>
      <c r="O656" s="2">
        <f>H656*I656*K656*M656</f>
        <v>33.523809523809518</v>
      </c>
      <c r="Q656" s="2">
        <f>O656/220</f>
        <v>0.15238095238095237</v>
      </c>
      <c r="S656" s="315">
        <f ca="1">IFERROR(VLOOKUP(B656,MO_Matriz,5,0),"")</f>
        <v>35173.129999999997</v>
      </c>
      <c r="T656" s="347">
        <f ca="1">Q656*S656</f>
        <v>5359.7150476190463</v>
      </c>
    </row>
    <row r="657" spans="1:20" x14ac:dyDescent="0.25">
      <c r="B657" s="4" t="s">
        <v>169</v>
      </c>
      <c r="C657" s="2" t="str">
        <f ca="1">IFERROR(VLOOKUP(B657,MO_Matriz,2,0),"")</f>
        <v>Técnico de obras</v>
      </c>
      <c r="F657" s="4" t="str">
        <f ca="1">IFERROR(VLOOKUP(B657,MO_Matriz,3,0),"")</f>
        <v>T</v>
      </c>
      <c r="H657" s="2">
        <v>1</v>
      </c>
      <c r="I657" s="2">
        <v>1</v>
      </c>
      <c r="K657" s="2">
        <f>Listas!$B$6</f>
        <v>7.333333333333333</v>
      </c>
      <c r="M657" s="238">
        <f>$J$651</f>
        <v>4.5714285714285712</v>
      </c>
      <c r="O657" s="2">
        <f t="shared" ref="O657" si="14">H657*I657*K657*M657</f>
        <v>33.523809523809518</v>
      </c>
      <c r="Q657" s="2">
        <f t="shared" ref="Q657" si="15">O657/220</f>
        <v>0.15238095238095237</v>
      </c>
      <c r="S657" s="315">
        <f ca="1">IFERROR(VLOOKUP(B657,MO_Matriz,5,0),"")</f>
        <v>7040.14</v>
      </c>
      <c r="T657" s="347">
        <f t="shared" ref="T657" ca="1" si="16">Q657*S657</f>
        <v>1072.7832380952379</v>
      </c>
    </row>
    <row r="658" spans="1:20" x14ac:dyDescent="0.25">
      <c r="S658" s="340" t="s">
        <v>329</v>
      </c>
      <c r="T658" s="339">
        <f ca="1">SUM(T656:T657)</f>
        <v>6432.4982857142841</v>
      </c>
    </row>
    <row r="660" spans="1:20" x14ac:dyDescent="0.25">
      <c r="A660" s="4" t="s">
        <v>339</v>
      </c>
      <c r="B660" s="2" t="s">
        <v>340</v>
      </c>
      <c r="F660" s="4"/>
    </row>
    <row r="661" spans="1:20" x14ac:dyDescent="0.25">
      <c r="B661" s="4" t="s">
        <v>360</v>
      </c>
      <c r="C661" s="2" t="s">
        <v>15</v>
      </c>
      <c r="G661" s="4" t="s">
        <v>31</v>
      </c>
      <c r="H661" s="4" t="s">
        <v>224</v>
      </c>
      <c r="I661" s="4" t="s">
        <v>361</v>
      </c>
      <c r="J661" s="4" t="s">
        <v>328</v>
      </c>
      <c r="K661" s="338" t="s">
        <v>362</v>
      </c>
    </row>
    <row r="662" spans="1:20" x14ac:dyDescent="0.25">
      <c r="B662" s="4"/>
      <c r="G662" s="4" t="s">
        <v>363</v>
      </c>
      <c r="H662" s="4" t="s">
        <v>330</v>
      </c>
      <c r="I662" s="4" t="s">
        <v>364</v>
      </c>
      <c r="J662" s="4" t="s">
        <v>332</v>
      </c>
      <c r="K662" s="338" t="s">
        <v>365</v>
      </c>
    </row>
    <row r="663" spans="1:20" x14ac:dyDescent="0.25">
      <c r="B663" s="4" t="s">
        <v>190</v>
      </c>
      <c r="C663" s="2" t="str">
        <f ca="1">IFERROR(VLOOKUP(B663,Veiculo_Equip_Matriz,2,0),"")</f>
        <v>Veículo leve - 53 kW (sem motorista)</v>
      </c>
      <c r="G663" s="2">
        <v>1</v>
      </c>
      <c r="H663" s="238">
        <v>2</v>
      </c>
      <c r="I663" s="2">
        <f>H663/30</f>
        <v>6.6666666666666666E-2</v>
      </c>
      <c r="J663" s="315">
        <f ca="1">IFERROR(VLOOKUP(B663,Veiculo_Equip_Matriz,10,0),"")</f>
        <v>3186.8793000000001</v>
      </c>
      <c r="K663" s="339">
        <f ca="1">G663*I663*J663</f>
        <v>212.45862</v>
      </c>
    </row>
    <row r="664" spans="1:20" x14ac:dyDescent="0.25">
      <c r="B664" s="43"/>
      <c r="J664" s="340" t="s">
        <v>329</v>
      </c>
      <c r="K664" s="339">
        <f ca="1">SUM(K663:K663)</f>
        <v>212.45862</v>
      </c>
    </row>
    <row r="665" spans="1:20" x14ac:dyDescent="0.25">
      <c r="B665" s="43"/>
      <c r="J665" s="340"/>
      <c r="K665" s="339"/>
    </row>
    <row r="666" spans="1:20" x14ac:dyDescent="0.25">
      <c r="A666" s="4" t="s">
        <v>348</v>
      </c>
      <c r="B666" s="2" t="s">
        <v>349</v>
      </c>
    </row>
    <row r="667" spans="1:20" x14ac:dyDescent="0.25">
      <c r="A667" s="4" t="s">
        <v>451</v>
      </c>
      <c r="B667" s="2" t="s">
        <v>452</v>
      </c>
    </row>
    <row r="668" spans="1:20" x14ac:dyDescent="0.25">
      <c r="B668" s="4" t="s">
        <v>360</v>
      </c>
      <c r="C668" s="2" t="s">
        <v>15</v>
      </c>
      <c r="F668" s="4" t="s">
        <v>321</v>
      </c>
      <c r="G668" s="4"/>
      <c r="H668" s="4" t="s">
        <v>453</v>
      </c>
      <c r="I668" s="4"/>
      <c r="J668" s="4" t="s">
        <v>454</v>
      </c>
    </row>
    <row r="669" spans="1:20" x14ac:dyDescent="0.25">
      <c r="B669" s="4" t="str">
        <f>B656</f>
        <v>P8061</v>
      </c>
      <c r="C669" s="2" t="str">
        <f ca="1">IFERROR(VLOOKUP(B669,MO_Matriz,2,0),"")</f>
        <v>Engenheiro coordenador</v>
      </c>
      <c r="F669" s="4" t="str">
        <f ca="1">IFERROR(VLOOKUP(B669,MO_Matriz,3,0),"")</f>
        <v>S</v>
      </c>
      <c r="H669" s="2" t="s">
        <v>455</v>
      </c>
      <c r="J669" s="2">
        <f>H656*I656</f>
        <v>1</v>
      </c>
    </row>
    <row r="670" spans="1:20" x14ac:dyDescent="0.25">
      <c r="B670" s="4" t="str">
        <f>B657</f>
        <v>P8147</v>
      </c>
      <c r="C670" s="2" t="str">
        <f ca="1">IFERROR(VLOOKUP(B670,MO_Matriz,2,0),"")</f>
        <v>Técnico de obras</v>
      </c>
      <c r="F670" s="4" t="str">
        <f ca="1">IFERROR(VLOOKUP(B670,MO_Matriz,3,0),"")</f>
        <v>T</v>
      </c>
      <c r="H670" s="2" t="s">
        <v>455</v>
      </c>
      <c r="J670" s="2">
        <f>H657*I657</f>
        <v>1</v>
      </c>
    </row>
    <row r="671" spans="1:20" x14ac:dyDescent="0.25">
      <c r="I671" s="340" t="s">
        <v>329</v>
      </c>
      <c r="J671" s="340">
        <f>SUM(J669:J670)</f>
        <v>2</v>
      </c>
    </row>
    <row r="673" spans="1:10" x14ac:dyDescent="0.25">
      <c r="A673" s="4" t="s">
        <v>456</v>
      </c>
      <c r="B673" s="2" t="s">
        <v>457</v>
      </c>
    </row>
    <row r="674" spans="1:10" x14ac:dyDescent="0.25">
      <c r="A674" s="4"/>
      <c r="B674" s="2" t="s">
        <v>458</v>
      </c>
    </row>
    <row r="676" spans="1:10" x14ac:dyDescent="0.25">
      <c r="B676" s="4" t="s">
        <v>360</v>
      </c>
      <c r="C676" s="2" t="s">
        <v>15</v>
      </c>
      <c r="F676" s="4" t="s">
        <v>321</v>
      </c>
      <c r="G676" s="4"/>
      <c r="H676" s="4" t="s">
        <v>453</v>
      </c>
      <c r="I676" s="4"/>
      <c r="J676" s="4" t="s">
        <v>454</v>
      </c>
    </row>
    <row r="677" spans="1:10" x14ac:dyDescent="0.25">
      <c r="B677" s="4" t="str">
        <f>B656</f>
        <v>P8061</v>
      </c>
      <c r="C677" s="2" t="str">
        <f ca="1">IFERROR(VLOOKUP(B677,MO_Matriz,2,0),"")</f>
        <v>Engenheiro coordenador</v>
      </c>
      <c r="F677" s="4" t="str">
        <f ca="1">IFERROR(VLOOKUP(B677,MO_Matriz,3,0),"")</f>
        <v>S</v>
      </c>
      <c r="H677" s="2" t="s">
        <v>455</v>
      </c>
      <c r="J677" s="2">
        <f>H656*I656</f>
        <v>1</v>
      </c>
    </row>
    <row r="678" spans="1:10" x14ac:dyDescent="0.25">
      <c r="B678" s="4" t="str">
        <f>B657</f>
        <v>P8147</v>
      </c>
      <c r="C678" s="2" t="str">
        <f ca="1">IFERROR(VLOOKUP(B678,MO_Matriz,2,0),"")</f>
        <v>Técnico de obras</v>
      </c>
      <c r="F678" s="4" t="str">
        <f ca="1">IFERROR(VLOOKUP(B678,MO_Matriz,3,0),"")</f>
        <v>T</v>
      </c>
      <c r="H678" s="2" t="s">
        <v>455</v>
      </c>
      <c r="J678" s="2">
        <f>H657*I657</f>
        <v>1</v>
      </c>
    </row>
    <row r="679" spans="1:10" x14ac:dyDescent="0.25">
      <c r="I679" s="340" t="s">
        <v>329</v>
      </c>
      <c r="J679" s="340">
        <f>SUM(J677:J678)</f>
        <v>2</v>
      </c>
    </row>
    <row r="681" spans="1:10" x14ac:dyDescent="0.25">
      <c r="A681" s="4" t="s">
        <v>350</v>
      </c>
      <c r="B681" s="2" t="s">
        <v>351</v>
      </c>
    </row>
    <row r="682" spans="1:10" x14ac:dyDescent="0.25">
      <c r="B682" s="2" t="s">
        <v>344</v>
      </c>
    </row>
    <row r="684" spans="1:10" x14ac:dyDescent="0.25">
      <c r="A684" s="4" t="s">
        <v>197</v>
      </c>
      <c r="B684" s="2" t="s">
        <v>352</v>
      </c>
    </row>
    <row r="685" spans="1:10" x14ac:dyDescent="0.25">
      <c r="A685" s="4" t="s">
        <v>450</v>
      </c>
      <c r="B685" s="2" t="s">
        <v>433</v>
      </c>
    </row>
    <row r="686" spans="1:10" x14ac:dyDescent="0.25">
      <c r="A686" s="4"/>
      <c r="B686" s="2" t="s">
        <v>1036</v>
      </c>
    </row>
    <row r="687" spans="1:10" x14ac:dyDescent="0.25">
      <c r="B687" s="2" t="str">
        <f>"Segundo Decreto nº 16.536, de 26 de dezembro de 2024, para "&amp;Listas!$D$17&amp;" :"</f>
        <v>Segundo Decreto nº 16.536, de 26 de dezembro de 2024, para Ribas do Rio Pardo :</v>
      </c>
    </row>
    <row r="688" spans="1:10" x14ac:dyDescent="0.25">
      <c r="B688" s="2" t="s">
        <v>15</v>
      </c>
      <c r="E688" s="2" t="s">
        <v>357</v>
      </c>
      <c r="F688" s="2" t="s">
        <v>202</v>
      </c>
    </row>
    <row r="689" spans="1:28" x14ac:dyDescent="0.25">
      <c r="B689" s="2" t="s">
        <v>248</v>
      </c>
      <c r="E689" s="238">
        <f>Listas!$D$19</f>
        <v>200</v>
      </c>
    </row>
    <row r="690" spans="1:28" x14ac:dyDescent="0.25">
      <c r="B690" s="2" t="s">
        <v>252</v>
      </c>
      <c r="E690" s="238">
        <f>E689/2</f>
        <v>100</v>
      </c>
      <c r="F690" s="2">
        <f>J651</f>
        <v>4.5714285714285712</v>
      </c>
      <c r="P690" s="84"/>
      <c r="Q690" s="84"/>
      <c r="R690" s="84"/>
      <c r="S690" s="84"/>
      <c r="T690" s="84"/>
      <c r="U690" s="84"/>
      <c r="V690" s="84"/>
      <c r="W690" s="84"/>
      <c r="X690" s="84"/>
      <c r="Y690" s="84"/>
      <c r="Z690" s="84"/>
      <c r="AA690" s="84"/>
      <c r="AB690" s="84"/>
    </row>
    <row r="691" spans="1:28" x14ac:dyDescent="0.25">
      <c r="B691" s="2" t="s">
        <v>255</v>
      </c>
      <c r="E691" s="238">
        <f>E690</f>
        <v>100</v>
      </c>
      <c r="F691" s="2">
        <f>F690-1</f>
        <v>3.5714285714285712</v>
      </c>
      <c r="P691" s="84"/>
      <c r="Q691" s="84"/>
      <c r="R691" s="84"/>
      <c r="S691" s="84"/>
      <c r="T691" s="84"/>
      <c r="U691" s="84"/>
      <c r="V691" s="84"/>
      <c r="W691" s="84"/>
      <c r="X691" s="84"/>
      <c r="Y691" s="84"/>
      <c r="Z691" s="84"/>
      <c r="AA691" s="84"/>
      <c r="AB691" s="84"/>
    </row>
    <row r="692" spans="1:28" x14ac:dyDescent="0.25">
      <c r="P692" s="84"/>
      <c r="Q692" s="84"/>
      <c r="R692" s="84"/>
      <c r="S692" s="84"/>
      <c r="T692" s="84"/>
      <c r="U692" s="84"/>
      <c r="V692" s="84"/>
      <c r="W692" s="84"/>
      <c r="X692" s="84"/>
      <c r="Y692" s="84"/>
      <c r="Z692" s="84"/>
      <c r="AA692" s="84"/>
      <c r="AB692" s="84"/>
    </row>
    <row r="693" spans="1:28" x14ac:dyDescent="0.25">
      <c r="B693" s="4" t="s">
        <v>360</v>
      </c>
      <c r="C693" s="2" t="s">
        <v>15</v>
      </c>
      <c r="D693" s="4"/>
      <c r="E693" s="4"/>
      <c r="F693" s="4" t="s">
        <v>321</v>
      </c>
      <c r="G693" s="4"/>
      <c r="H693" s="4" t="s">
        <v>434</v>
      </c>
      <c r="I693" s="4" t="s">
        <v>435</v>
      </c>
      <c r="J693" s="338" t="s">
        <v>329</v>
      </c>
      <c r="P693" s="84"/>
      <c r="Q693" s="84"/>
      <c r="R693" s="84"/>
      <c r="S693" s="84"/>
      <c r="T693" s="84"/>
      <c r="U693" s="84"/>
      <c r="V693" s="84"/>
      <c r="W693" s="84"/>
      <c r="X693" s="84"/>
      <c r="Y693" s="84"/>
      <c r="Z693" s="84"/>
      <c r="AA693" s="84"/>
      <c r="AB693" s="84"/>
    </row>
    <row r="694" spans="1:28" x14ac:dyDescent="0.25">
      <c r="B694" s="4"/>
      <c r="C694" s="4"/>
      <c r="D694" s="4"/>
      <c r="E694" s="4"/>
      <c r="F694" s="4"/>
      <c r="G694" s="4"/>
      <c r="H694" s="4" t="s">
        <v>363</v>
      </c>
      <c r="I694" s="4" t="s">
        <v>330</v>
      </c>
      <c r="J694" s="338" t="s">
        <v>436</v>
      </c>
      <c r="P694" s="84"/>
      <c r="Q694" s="84"/>
      <c r="R694" s="84"/>
      <c r="S694" s="84"/>
      <c r="T694" s="84"/>
      <c r="U694" s="84"/>
      <c r="V694" s="84"/>
      <c r="W694" s="84"/>
      <c r="X694" s="84"/>
      <c r="Y694" s="84"/>
      <c r="Z694" s="84"/>
      <c r="AA694" s="84"/>
      <c r="AB694" s="84"/>
    </row>
    <row r="695" spans="1:28" x14ac:dyDescent="0.25">
      <c r="B695" s="4" t="str">
        <f>B656</f>
        <v>P8061</v>
      </c>
      <c r="C695" s="2" t="str">
        <f ca="1">IFERROR(VLOOKUP(B695,MO_Matriz,2,0),"")</f>
        <v>Engenheiro coordenador</v>
      </c>
      <c r="F695" s="4" t="str">
        <f ca="1">IFERROR(VLOOKUP(B695,MO_Matriz,3,0),"")</f>
        <v>S</v>
      </c>
      <c r="H695" s="315">
        <f>$E$690*$F$690</f>
        <v>457.14285714285711</v>
      </c>
      <c r="I695" s="315">
        <f>$E$691*$F$691</f>
        <v>357.14285714285711</v>
      </c>
      <c r="J695" s="339">
        <f>H695+I695</f>
        <v>814.28571428571422</v>
      </c>
      <c r="P695" s="84"/>
      <c r="Q695" s="84"/>
      <c r="R695" s="84"/>
      <c r="S695" s="84"/>
      <c r="T695" s="84"/>
      <c r="U695" s="84"/>
      <c r="V695" s="84"/>
      <c r="W695" s="84"/>
      <c r="X695" s="84"/>
      <c r="Y695" s="84"/>
      <c r="Z695" s="84"/>
      <c r="AA695" s="84"/>
      <c r="AB695" s="84"/>
    </row>
    <row r="696" spans="1:28" x14ac:dyDescent="0.25">
      <c r="B696" s="4" t="str">
        <f>B657</f>
        <v>P8147</v>
      </c>
      <c r="C696" s="2" t="str">
        <f ca="1">IFERROR(VLOOKUP(B696,MO_Matriz,2,0),"")</f>
        <v>Técnico de obras</v>
      </c>
      <c r="F696" s="4" t="str">
        <f ca="1">IFERROR(VLOOKUP(B696,MO_Matriz,3,0),"")</f>
        <v>T</v>
      </c>
      <c r="H696" s="315">
        <f>$E$690*$F$690</f>
        <v>457.14285714285711</v>
      </c>
      <c r="I696" s="315">
        <f>$E$691*$F$691</f>
        <v>357.14285714285711</v>
      </c>
      <c r="J696" s="339">
        <f t="shared" ref="J696" si="17">H696+I696</f>
        <v>814.28571428571422</v>
      </c>
      <c r="P696" s="84"/>
      <c r="Q696" s="84"/>
      <c r="R696" s="84"/>
      <c r="S696" s="84"/>
      <c r="T696" s="84"/>
      <c r="U696" s="84"/>
      <c r="V696" s="84"/>
      <c r="W696" s="84"/>
      <c r="X696" s="84"/>
      <c r="Y696" s="84"/>
      <c r="Z696" s="84"/>
      <c r="AA696" s="84"/>
      <c r="AB696" s="84"/>
    </row>
    <row r="697" spans="1:28" x14ac:dyDescent="0.25">
      <c r="B697" s="4"/>
      <c r="F697" s="4"/>
      <c r="H697" s="315"/>
      <c r="I697" s="339" t="s">
        <v>329</v>
      </c>
      <c r="J697" s="339">
        <f>SUM(J695:J696)</f>
        <v>1628.5714285714284</v>
      </c>
      <c r="P697" s="84"/>
      <c r="Q697" s="84"/>
      <c r="R697" s="84"/>
      <c r="S697" s="84"/>
      <c r="T697" s="84"/>
      <c r="U697" s="84"/>
      <c r="V697" s="84"/>
      <c r="W697" s="84"/>
      <c r="X697" s="84"/>
      <c r="Y697" s="84"/>
      <c r="Z697" s="84"/>
      <c r="AA697" s="84"/>
      <c r="AB697" s="84"/>
    </row>
    <row r="698" spans="1:28" x14ac:dyDescent="0.25">
      <c r="P698" s="84"/>
      <c r="Q698" s="84"/>
      <c r="R698" s="84"/>
      <c r="S698" s="84"/>
      <c r="T698" s="84"/>
      <c r="U698" s="84"/>
      <c r="V698" s="84"/>
      <c r="W698" s="84"/>
      <c r="X698" s="84"/>
      <c r="Y698" s="84"/>
      <c r="Z698" s="84"/>
      <c r="AA698" s="84"/>
      <c r="AB698" s="84"/>
    </row>
    <row r="699" spans="1:28" x14ac:dyDescent="0.25">
      <c r="A699" s="4" t="s">
        <v>459</v>
      </c>
      <c r="B699" s="2" t="s">
        <v>437</v>
      </c>
      <c r="P699" s="84"/>
      <c r="Q699" s="84"/>
      <c r="R699" s="84"/>
      <c r="S699" s="84"/>
      <c r="T699" s="84"/>
      <c r="U699" s="84"/>
      <c r="V699" s="84"/>
      <c r="W699" s="84"/>
      <c r="X699" s="84"/>
      <c r="Y699" s="84"/>
      <c r="Z699" s="84"/>
      <c r="AA699" s="84"/>
      <c r="AB699" s="84"/>
    </row>
    <row r="700" spans="1:28" x14ac:dyDescent="0.25">
      <c r="B700" s="2" t="s">
        <v>438</v>
      </c>
      <c r="P700" s="84"/>
      <c r="Q700" s="84"/>
      <c r="R700" s="84"/>
      <c r="S700" s="84"/>
      <c r="T700" s="84"/>
      <c r="U700" s="84"/>
      <c r="V700" s="84"/>
      <c r="W700" s="84"/>
      <c r="X700" s="84"/>
      <c r="Y700" s="84"/>
      <c r="Z700" s="84"/>
      <c r="AA700" s="84"/>
      <c r="AB700" s="84"/>
    </row>
    <row r="701" spans="1:28" x14ac:dyDescent="0.25">
      <c r="P701" s="84"/>
      <c r="Q701" s="84"/>
      <c r="R701" s="84"/>
      <c r="S701" s="84"/>
      <c r="T701" s="84"/>
      <c r="U701" s="84"/>
      <c r="V701" s="84"/>
      <c r="W701" s="84"/>
      <c r="X701" s="84"/>
      <c r="Y701" s="84"/>
      <c r="Z701" s="84"/>
      <c r="AA701" s="84"/>
      <c r="AB701" s="84"/>
    </row>
    <row r="702" spans="1:28" x14ac:dyDescent="0.25">
      <c r="A702" s="4" t="s">
        <v>353</v>
      </c>
      <c r="B702" s="2" t="s">
        <v>354</v>
      </c>
      <c r="P702" s="84"/>
      <c r="Q702" s="84"/>
      <c r="R702" s="84"/>
      <c r="S702" s="84"/>
      <c r="T702" s="84"/>
      <c r="U702" s="84"/>
      <c r="V702" s="84"/>
      <c r="W702" s="84"/>
      <c r="X702" s="84"/>
      <c r="Y702" s="84"/>
      <c r="Z702" s="84"/>
      <c r="AA702" s="84"/>
      <c r="AB702" s="84"/>
    </row>
    <row r="703" spans="1:28" x14ac:dyDescent="0.25">
      <c r="A703" s="4" t="s">
        <v>385</v>
      </c>
      <c r="B703" s="2" t="s">
        <v>317</v>
      </c>
      <c r="P703" s="84"/>
      <c r="Q703" s="84"/>
      <c r="R703" s="84"/>
      <c r="S703" s="84"/>
      <c r="T703" s="84"/>
      <c r="U703" s="84"/>
      <c r="V703" s="84"/>
      <c r="W703" s="84"/>
      <c r="X703" s="84"/>
      <c r="Y703" s="84"/>
      <c r="Z703" s="84"/>
      <c r="AA703" s="84"/>
      <c r="AB703" s="84"/>
    </row>
    <row r="704" spans="1:28" x14ac:dyDescent="0.25">
      <c r="A704" s="4"/>
      <c r="B704" s="2" t="s">
        <v>589</v>
      </c>
    </row>
    <row r="706" spans="1:29" x14ac:dyDescent="0.25">
      <c r="A706" s="4" t="s">
        <v>386</v>
      </c>
      <c r="B706" s="2" t="s">
        <v>366</v>
      </c>
    </row>
    <row r="707" spans="1:29" x14ac:dyDescent="0.25">
      <c r="B707" s="2" t="s">
        <v>367</v>
      </c>
      <c r="D707" s="2" t="s">
        <v>237</v>
      </c>
      <c r="F707" s="4" t="s">
        <v>387</v>
      </c>
      <c r="H707" s="4" t="s">
        <v>13</v>
      </c>
      <c r="I707" s="4" t="s">
        <v>414</v>
      </c>
      <c r="K707" s="2" t="s">
        <v>15</v>
      </c>
      <c r="L707" s="84"/>
      <c r="M707" s="84"/>
      <c r="N707" s="4" t="s">
        <v>368</v>
      </c>
      <c r="O707" s="4" t="s">
        <v>357</v>
      </c>
    </row>
    <row r="708" spans="1:29" x14ac:dyDescent="0.25">
      <c r="B708" s="2" t="s">
        <v>245</v>
      </c>
      <c r="D708" s="2" t="s">
        <v>245</v>
      </c>
      <c r="F708" s="238">
        <f>Listas!$J$3</f>
        <v>60</v>
      </c>
      <c r="H708" s="238">
        <f>Listas!$L$3</f>
        <v>103</v>
      </c>
      <c r="I708" s="316">
        <f>H708/H711</f>
        <v>1</v>
      </c>
      <c r="K708" s="2" t="s">
        <v>369</v>
      </c>
      <c r="L708" s="84"/>
      <c r="M708" s="84"/>
      <c r="N708" s="344" t="str">
        <f>Listas!$D$21</f>
        <v>ABRIL/25</v>
      </c>
      <c r="O708" s="84">
        <f>Listas!$D$23</f>
        <v>303.67500000000001</v>
      </c>
    </row>
    <row r="709" spans="1:29" x14ac:dyDescent="0.25">
      <c r="D709" s="2" t="s">
        <v>251</v>
      </c>
      <c r="F709" s="238">
        <f>Listas!$J$4</f>
        <v>50</v>
      </c>
      <c r="H709" s="238">
        <f>Listas!$L$4</f>
        <v>0</v>
      </c>
      <c r="I709" s="316">
        <f>H709/H711</f>
        <v>0</v>
      </c>
      <c r="K709" s="2" t="s">
        <v>369</v>
      </c>
      <c r="L709" s="84"/>
      <c r="M709" s="84"/>
      <c r="N709" s="344" t="str">
        <f>Listas!$D$21</f>
        <v>ABRIL/25</v>
      </c>
      <c r="O709" s="84">
        <f>Listas!$D$23</f>
        <v>303.67500000000001</v>
      </c>
    </row>
    <row r="710" spans="1:29" x14ac:dyDescent="0.25">
      <c r="D710" s="2" t="s">
        <v>254</v>
      </c>
      <c r="F710" s="238">
        <f>Listas!$J$5</f>
        <v>40</v>
      </c>
      <c r="H710" s="238">
        <f>Listas!$L$5</f>
        <v>0</v>
      </c>
      <c r="I710" s="316">
        <f>H710/H711</f>
        <v>0</v>
      </c>
      <c r="K710" s="2" t="s">
        <v>370</v>
      </c>
      <c r="L710" s="84"/>
      <c r="M710" s="84"/>
      <c r="N710" s="337" t="s">
        <v>259</v>
      </c>
      <c r="O710" s="345">
        <f>O709/O708-1</f>
        <v>0</v>
      </c>
    </row>
    <row r="711" spans="1:29" x14ac:dyDescent="0.25">
      <c r="G711" s="2" t="s">
        <v>329</v>
      </c>
      <c r="H711" s="238">
        <f>SUM(H708:H710)</f>
        <v>103</v>
      </c>
      <c r="I711" s="316">
        <f>SUM(I708:I710)</f>
        <v>1</v>
      </c>
      <c r="K711" s="2" t="s">
        <v>867</v>
      </c>
      <c r="L711" s="84"/>
      <c r="M711" s="84"/>
      <c r="N711" s="346">
        <v>45839</v>
      </c>
      <c r="O711" s="347">
        <v>36.9</v>
      </c>
    </row>
    <row r="712" spans="1:29" x14ac:dyDescent="0.25">
      <c r="K712" s="2" t="s">
        <v>868</v>
      </c>
      <c r="L712" s="84"/>
      <c r="M712" s="84"/>
      <c r="N712" s="346">
        <v>45839</v>
      </c>
      <c r="O712" s="347">
        <f>Listas!$D$26</f>
        <v>0</v>
      </c>
    </row>
    <row r="713" spans="1:29" x14ac:dyDescent="0.25">
      <c r="B713" s="2" t="str">
        <f>"Segundo Decreto nº 16.536, de 26 de dezembro de 2024, para "&amp;Listas!$D$17&amp;" :"</f>
        <v>Segundo Decreto nº 16.536, de 26 de dezembro de 2024, para Ribas do Rio Pardo :</v>
      </c>
      <c r="K713" s="2" t="s">
        <v>869</v>
      </c>
      <c r="L713" s="84"/>
      <c r="M713" s="84"/>
      <c r="N713" s="344" t="s">
        <v>1155</v>
      </c>
      <c r="O713" s="315">
        <f>ROUND(O711*(1+O710), 2)</f>
        <v>36.9</v>
      </c>
    </row>
    <row r="714" spans="1:29" x14ac:dyDescent="0.25">
      <c r="B714" s="2" t="s">
        <v>15</v>
      </c>
      <c r="E714" s="2" t="s">
        <v>357</v>
      </c>
      <c r="F714" s="2" t="s">
        <v>202</v>
      </c>
      <c r="K714" s="2" t="s">
        <v>870</v>
      </c>
      <c r="L714" s="84"/>
      <c r="M714" s="84"/>
      <c r="N714" s="344" t="s">
        <v>1155</v>
      </c>
      <c r="O714" s="315">
        <f>ROUND(O712*(1+O710), 2)</f>
        <v>0</v>
      </c>
    </row>
    <row r="715" spans="1:29" x14ac:dyDescent="0.25">
      <c r="B715" s="2" t="s">
        <v>248</v>
      </c>
      <c r="E715" s="238">
        <f>Listas!$D$19</f>
        <v>200</v>
      </c>
      <c r="L715" s="84"/>
      <c r="M715" s="84"/>
      <c r="N715" s="84"/>
      <c r="O715" s="84"/>
    </row>
    <row r="716" spans="1:29" x14ac:dyDescent="0.25">
      <c r="B716" s="2" t="s">
        <v>252</v>
      </c>
      <c r="E716" s="238">
        <f>E715/2</f>
        <v>100</v>
      </c>
      <c r="F716" s="238">
        <v>0</v>
      </c>
      <c r="L716" s="84"/>
      <c r="M716" s="84"/>
      <c r="N716" s="84"/>
      <c r="O716" s="84"/>
    </row>
    <row r="717" spans="1:29" x14ac:dyDescent="0.25">
      <c r="B717" s="2" t="s">
        <v>255</v>
      </c>
      <c r="E717" s="238">
        <f>E716</f>
        <v>100</v>
      </c>
      <c r="F717" s="238">
        <v>0</v>
      </c>
      <c r="L717" s="84"/>
      <c r="M717" s="84"/>
      <c r="N717" s="84"/>
      <c r="O717" s="84"/>
    </row>
    <row r="718" spans="1:29" x14ac:dyDescent="0.25">
      <c r="L718" s="84"/>
      <c r="M718" s="84"/>
      <c r="N718" s="84"/>
      <c r="O718" s="84"/>
    </row>
    <row r="719" spans="1:29" s="334" customFormat="1" ht="21" x14ac:dyDescent="0.25">
      <c r="A719" s="2"/>
      <c r="B719" s="2" t="s">
        <v>360</v>
      </c>
      <c r="C719" s="2" t="s">
        <v>15</v>
      </c>
      <c r="D719" s="2"/>
      <c r="E719" s="2"/>
      <c r="F719" s="2"/>
      <c r="G719" s="4" t="s">
        <v>202</v>
      </c>
      <c r="H719" s="2"/>
      <c r="I719" s="4" t="s">
        <v>401</v>
      </c>
      <c r="J719" s="2"/>
      <c r="K719" s="4" t="s">
        <v>402</v>
      </c>
      <c r="L719" s="2"/>
      <c r="M719" s="4" t="s">
        <v>371</v>
      </c>
      <c r="N719" s="2"/>
      <c r="O719" s="4" t="s">
        <v>372</v>
      </c>
      <c r="P719" s="4" t="s">
        <v>373</v>
      </c>
      <c r="Q719" s="2" t="s">
        <v>236</v>
      </c>
      <c r="R719" s="2"/>
      <c r="S719" s="4" t="s">
        <v>183</v>
      </c>
      <c r="T719" s="4"/>
      <c r="U719" s="4" t="s">
        <v>374</v>
      </c>
      <c r="V719" s="4"/>
      <c r="W719" s="4" t="s">
        <v>375</v>
      </c>
      <c r="X719" s="2"/>
      <c r="Y719" s="4" t="s">
        <v>376</v>
      </c>
      <c r="Z719" s="4"/>
      <c r="AA719" s="4" t="s">
        <v>377</v>
      </c>
      <c r="AB719" s="4" t="s">
        <v>388</v>
      </c>
      <c r="AC719" s="338" t="s">
        <v>362</v>
      </c>
    </row>
    <row r="720" spans="1:29" x14ac:dyDescent="0.25">
      <c r="G720" s="4" t="s">
        <v>363</v>
      </c>
      <c r="I720" s="4" t="s">
        <v>330</v>
      </c>
      <c r="K720" s="4" t="s">
        <v>331</v>
      </c>
      <c r="M720" s="4" t="s">
        <v>403</v>
      </c>
      <c r="O720" s="4" t="s">
        <v>372</v>
      </c>
      <c r="P720" s="4" t="s">
        <v>333</v>
      </c>
      <c r="Q720" s="4"/>
      <c r="S720" s="4" t="s">
        <v>378</v>
      </c>
      <c r="T720" s="4"/>
      <c r="U720" s="4" t="s">
        <v>407</v>
      </c>
      <c r="V720" s="4"/>
      <c r="W720" s="4" t="s">
        <v>389</v>
      </c>
      <c r="Y720" s="4" t="s">
        <v>413</v>
      </c>
      <c r="Z720" s="4"/>
      <c r="AA720" s="4" t="s">
        <v>410</v>
      </c>
      <c r="AB720" s="4" t="s">
        <v>411</v>
      </c>
      <c r="AC720" s="338" t="s">
        <v>412</v>
      </c>
    </row>
    <row r="721" spans="1:29" x14ac:dyDescent="0.25">
      <c r="B721" s="43" t="str">
        <f>B663</f>
        <v>E8889</v>
      </c>
      <c r="C721" s="2" t="str">
        <f ca="1">IFERROR(VLOOKUP(B721,Veiculo_Equip_Matriz,2,0),"")</f>
        <v>Veículo leve - 53 kW (sem motorista)</v>
      </c>
      <c r="G721" s="2">
        <f>G663</f>
        <v>1</v>
      </c>
      <c r="I721" s="238">
        <f>H711</f>
        <v>103</v>
      </c>
      <c r="K721" s="2">
        <f>F708*I708+F709*I709+F710*I710</f>
        <v>60</v>
      </c>
      <c r="M721" s="2">
        <f>I721/K721</f>
        <v>1.7166666666666666</v>
      </c>
      <c r="N721" s="84"/>
      <c r="O721" s="84">
        <v>2</v>
      </c>
      <c r="P721" s="84">
        <v>1</v>
      </c>
      <c r="Q721" s="4" t="str">
        <f>B663</f>
        <v>E8889</v>
      </c>
      <c r="R721" s="84"/>
      <c r="S721" s="238">
        <f ca="1">IFERROR(VLOOKUP(Q721,Veiculo_Equip_Matriz,4,0),"")</f>
        <v>36.69</v>
      </c>
      <c r="T721" s="84"/>
      <c r="U721" s="315">
        <f ca="1">G721*M721*O721*P721*S721</f>
        <v>125.96899999999998</v>
      </c>
      <c r="V721" s="84"/>
      <c r="W721" s="2">
        <f>((INT(M721/4))*30)/60</f>
        <v>0</v>
      </c>
      <c r="X721" s="84"/>
      <c r="Y721" s="2">
        <f>M721+W721</f>
        <v>1.7166666666666666</v>
      </c>
      <c r="Z721" s="84"/>
      <c r="AA721" s="315">
        <f>E716*F716+E717*F717</f>
        <v>0</v>
      </c>
      <c r="AB721" s="315">
        <f>O713*O721</f>
        <v>73.8</v>
      </c>
      <c r="AC721" s="339">
        <f ca="1">U721+AA721+AB721</f>
        <v>199.76899999999998</v>
      </c>
    </row>
    <row r="722" spans="1:29" s="28" customFormat="1" ht="17.25" x14ac:dyDescent="0.25">
      <c r="A722" s="2"/>
      <c r="B722" s="43"/>
      <c r="C722" s="2"/>
      <c r="D722" s="2"/>
      <c r="E722" s="2"/>
      <c r="F722" s="2"/>
      <c r="G722" s="2"/>
      <c r="H722" s="2"/>
      <c r="I722" s="238"/>
      <c r="J722" s="2"/>
      <c r="K722" s="2"/>
      <c r="L722" s="2"/>
      <c r="M722" s="2"/>
      <c r="N722" s="84"/>
      <c r="O722" s="84"/>
      <c r="P722" s="84"/>
      <c r="Q722" s="4"/>
      <c r="R722" s="84"/>
      <c r="S722" s="238"/>
      <c r="T722" s="84"/>
      <c r="U722" s="315"/>
      <c r="V722" s="84"/>
      <c r="W722" s="2"/>
      <c r="X722" s="84"/>
      <c r="Y722" s="2"/>
      <c r="Z722" s="84"/>
      <c r="AA722" s="315"/>
      <c r="AB722" s="340" t="s">
        <v>329</v>
      </c>
      <c r="AC722" s="339">
        <f ca="1">SUM(AC721:AC721)</f>
        <v>199.76899999999998</v>
      </c>
    </row>
    <row r="724" spans="1:29" x14ac:dyDescent="0.25">
      <c r="A724" s="4" t="s">
        <v>355</v>
      </c>
      <c r="B724" s="2" t="s">
        <v>356</v>
      </c>
    </row>
    <row r="725" spans="1:29" x14ac:dyDescent="0.25">
      <c r="B725" s="2" t="s">
        <v>15</v>
      </c>
      <c r="F725" s="2" t="s">
        <v>357</v>
      </c>
    </row>
    <row r="726" spans="1:29" x14ac:dyDescent="0.25">
      <c r="B726" s="2" t="s">
        <v>317</v>
      </c>
      <c r="F726" s="315">
        <f ca="1">T658</f>
        <v>6432.4982857142841</v>
      </c>
    </row>
    <row r="727" spans="1:29" x14ac:dyDescent="0.25">
      <c r="B727" s="2" t="s">
        <v>276</v>
      </c>
      <c r="F727" s="315">
        <f ca="1">K664</f>
        <v>212.45862</v>
      </c>
    </row>
    <row r="728" spans="1:29" x14ac:dyDescent="0.25">
      <c r="B728" s="2" t="s">
        <v>342</v>
      </c>
      <c r="F728" s="315">
        <v>0</v>
      </c>
    </row>
    <row r="729" spans="1:29" x14ac:dyDescent="0.25">
      <c r="B729" s="2" t="s">
        <v>343</v>
      </c>
      <c r="F729" s="315">
        <v>0</v>
      </c>
    </row>
    <row r="730" spans="1:29" x14ac:dyDescent="0.25">
      <c r="B730" s="2" t="s">
        <v>345</v>
      </c>
      <c r="F730" s="315">
        <f>J697</f>
        <v>1628.5714285714284</v>
      </c>
      <c r="P730" s="4"/>
    </row>
    <row r="731" spans="1:29" x14ac:dyDescent="0.25">
      <c r="B731" s="2" t="s">
        <v>516</v>
      </c>
      <c r="F731" s="315">
        <f ca="1">AC722</f>
        <v>199.76899999999998</v>
      </c>
      <c r="P731" s="4"/>
    </row>
    <row r="732" spans="1:29" x14ac:dyDescent="0.25">
      <c r="E732" s="340" t="s">
        <v>329</v>
      </c>
      <c r="F732" s="339">
        <f ca="1">SUM(F726:F731)</f>
        <v>8473.2973342857131</v>
      </c>
    </row>
    <row r="734" spans="1:29" ht="21" x14ac:dyDescent="0.25">
      <c r="A734" s="334" t="s">
        <v>932</v>
      </c>
      <c r="B734" s="335" t="s">
        <v>487</v>
      </c>
      <c r="C734" s="335"/>
      <c r="D734" s="335"/>
      <c r="E734" s="334"/>
      <c r="F734" s="334"/>
      <c r="G734" s="28"/>
      <c r="H734" s="334"/>
      <c r="I734" s="334"/>
      <c r="J734" s="334"/>
      <c r="K734" s="334"/>
      <c r="L734" s="334"/>
      <c r="M734" s="334"/>
      <c r="N734" s="334"/>
      <c r="O734" s="334"/>
    </row>
    <row r="735" spans="1:29" x14ac:dyDescent="0.25">
      <c r="B735" s="84" t="s">
        <v>857</v>
      </c>
    </row>
    <row r="737" spans="1:20" ht="17.25" x14ac:dyDescent="0.25">
      <c r="A737" s="336" t="s">
        <v>657</v>
      </c>
      <c r="B737" s="336" t="s">
        <v>213</v>
      </c>
      <c r="C737" s="336"/>
      <c r="D737" s="336"/>
      <c r="E737" s="28"/>
      <c r="F737" s="28"/>
      <c r="H737" s="28"/>
      <c r="I737" s="28"/>
      <c r="J737" s="28"/>
      <c r="K737" s="28"/>
      <c r="L737" s="28"/>
      <c r="M737" s="28"/>
      <c r="N737" s="28"/>
      <c r="O737" s="28"/>
    </row>
    <row r="738" spans="1:20" x14ac:dyDescent="0.25">
      <c r="A738" s="4" t="s">
        <v>61</v>
      </c>
      <c r="B738" s="2" t="s">
        <v>338</v>
      </c>
    </row>
    <row r="739" spans="1:20" x14ac:dyDescent="0.25">
      <c r="A739" s="4"/>
      <c r="B739" s="2" t="s">
        <v>15</v>
      </c>
      <c r="F739" s="4" t="s">
        <v>414</v>
      </c>
      <c r="H739" s="4" t="s">
        <v>856</v>
      </c>
      <c r="J739" s="4" t="s">
        <v>224</v>
      </c>
      <c r="K739" s="2" t="s">
        <v>855</v>
      </c>
      <c r="M739" s="2" t="s">
        <v>325</v>
      </c>
      <c r="O739" s="2" t="s">
        <v>381</v>
      </c>
    </row>
    <row r="740" spans="1:20" x14ac:dyDescent="0.25">
      <c r="A740" s="4"/>
      <c r="B740" s="2" t="s">
        <v>591</v>
      </c>
      <c r="F740" s="358">
        <v>1</v>
      </c>
      <c r="H740" s="238">
        <v>1</v>
      </c>
      <c r="I740" s="4"/>
      <c r="J740" s="2">
        <f>1.5/H740</f>
        <v>1.5</v>
      </c>
      <c r="K740" s="238">
        <f>'Carac trecho'!$C$59</f>
        <v>3</v>
      </c>
      <c r="M740" s="238">
        <f>J740+K740</f>
        <v>4.5</v>
      </c>
      <c r="O740" s="2">
        <f>ROUNDUP(M740*Listas!$E$5,0)</f>
        <v>6</v>
      </c>
    </row>
    <row r="741" spans="1:20" x14ac:dyDescent="0.25">
      <c r="A741" s="4"/>
      <c r="B741" s="2" t="s">
        <v>487</v>
      </c>
      <c r="F741" s="358">
        <v>0.5</v>
      </c>
      <c r="H741" s="359">
        <v>0</v>
      </c>
      <c r="I741" s="4"/>
      <c r="J741" s="359">
        <v>0</v>
      </c>
      <c r="K741" s="359">
        <v>0</v>
      </c>
      <c r="M741" s="238">
        <f>M740*F741</f>
        <v>2.25</v>
      </c>
      <c r="O741" s="2">
        <f>ROUNDUP(O740*F741,0)</f>
        <v>3</v>
      </c>
    </row>
    <row r="742" spans="1:20" x14ac:dyDescent="0.25">
      <c r="A742" s="4"/>
      <c r="B742" s="2" t="s">
        <v>592</v>
      </c>
      <c r="F742" s="358">
        <v>0.5</v>
      </c>
      <c r="H742" s="359">
        <v>0</v>
      </c>
      <c r="I742" s="4"/>
      <c r="J742" s="359">
        <v>0</v>
      </c>
      <c r="K742" s="359">
        <v>0</v>
      </c>
      <c r="M742" s="238">
        <f>M740-M741</f>
        <v>2.25</v>
      </c>
      <c r="O742" s="238">
        <f>O740-O741</f>
        <v>3</v>
      </c>
    </row>
    <row r="743" spans="1:20" x14ac:dyDescent="0.25">
      <c r="A743" s="4"/>
      <c r="F743" s="358"/>
      <c r="H743" s="359"/>
      <c r="I743" s="4"/>
      <c r="J743" s="359"/>
      <c r="K743" s="359"/>
      <c r="L743" s="2" t="s">
        <v>329</v>
      </c>
      <c r="M743" s="238">
        <f>SUM(M740:M742)</f>
        <v>9</v>
      </c>
      <c r="O743" s="238"/>
    </row>
    <row r="744" spans="1:20" x14ac:dyDescent="0.25">
      <c r="A744" s="4"/>
    </row>
    <row r="745" spans="1:20" x14ac:dyDescent="0.25">
      <c r="A745" s="4"/>
      <c r="B745" s="4" t="s">
        <v>360</v>
      </c>
      <c r="C745" s="2" t="s">
        <v>15</v>
      </c>
      <c r="F745" s="4" t="s">
        <v>321</v>
      </c>
      <c r="G745" s="4"/>
      <c r="H745" s="4" t="s">
        <v>322</v>
      </c>
      <c r="I745" s="4" t="s">
        <v>323</v>
      </c>
      <c r="J745" s="4"/>
      <c r="K745" s="4" t="s">
        <v>324</v>
      </c>
      <c r="L745" s="4"/>
      <c r="M745" s="4" t="s">
        <v>325</v>
      </c>
      <c r="N745" s="4"/>
      <c r="O745" s="4" t="s">
        <v>326</v>
      </c>
      <c r="Q745" s="4" t="s">
        <v>327</v>
      </c>
      <c r="R745" s="4"/>
      <c r="S745" s="4" t="s">
        <v>328</v>
      </c>
      <c r="T745" s="337" t="s">
        <v>329</v>
      </c>
    </row>
    <row r="746" spans="1:20" x14ac:dyDescent="0.25">
      <c r="A746" s="4"/>
      <c r="B746" s="4"/>
      <c r="F746" s="4"/>
      <c r="G746" s="4"/>
      <c r="H746" s="4" t="s">
        <v>330</v>
      </c>
      <c r="I746" s="4" t="s">
        <v>331</v>
      </c>
      <c r="J746" s="4"/>
      <c r="K746" s="4" t="s">
        <v>332</v>
      </c>
      <c r="L746" s="4"/>
      <c r="M746" s="4" t="s">
        <v>333</v>
      </c>
      <c r="N746" s="4"/>
      <c r="O746" s="4" t="s">
        <v>334</v>
      </c>
      <c r="Q746" s="4" t="s">
        <v>335</v>
      </c>
      <c r="R746" s="4"/>
      <c r="S746" s="4" t="s">
        <v>336</v>
      </c>
      <c r="T746" s="337" t="s">
        <v>337</v>
      </c>
    </row>
    <row r="747" spans="1:20" x14ac:dyDescent="0.25">
      <c r="A747" s="4"/>
      <c r="B747" s="4" t="s">
        <v>112</v>
      </c>
      <c r="C747" s="2" t="str">
        <f ca="1">IFERROR(VLOOKUP(B747,MO_Matriz,2,0),"")</f>
        <v>Engenheiro de projetos júnior</v>
      </c>
      <c r="F747" s="4" t="str">
        <f ca="1">IFERROR(VLOOKUP(B747,MO_Matriz,3,0),"")</f>
        <v>S</v>
      </c>
      <c r="H747" s="2">
        <v>1</v>
      </c>
      <c r="I747" s="2">
        <v>1</v>
      </c>
      <c r="K747" s="2">
        <f>Listas!$B$6</f>
        <v>7.333333333333333</v>
      </c>
      <c r="M747" s="238">
        <f>M740</f>
        <v>4.5</v>
      </c>
      <c r="O747" s="2">
        <f>H747*I747*K747*M747</f>
        <v>33</v>
      </c>
      <c r="Q747" s="2">
        <f>O747/220</f>
        <v>0.15</v>
      </c>
      <c r="S747" s="315">
        <f ca="1">IFERROR(VLOOKUP(B747,MO_Matriz,5,0),"")</f>
        <v>24288.81</v>
      </c>
      <c r="T747" s="347">
        <f ca="1">Q747*S747</f>
        <v>3643.3215</v>
      </c>
    </row>
    <row r="748" spans="1:20" x14ac:dyDescent="0.25">
      <c r="A748" s="4"/>
      <c r="B748" s="4" t="s">
        <v>181</v>
      </c>
      <c r="C748" s="2" t="str">
        <f ca="1">IFERROR(VLOOKUP(B748,MO_Matriz,2,0),"")</f>
        <v>Desenhista</v>
      </c>
      <c r="F748" s="4" t="str">
        <f ca="1">IFERROR(VLOOKUP(B748,MO_Matriz,3,0),"")</f>
        <v>T</v>
      </c>
      <c r="H748" s="2">
        <v>1</v>
      </c>
      <c r="I748" s="2">
        <v>1</v>
      </c>
      <c r="K748" s="2">
        <f>Listas!$B$6</f>
        <v>7.333333333333333</v>
      </c>
      <c r="M748" s="238">
        <f>M740</f>
        <v>4.5</v>
      </c>
      <c r="O748" s="2">
        <f>H748*I748*K748*M748</f>
        <v>33</v>
      </c>
      <c r="Q748" s="2">
        <f>O748/220</f>
        <v>0.15</v>
      </c>
      <c r="S748" s="315">
        <f ca="1">IFERROR(VLOOKUP(B748,MO_Matriz,5,0),"")</f>
        <v>7821.6815999999999</v>
      </c>
      <c r="T748" s="347">
        <f ca="1">Q748*S748</f>
        <v>1173.25224</v>
      </c>
    </row>
    <row r="749" spans="1:20" x14ac:dyDescent="0.25">
      <c r="A749" s="4"/>
      <c r="S749" s="340" t="s">
        <v>329</v>
      </c>
      <c r="T749" s="339">
        <f ca="1">SUM(T747:T748)</f>
        <v>4816.5737399999998</v>
      </c>
    </row>
    <row r="750" spans="1:20" x14ac:dyDescent="0.25">
      <c r="A750" s="4"/>
    </row>
    <row r="751" spans="1:20" x14ac:dyDescent="0.25">
      <c r="A751" s="337" t="s">
        <v>339</v>
      </c>
      <c r="B751" s="2" t="s">
        <v>340</v>
      </c>
    </row>
    <row r="752" spans="1:20" x14ac:dyDescent="0.25">
      <c r="B752" s="2" t="s">
        <v>341</v>
      </c>
    </row>
    <row r="754" spans="1:15" x14ac:dyDescent="0.25">
      <c r="A754" s="4" t="s">
        <v>348</v>
      </c>
      <c r="B754" s="2" t="s">
        <v>349</v>
      </c>
    </row>
    <row r="755" spans="1:15" x14ac:dyDescent="0.25">
      <c r="A755" s="4" t="s">
        <v>451</v>
      </c>
      <c r="B755" s="2" t="s">
        <v>452</v>
      </c>
    </row>
    <row r="756" spans="1:15" x14ac:dyDescent="0.25">
      <c r="B756" s="4" t="s">
        <v>360</v>
      </c>
      <c r="C756" s="2" t="s">
        <v>15</v>
      </c>
      <c r="F756" s="4" t="s">
        <v>321</v>
      </c>
      <c r="G756" s="4"/>
      <c r="H756" s="4" t="s">
        <v>453</v>
      </c>
      <c r="I756" s="4"/>
      <c r="J756" s="4" t="s">
        <v>454</v>
      </c>
    </row>
    <row r="757" spans="1:15" x14ac:dyDescent="0.25">
      <c r="B757" s="4" t="str">
        <f>B747</f>
        <v>P8065</v>
      </c>
      <c r="C757" s="2" t="str">
        <f ca="1">IFERROR(VLOOKUP(B757,MO_Matriz,2,0),"")</f>
        <v>Engenheiro de projetos júnior</v>
      </c>
      <c r="F757" s="4" t="str">
        <f ca="1">IFERROR(VLOOKUP(B757,MO_Matriz,3,0),"")</f>
        <v>S</v>
      </c>
      <c r="H757" s="2" t="s">
        <v>455</v>
      </c>
      <c r="J757" s="2">
        <v>1</v>
      </c>
    </row>
    <row r="758" spans="1:15" x14ac:dyDescent="0.25">
      <c r="B758" s="4" t="str">
        <f>B748</f>
        <v>P9848</v>
      </c>
      <c r="C758" s="2" t="str">
        <f ca="1">IFERROR(VLOOKUP(B758,MO_Matriz,2,0),"")</f>
        <v>Desenhista</v>
      </c>
      <c r="F758" s="4" t="str">
        <f ca="1">IFERROR(VLOOKUP(B758,MO_Matriz,3,0),"")</f>
        <v>T</v>
      </c>
      <c r="H758" s="2" t="s">
        <v>455</v>
      </c>
      <c r="J758" s="2">
        <v>1</v>
      </c>
    </row>
    <row r="759" spans="1:15" x14ac:dyDescent="0.25">
      <c r="I759" s="340" t="s">
        <v>329</v>
      </c>
      <c r="J759" s="340">
        <f>SUM(J757:J758)</f>
        <v>2</v>
      </c>
    </row>
    <row r="761" spans="1:15" x14ac:dyDescent="0.25">
      <c r="A761" s="4" t="s">
        <v>456</v>
      </c>
      <c r="B761" s="2" t="s">
        <v>457</v>
      </c>
    </row>
    <row r="762" spans="1:15" x14ac:dyDescent="0.25">
      <c r="A762" s="4"/>
      <c r="B762" s="2" t="s">
        <v>1033</v>
      </c>
    </row>
    <row r="764" spans="1:15" x14ac:dyDescent="0.25">
      <c r="A764" s="4" t="s">
        <v>350</v>
      </c>
      <c r="B764" s="2" t="s">
        <v>351</v>
      </c>
    </row>
    <row r="765" spans="1:15" x14ac:dyDescent="0.25">
      <c r="B765" s="2" t="s">
        <v>344</v>
      </c>
    </row>
    <row r="767" spans="1:15" x14ac:dyDescent="0.25">
      <c r="A767" s="4" t="s">
        <v>197</v>
      </c>
      <c r="B767" s="2" t="s">
        <v>352</v>
      </c>
    </row>
    <row r="768" spans="1:15" s="28" customFormat="1" ht="17.25" x14ac:dyDescent="0.25">
      <c r="A768" s="2"/>
      <c r="B768" s="2" t="s">
        <v>346</v>
      </c>
      <c r="C768" s="2"/>
      <c r="D768" s="2"/>
      <c r="E768" s="2"/>
      <c r="F768" s="2"/>
      <c r="G768" s="2"/>
      <c r="H768" s="2"/>
      <c r="I768" s="2"/>
      <c r="J768" s="2"/>
      <c r="K768" s="2"/>
      <c r="L768" s="2"/>
      <c r="M768" s="2"/>
      <c r="N768" s="2"/>
      <c r="O768" s="2"/>
    </row>
    <row r="770" spans="1:16" x14ac:dyDescent="0.25">
      <c r="A770" s="4" t="s">
        <v>353</v>
      </c>
      <c r="B770" s="2" t="s">
        <v>354</v>
      </c>
    </row>
    <row r="771" spans="1:16" x14ac:dyDescent="0.25">
      <c r="B771" s="2" t="s">
        <v>347</v>
      </c>
    </row>
    <row r="773" spans="1:16" x14ac:dyDescent="0.25">
      <c r="A773" s="4" t="s">
        <v>355</v>
      </c>
      <c r="B773" s="2" t="s">
        <v>356</v>
      </c>
    </row>
    <row r="774" spans="1:16" x14ac:dyDescent="0.25">
      <c r="B774" s="2" t="s">
        <v>15</v>
      </c>
      <c r="F774" s="2" t="s">
        <v>357</v>
      </c>
    </row>
    <row r="775" spans="1:16" x14ac:dyDescent="0.25">
      <c r="B775" s="2" t="s">
        <v>317</v>
      </c>
      <c r="F775" s="315">
        <f ca="1">T749</f>
        <v>4816.5737399999998</v>
      </c>
    </row>
    <row r="776" spans="1:16" x14ac:dyDescent="0.25">
      <c r="B776" s="2" t="s">
        <v>276</v>
      </c>
      <c r="F776" s="315">
        <v>0</v>
      </c>
      <c r="P776" s="4"/>
    </row>
    <row r="777" spans="1:16" x14ac:dyDescent="0.25">
      <c r="B777" s="2" t="s">
        <v>342</v>
      </c>
      <c r="F777" s="315">
        <v>0</v>
      </c>
      <c r="P777" s="4"/>
    </row>
    <row r="778" spans="1:16" x14ac:dyDescent="0.25">
      <c r="B778" s="2" t="s">
        <v>343</v>
      </c>
      <c r="F778" s="315">
        <v>0</v>
      </c>
    </row>
    <row r="779" spans="1:16" x14ac:dyDescent="0.25">
      <c r="B779" s="2" t="s">
        <v>345</v>
      </c>
      <c r="F779" s="315">
        <v>0</v>
      </c>
    </row>
    <row r="780" spans="1:16" x14ac:dyDescent="0.25">
      <c r="B780" s="2" t="s">
        <v>516</v>
      </c>
      <c r="F780" s="315">
        <v>0</v>
      </c>
    </row>
    <row r="781" spans="1:16" x14ac:dyDescent="0.25">
      <c r="E781" s="340" t="s">
        <v>329</v>
      </c>
      <c r="F781" s="339">
        <f ca="1">SUM(F775:F780)</f>
        <v>4816.5737399999998</v>
      </c>
    </row>
    <row r="782" spans="1:16" x14ac:dyDescent="0.25">
      <c r="A782" s="4"/>
    </row>
    <row r="783" spans="1:16" ht="17.25" x14ac:dyDescent="0.25">
      <c r="A783" s="336" t="s">
        <v>936</v>
      </c>
      <c r="B783" s="336" t="s">
        <v>214</v>
      </c>
      <c r="C783" s="336"/>
      <c r="D783" s="336"/>
      <c r="E783" s="28"/>
      <c r="F783" s="28"/>
      <c r="G783" s="28"/>
      <c r="H783" s="28"/>
      <c r="I783" s="28"/>
      <c r="J783" s="28"/>
      <c r="K783" s="28"/>
      <c r="L783" s="28"/>
      <c r="M783" s="28"/>
      <c r="N783" s="28"/>
      <c r="O783" s="28"/>
    </row>
    <row r="784" spans="1:16" x14ac:dyDescent="0.25">
      <c r="A784" s="4" t="s">
        <v>61</v>
      </c>
      <c r="B784" s="2" t="s">
        <v>338</v>
      </c>
    </row>
    <row r="785" spans="1:20" x14ac:dyDescent="0.25">
      <c r="A785" s="4"/>
      <c r="B785" s="2" t="s">
        <v>15</v>
      </c>
      <c r="F785" s="4" t="s">
        <v>414</v>
      </c>
      <c r="H785" s="4" t="s">
        <v>856</v>
      </c>
      <c r="J785" s="4" t="s">
        <v>224</v>
      </c>
      <c r="K785" s="2" t="s">
        <v>855</v>
      </c>
      <c r="M785" s="2" t="s">
        <v>325</v>
      </c>
      <c r="O785" s="2" t="s">
        <v>381</v>
      </c>
    </row>
    <row r="786" spans="1:20" x14ac:dyDescent="0.25">
      <c r="A786" s="4"/>
      <c r="B786" s="2" t="s">
        <v>594</v>
      </c>
      <c r="F786" s="358">
        <v>1</v>
      </c>
      <c r="H786" s="238">
        <v>0.35</v>
      </c>
      <c r="I786" s="4"/>
      <c r="J786" s="2">
        <f>1.5/H786</f>
        <v>4.2857142857142856</v>
      </c>
      <c r="K786" s="238">
        <f>'Carac trecho'!$C$59</f>
        <v>3</v>
      </c>
      <c r="M786" s="238">
        <f>J786+K786</f>
        <v>7.2857142857142856</v>
      </c>
      <c r="O786" s="2">
        <f>ROUNDUP(M786*Listas!$E$5,0)</f>
        <v>9</v>
      </c>
    </row>
    <row r="787" spans="1:20" x14ac:dyDescent="0.25">
      <c r="A787" s="4"/>
      <c r="B787" s="2" t="s">
        <v>487</v>
      </c>
      <c r="F787" s="358">
        <v>0.6</v>
      </c>
      <c r="H787" s="359">
        <v>0</v>
      </c>
      <c r="I787" s="4"/>
      <c r="J787" s="359">
        <v>0</v>
      </c>
      <c r="K787" s="359">
        <v>0</v>
      </c>
      <c r="M787" s="238">
        <f>M786*F787</f>
        <v>4.371428571428571</v>
      </c>
      <c r="O787" s="238">
        <f>ROUNDUP(O786*F787,0)</f>
        <v>6</v>
      </c>
    </row>
    <row r="788" spans="1:20" x14ac:dyDescent="0.25">
      <c r="A788" s="4"/>
      <c r="B788" s="2" t="s">
        <v>592</v>
      </c>
      <c r="F788" s="358">
        <v>0.4</v>
      </c>
      <c r="H788" s="359">
        <v>0</v>
      </c>
      <c r="I788" s="4"/>
      <c r="J788" s="359">
        <v>0</v>
      </c>
      <c r="K788" s="359">
        <v>0</v>
      </c>
      <c r="M788" s="238">
        <f>M786-M787</f>
        <v>2.9142857142857146</v>
      </c>
      <c r="O788" s="238">
        <f>O786-O787</f>
        <v>3</v>
      </c>
    </row>
    <row r="789" spans="1:20" x14ac:dyDescent="0.25">
      <c r="A789" s="4"/>
      <c r="F789" s="358"/>
      <c r="H789" s="359"/>
      <c r="I789" s="4"/>
      <c r="J789" s="359"/>
      <c r="K789" s="359"/>
      <c r="L789" s="2" t="s">
        <v>329</v>
      </c>
      <c r="M789" s="238">
        <f>SUM(M786:M788)</f>
        <v>14.571428571428571</v>
      </c>
      <c r="O789" s="238"/>
    </row>
    <row r="790" spans="1:20" x14ac:dyDescent="0.25">
      <c r="A790" s="4"/>
    </row>
    <row r="791" spans="1:20" x14ac:dyDescent="0.25">
      <c r="A791" s="4"/>
      <c r="B791" s="4" t="s">
        <v>360</v>
      </c>
      <c r="C791" s="2" t="s">
        <v>15</v>
      </c>
      <c r="F791" s="4" t="s">
        <v>321</v>
      </c>
      <c r="G791" s="4"/>
      <c r="H791" s="4" t="s">
        <v>322</v>
      </c>
      <c r="I791" s="4" t="s">
        <v>323</v>
      </c>
      <c r="J791" s="4"/>
      <c r="K791" s="4" t="s">
        <v>324</v>
      </c>
      <c r="L791" s="4"/>
      <c r="M791" s="4" t="s">
        <v>325</v>
      </c>
      <c r="N791" s="4"/>
      <c r="O791" s="4" t="s">
        <v>326</v>
      </c>
      <c r="Q791" s="4" t="s">
        <v>327</v>
      </c>
      <c r="R791" s="4"/>
      <c r="S791" s="4" t="s">
        <v>328</v>
      </c>
      <c r="T791" s="337" t="s">
        <v>329</v>
      </c>
    </row>
    <row r="792" spans="1:20" x14ac:dyDescent="0.25">
      <c r="A792" s="4"/>
      <c r="B792" s="4"/>
      <c r="F792" s="4"/>
      <c r="G792" s="4"/>
      <c r="H792" s="4" t="s">
        <v>330</v>
      </c>
      <c r="I792" s="4" t="s">
        <v>331</v>
      </c>
      <c r="J792" s="4"/>
      <c r="K792" s="4" t="s">
        <v>332</v>
      </c>
      <c r="L792" s="4"/>
      <c r="M792" s="4" t="s">
        <v>333</v>
      </c>
      <c r="N792" s="4"/>
      <c r="O792" s="4" t="s">
        <v>334</v>
      </c>
      <c r="Q792" s="4" t="s">
        <v>335</v>
      </c>
      <c r="R792" s="4"/>
      <c r="S792" s="4" t="s">
        <v>336</v>
      </c>
      <c r="T792" s="337" t="s">
        <v>337</v>
      </c>
    </row>
    <row r="793" spans="1:20" x14ac:dyDescent="0.25">
      <c r="A793" s="4"/>
      <c r="B793" s="4" t="s">
        <v>112</v>
      </c>
      <c r="C793" s="2" t="str">
        <f ca="1">IFERROR(VLOOKUP(B793,MO_Matriz,2,0),"")</f>
        <v>Engenheiro de projetos júnior</v>
      </c>
      <c r="F793" s="4" t="str">
        <f ca="1">IFERROR(VLOOKUP(B793,MO_Matriz,3,0),"")</f>
        <v>S</v>
      </c>
      <c r="H793" s="2">
        <v>1</v>
      </c>
      <c r="I793" s="2">
        <v>1</v>
      </c>
      <c r="K793" s="2">
        <f>Listas!$B$6</f>
        <v>7.333333333333333</v>
      </c>
      <c r="M793" s="238">
        <f>M786</f>
        <v>7.2857142857142856</v>
      </c>
      <c r="O793" s="2">
        <f>H793*I793*K793*M793</f>
        <v>53.428571428571423</v>
      </c>
      <c r="Q793" s="2">
        <f>O793/220</f>
        <v>0.24285714285714283</v>
      </c>
      <c r="S793" s="315">
        <f ca="1">IFERROR(VLOOKUP(B793,MO_Matriz,5,0),"")</f>
        <v>24288.81</v>
      </c>
      <c r="T793" s="347">
        <f ca="1">Q793*S793</f>
        <v>5898.7109999999993</v>
      </c>
    </row>
    <row r="794" spans="1:20" x14ac:dyDescent="0.25">
      <c r="A794" s="4"/>
      <c r="B794" s="4" t="s">
        <v>181</v>
      </c>
      <c r="C794" s="2" t="str">
        <f ca="1">IFERROR(VLOOKUP(B794,MO_Matriz,2,0),"")</f>
        <v>Desenhista</v>
      </c>
      <c r="F794" s="4" t="str">
        <f ca="1">IFERROR(VLOOKUP(B794,MO_Matriz,3,0),"")</f>
        <v>T</v>
      </c>
      <c r="H794" s="2">
        <v>1</v>
      </c>
      <c r="I794" s="2">
        <v>1</v>
      </c>
      <c r="K794" s="2">
        <f>Listas!$B$6</f>
        <v>7.333333333333333</v>
      </c>
      <c r="M794" s="238">
        <f>M786</f>
        <v>7.2857142857142856</v>
      </c>
      <c r="O794" s="2">
        <f>H794*I794*K794*M794</f>
        <v>53.428571428571423</v>
      </c>
      <c r="Q794" s="2">
        <f>O794/220</f>
        <v>0.24285714285714283</v>
      </c>
      <c r="S794" s="315">
        <f ca="1">IFERROR(VLOOKUP(B794,MO_Matriz,5,0),"")</f>
        <v>7821.6815999999999</v>
      </c>
      <c r="T794" s="347">
        <f ca="1">Q794*S794</f>
        <v>1899.5512457142854</v>
      </c>
    </row>
    <row r="795" spans="1:20" x14ac:dyDescent="0.25">
      <c r="A795" s="4"/>
      <c r="S795" s="340" t="s">
        <v>329</v>
      </c>
      <c r="T795" s="339">
        <f ca="1">SUM(T793:T794)</f>
        <v>7798.2622457142843</v>
      </c>
    </row>
    <row r="796" spans="1:20" x14ac:dyDescent="0.25">
      <c r="A796" s="4"/>
    </row>
    <row r="797" spans="1:20" x14ac:dyDescent="0.25">
      <c r="A797" s="337" t="s">
        <v>339</v>
      </c>
      <c r="B797" s="2" t="s">
        <v>340</v>
      </c>
    </row>
    <row r="798" spans="1:20" x14ac:dyDescent="0.25">
      <c r="B798" s="2" t="s">
        <v>341</v>
      </c>
    </row>
    <row r="800" spans="1:20" x14ac:dyDescent="0.25">
      <c r="A800" s="4" t="s">
        <v>348</v>
      </c>
      <c r="B800" s="2" t="s">
        <v>349</v>
      </c>
    </row>
    <row r="801" spans="1:20" x14ac:dyDescent="0.25">
      <c r="A801" s="4" t="s">
        <v>451</v>
      </c>
      <c r="B801" s="2" t="s">
        <v>452</v>
      </c>
    </row>
    <row r="802" spans="1:20" x14ac:dyDescent="0.25">
      <c r="B802" s="4" t="s">
        <v>360</v>
      </c>
      <c r="C802" s="2" t="s">
        <v>15</v>
      </c>
      <c r="F802" s="4" t="s">
        <v>321</v>
      </c>
      <c r="G802" s="4"/>
      <c r="H802" s="4" t="s">
        <v>453</v>
      </c>
      <c r="I802" s="4"/>
      <c r="J802" s="4" t="s">
        <v>454</v>
      </c>
    </row>
    <row r="803" spans="1:20" x14ac:dyDescent="0.25">
      <c r="B803" s="4" t="str">
        <f>B793</f>
        <v>P8065</v>
      </c>
      <c r="C803" s="2" t="str">
        <f ca="1">IFERROR(VLOOKUP(B803,MO_Matriz,2,0),"")</f>
        <v>Engenheiro de projetos júnior</v>
      </c>
      <c r="F803" s="4" t="str">
        <f ca="1">IFERROR(VLOOKUP(B803,MO_Matriz,3,0),"")</f>
        <v>S</v>
      </c>
      <c r="H803" s="2" t="s">
        <v>455</v>
      </c>
      <c r="J803" s="2">
        <v>1</v>
      </c>
    </row>
    <row r="804" spans="1:20" x14ac:dyDescent="0.25">
      <c r="B804" s="4" t="str">
        <f>B794</f>
        <v>P9848</v>
      </c>
      <c r="C804" s="2" t="str">
        <f ca="1">IFERROR(VLOOKUP(B804,MO_Matriz,2,0),"")</f>
        <v>Desenhista</v>
      </c>
      <c r="F804" s="4" t="str">
        <f ca="1">IFERROR(VLOOKUP(B804,MO_Matriz,3,0),"")</f>
        <v>T</v>
      </c>
      <c r="H804" s="2" t="s">
        <v>455</v>
      </c>
      <c r="J804" s="2">
        <v>1</v>
      </c>
    </row>
    <row r="805" spans="1:20" x14ac:dyDescent="0.25">
      <c r="I805" s="340" t="s">
        <v>329</v>
      </c>
      <c r="J805" s="340">
        <f>SUM(J803:J804)</f>
        <v>2</v>
      </c>
    </row>
    <row r="807" spans="1:20" x14ac:dyDescent="0.25">
      <c r="A807" s="4" t="s">
        <v>456</v>
      </c>
      <c r="B807" s="2" t="s">
        <v>457</v>
      </c>
    </row>
    <row r="808" spans="1:20" x14ac:dyDescent="0.25">
      <c r="A808" s="4"/>
      <c r="B808" s="2" t="s">
        <v>1033</v>
      </c>
    </row>
    <row r="810" spans="1:20" x14ac:dyDescent="0.25">
      <c r="A810" s="4" t="s">
        <v>350</v>
      </c>
      <c r="B810" s="2" t="s">
        <v>351</v>
      </c>
    </row>
    <row r="811" spans="1:20" x14ac:dyDescent="0.25">
      <c r="B811" s="2" t="s">
        <v>344</v>
      </c>
    </row>
    <row r="813" spans="1:20" x14ac:dyDescent="0.25">
      <c r="A813" s="4" t="s">
        <v>197</v>
      </c>
      <c r="B813" s="2" t="s">
        <v>352</v>
      </c>
    </row>
    <row r="814" spans="1:20" ht="17.25" x14ac:dyDescent="0.25">
      <c r="B814" s="2" t="s">
        <v>346</v>
      </c>
      <c r="P814" s="28"/>
      <c r="Q814" s="28"/>
      <c r="R814" s="28"/>
      <c r="S814" s="28"/>
      <c r="T814" s="28"/>
    </row>
    <row r="816" spans="1:20" x14ac:dyDescent="0.25">
      <c r="A816" s="4" t="s">
        <v>353</v>
      </c>
      <c r="B816" s="2" t="s">
        <v>354</v>
      </c>
    </row>
    <row r="817" spans="1:16" x14ac:dyDescent="0.25">
      <c r="B817" s="2" t="s">
        <v>347</v>
      </c>
    </row>
    <row r="819" spans="1:16" x14ac:dyDescent="0.25">
      <c r="A819" s="4" t="s">
        <v>355</v>
      </c>
      <c r="B819" s="2" t="s">
        <v>356</v>
      </c>
    </row>
    <row r="820" spans="1:16" x14ac:dyDescent="0.25">
      <c r="B820" s="2" t="s">
        <v>15</v>
      </c>
      <c r="F820" s="2" t="s">
        <v>357</v>
      </c>
    </row>
    <row r="821" spans="1:16" x14ac:dyDescent="0.25">
      <c r="B821" s="2" t="s">
        <v>317</v>
      </c>
      <c r="F821" s="315">
        <f ca="1">T795</f>
        <v>7798.2622457142843</v>
      </c>
    </row>
    <row r="822" spans="1:16" x14ac:dyDescent="0.25">
      <c r="B822" s="2" t="s">
        <v>276</v>
      </c>
      <c r="F822" s="315">
        <v>0</v>
      </c>
      <c r="P822" s="4"/>
    </row>
    <row r="823" spans="1:16" x14ac:dyDescent="0.25">
      <c r="B823" s="2" t="s">
        <v>342</v>
      </c>
      <c r="F823" s="315">
        <v>0</v>
      </c>
      <c r="P823" s="4"/>
    </row>
    <row r="824" spans="1:16" x14ac:dyDescent="0.25">
      <c r="B824" s="2" t="s">
        <v>343</v>
      </c>
      <c r="F824" s="315">
        <v>0</v>
      </c>
    </row>
    <row r="825" spans="1:16" x14ac:dyDescent="0.25">
      <c r="B825" s="2" t="s">
        <v>345</v>
      </c>
      <c r="F825" s="315">
        <v>0</v>
      </c>
    </row>
    <row r="826" spans="1:16" x14ac:dyDescent="0.25">
      <c r="B826" s="2" t="s">
        <v>516</v>
      </c>
      <c r="F826" s="315">
        <v>0</v>
      </c>
    </row>
    <row r="827" spans="1:16" x14ac:dyDescent="0.25">
      <c r="E827" s="340" t="s">
        <v>329</v>
      </c>
      <c r="F827" s="339">
        <f ca="1">SUM(F821:F826)</f>
        <v>7798.2622457142843</v>
      </c>
    </row>
    <row r="829" spans="1:16" ht="17.25" x14ac:dyDescent="0.25">
      <c r="A829" s="336" t="s">
        <v>937</v>
      </c>
      <c r="B829" s="336" t="s">
        <v>783</v>
      </c>
      <c r="C829" s="336"/>
      <c r="D829" s="336"/>
      <c r="E829" s="336"/>
      <c r="F829" s="336"/>
      <c r="G829" s="28"/>
      <c r="H829" s="28"/>
      <c r="I829" s="28"/>
      <c r="J829" s="28"/>
      <c r="K829" s="28"/>
      <c r="L829" s="28"/>
      <c r="M829" s="28"/>
      <c r="N829" s="28"/>
      <c r="O829" s="28"/>
    </row>
    <row r="830" spans="1:16" x14ac:dyDescent="0.25">
      <c r="A830" s="4" t="s">
        <v>61</v>
      </c>
      <c r="B830" s="2" t="s">
        <v>338</v>
      </c>
    </row>
    <row r="831" spans="1:16" x14ac:dyDescent="0.25">
      <c r="A831" s="4"/>
      <c r="B831" s="2" t="s">
        <v>15</v>
      </c>
      <c r="F831" s="4" t="s">
        <v>414</v>
      </c>
      <c r="H831" s="4" t="s">
        <v>856</v>
      </c>
      <c r="J831" s="4" t="s">
        <v>224</v>
      </c>
      <c r="K831" s="2" t="s">
        <v>855</v>
      </c>
      <c r="M831" s="2" t="s">
        <v>325</v>
      </c>
      <c r="O831" s="2" t="s">
        <v>381</v>
      </c>
    </row>
    <row r="832" spans="1:16" x14ac:dyDescent="0.25">
      <c r="A832" s="4"/>
      <c r="B832" s="2" t="s">
        <v>595</v>
      </c>
      <c r="F832" s="358">
        <v>1</v>
      </c>
      <c r="H832" s="238">
        <v>0.35</v>
      </c>
      <c r="I832" s="4"/>
      <c r="J832" s="2">
        <f>1.5/H832</f>
        <v>4.2857142857142856</v>
      </c>
      <c r="K832" s="238">
        <f>'Carac trecho'!$C$59</f>
        <v>3</v>
      </c>
      <c r="M832" s="238">
        <f>J832+K832</f>
        <v>7.2857142857142856</v>
      </c>
      <c r="O832" s="2">
        <f>ROUNDUP(M832*Listas!$E$5,0)</f>
        <v>9</v>
      </c>
    </row>
    <row r="833" spans="1:20" x14ac:dyDescent="0.25">
      <c r="A833" s="4"/>
      <c r="B833" s="2" t="s">
        <v>487</v>
      </c>
      <c r="F833" s="358">
        <v>0.6</v>
      </c>
      <c r="H833" s="359">
        <v>0</v>
      </c>
      <c r="I833" s="4"/>
      <c r="J833" s="359">
        <v>0</v>
      </c>
      <c r="K833" s="359">
        <v>0</v>
      </c>
      <c r="M833" s="238">
        <f>M832*F833</f>
        <v>4.371428571428571</v>
      </c>
      <c r="O833" s="238">
        <f>ROUNDUP(O832*F833,0)</f>
        <v>6</v>
      </c>
    </row>
    <row r="834" spans="1:20" x14ac:dyDescent="0.25">
      <c r="A834" s="4"/>
      <c r="B834" s="2" t="s">
        <v>592</v>
      </c>
      <c r="F834" s="358">
        <v>0.4</v>
      </c>
      <c r="H834" s="359">
        <v>0</v>
      </c>
      <c r="I834" s="4"/>
      <c r="J834" s="359">
        <v>0</v>
      </c>
      <c r="K834" s="359">
        <v>0</v>
      </c>
      <c r="M834" s="238">
        <f>M832-M833</f>
        <v>2.9142857142857146</v>
      </c>
      <c r="O834" s="238">
        <f>O832-O833</f>
        <v>3</v>
      </c>
    </row>
    <row r="835" spans="1:20" x14ac:dyDescent="0.25">
      <c r="A835" s="4"/>
      <c r="F835" s="358"/>
      <c r="H835" s="359"/>
      <c r="I835" s="4"/>
      <c r="J835" s="359"/>
      <c r="K835" s="359"/>
      <c r="L835" s="2" t="s">
        <v>329</v>
      </c>
      <c r="M835" s="238">
        <f>SUM(M832:M834)</f>
        <v>14.571428571428571</v>
      </c>
      <c r="O835" s="238"/>
    </row>
    <row r="836" spans="1:20" x14ac:dyDescent="0.25">
      <c r="A836" s="4"/>
    </row>
    <row r="837" spans="1:20" x14ac:dyDescent="0.25">
      <c r="A837" s="4"/>
      <c r="B837" s="4" t="s">
        <v>360</v>
      </c>
      <c r="C837" s="2" t="s">
        <v>15</v>
      </c>
      <c r="F837" s="4" t="s">
        <v>321</v>
      </c>
      <c r="G837" s="4"/>
      <c r="H837" s="4" t="s">
        <v>322</v>
      </c>
      <c r="I837" s="4" t="s">
        <v>323</v>
      </c>
      <c r="J837" s="4"/>
      <c r="K837" s="4" t="s">
        <v>324</v>
      </c>
      <c r="L837" s="4"/>
      <c r="M837" s="4" t="s">
        <v>325</v>
      </c>
      <c r="N837" s="4"/>
      <c r="O837" s="4" t="s">
        <v>326</v>
      </c>
      <c r="Q837" s="4" t="s">
        <v>327</v>
      </c>
      <c r="R837" s="4"/>
      <c r="S837" s="4" t="s">
        <v>328</v>
      </c>
      <c r="T837" s="337" t="s">
        <v>329</v>
      </c>
    </row>
    <row r="838" spans="1:20" x14ac:dyDescent="0.25">
      <c r="A838" s="4"/>
      <c r="B838" s="4"/>
      <c r="F838" s="4"/>
      <c r="G838" s="4"/>
      <c r="H838" s="4" t="s">
        <v>330</v>
      </c>
      <c r="I838" s="4" t="s">
        <v>331</v>
      </c>
      <c r="J838" s="4"/>
      <c r="K838" s="4" t="s">
        <v>332</v>
      </c>
      <c r="L838" s="4"/>
      <c r="M838" s="4" t="s">
        <v>333</v>
      </c>
      <c r="N838" s="4"/>
      <c r="O838" s="4" t="s">
        <v>334</v>
      </c>
      <c r="Q838" s="4" t="s">
        <v>335</v>
      </c>
      <c r="R838" s="4"/>
      <c r="S838" s="4" t="s">
        <v>336</v>
      </c>
      <c r="T838" s="337" t="s">
        <v>337</v>
      </c>
    </row>
    <row r="839" spans="1:20" x14ac:dyDescent="0.25">
      <c r="A839" s="4"/>
      <c r="B839" s="4" t="s">
        <v>112</v>
      </c>
      <c r="C839" s="2" t="str">
        <f ca="1">IFERROR(VLOOKUP(B839,MO_Matriz,2,0),"")</f>
        <v>Engenheiro de projetos júnior</v>
      </c>
      <c r="F839" s="4" t="str">
        <f ca="1">IFERROR(VLOOKUP(B839,MO_Matriz,3,0),"")</f>
        <v>S</v>
      </c>
      <c r="H839" s="2">
        <v>1</v>
      </c>
      <c r="I839" s="2">
        <v>1</v>
      </c>
      <c r="K839" s="2">
        <f>Listas!$B$6</f>
        <v>7.333333333333333</v>
      </c>
      <c r="M839" s="238">
        <f>M832</f>
        <v>7.2857142857142856</v>
      </c>
      <c r="O839" s="2">
        <f>H839*I839*K839*M839</f>
        <v>53.428571428571423</v>
      </c>
      <c r="Q839" s="2">
        <f>O839/220</f>
        <v>0.24285714285714283</v>
      </c>
      <c r="S839" s="315">
        <f ca="1">IFERROR(VLOOKUP(B839,MO_Matriz,5,0),"")</f>
        <v>24288.81</v>
      </c>
      <c r="T839" s="347">
        <f ca="1">Q839*S839</f>
        <v>5898.7109999999993</v>
      </c>
    </row>
    <row r="840" spans="1:20" x14ac:dyDescent="0.25">
      <c r="A840" s="4"/>
      <c r="B840" s="4" t="s">
        <v>181</v>
      </c>
      <c r="C840" s="2" t="str">
        <f ca="1">IFERROR(VLOOKUP(B840,MO_Matriz,2,0),"")</f>
        <v>Desenhista</v>
      </c>
      <c r="F840" s="4" t="str">
        <f ca="1">IFERROR(VLOOKUP(B840,MO_Matriz,3,0),"")</f>
        <v>T</v>
      </c>
      <c r="H840" s="2">
        <v>1</v>
      </c>
      <c r="I840" s="2">
        <v>1</v>
      </c>
      <c r="K840" s="2">
        <f>Listas!$B$6</f>
        <v>7.333333333333333</v>
      </c>
      <c r="M840" s="238">
        <f>M832</f>
        <v>7.2857142857142856</v>
      </c>
      <c r="O840" s="2">
        <f>H840*I840*K840*M840</f>
        <v>53.428571428571423</v>
      </c>
      <c r="Q840" s="2">
        <f>O840/220</f>
        <v>0.24285714285714283</v>
      </c>
      <c r="S840" s="315">
        <f ca="1">IFERROR(VLOOKUP(B840,MO_Matriz,5,0),"")</f>
        <v>7821.6815999999999</v>
      </c>
      <c r="T840" s="347">
        <f ca="1">Q840*S840</f>
        <v>1899.5512457142854</v>
      </c>
    </row>
    <row r="841" spans="1:20" x14ac:dyDescent="0.25">
      <c r="A841" s="4"/>
      <c r="S841" s="340" t="s">
        <v>329</v>
      </c>
      <c r="T841" s="339">
        <f ca="1">SUM(T839:T840)</f>
        <v>7798.2622457142843</v>
      </c>
    </row>
    <row r="842" spans="1:20" x14ac:dyDescent="0.25">
      <c r="A842" s="4"/>
    </row>
    <row r="843" spans="1:20" x14ac:dyDescent="0.25">
      <c r="A843" s="337" t="s">
        <v>339</v>
      </c>
      <c r="B843" s="2" t="s">
        <v>340</v>
      </c>
    </row>
    <row r="844" spans="1:20" x14ac:dyDescent="0.25">
      <c r="B844" s="2" t="s">
        <v>341</v>
      </c>
    </row>
    <row r="846" spans="1:20" x14ac:dyDescent="0.25">
      <c r="A846" s="4" t="s">
        <v>348</v>
      </c>
      <c r="B846" s="2" t="s">
        <v>349</v>
      </c>
    </row>
    <row r="847" spans="1:20" x14ac:dyDescent="0.25">
      <c r="A847" s="4" t="s">
        <v>451</v>
      </c>
      <c r="B847" s="2" t="s">
        <v>452</v>
      </c>
    </row>
    <row r="848" spans="1:20" x14ac:dyDescent="0.25">
      <c r="B848" s="4" t="s">
        <v>360</v>
      </c>
      <c r="C848" s="2" t="s">
        <v>15</v>
      </c>
      <c r="F848" s="4" t="s">
        <v>321</v>
      </c>
      <c r="G848" s="4"/>
      <c r="H848" s="4" t="s">
        <v>453</v>
      </c>
      <c r="I848" s="4"/>
      <c r="J848" s="4" t="s">
        <v>454</v>
      </c>
    </row>
    <row r="849" spans="1:20" x14ac:dyDescent="0.25">
      <c r="B849" s="4" t="str">
        <f>B839</f>
        <v>P8065</v>
      </c>
      <c r="C849" s="2" t="str">
        <f ca="1">IFERROR(VLOOKUP(B849,MO_Matriz,2,0),"")</f>
        <v>Engenheiro de projetos júnior</v>
      </c>
      <c r="F849" s="4" t="str">
        <f ca="1">IFERROR(VLOOKUP(B849,MO_Matriz,3,0),"")</f>
        <v>S</v>
      </c>
      <c r="H849" s="2" t="s">
        <v>455</v>
      </c>
      <c r="J849" s="2">
        <v>1</v>
      </c>
    </row>
    <row r="850" spans="1:20" x14ac:dyDescent="0.25">
      <c r="B850" s="4" t="str">
        <f>B840</f>
        <v>P9848</v>
      </c>
      <c r="C850" s="2" t="str">
        <f ca="1">IFERROR(VLOOKUP(B850,MO_Matriz,2,0),"")</f>
        <v>Desenhista</v>
      </c>
      <c r="F850" s="4" t="str">
        <f ca="1">IFERROR(VLOOKUP(B850,MO_Matriz,3,0),"")</f>
        <v>T</v>
      </c>
      <c r="H850" s="2" t="s">
        <v>455</v>
      </c>
      <c r="J850" s="2">
        <v>1</v>
      </c>
    </row>
    <row r="851" spans="1:20" x14ac:dyDescent="0.25">
      <c r="I851" s="340" t="s">
        <v>329</v>
      </c>
      <c r="J851" s="340">
        <f>SUM(J849:J850)</f>
        <v>2</v>
      </c>
    </row>
    <row r="853" spans="1:20" x14ac:dyDescent="0.25">
      <c r="A853" s="4" t="s">
        <v>456</v>
      </c>
      <c r="B853" s="2" t="s">
        <v>457</v>
      </c>
    </row>
    <row r="854" spans="1:20" x14ac:dyDescent="0.25">
      <c r="A854" s="4"/>
      <c r="B854" s="2" t="s">
        <v>1033</v>
      </c>
    </row>
    <row r="855" spans="1:20" x14ac:dyDescent="0.25">
      <c r="A855" s="4"/>
    </row>
    <row r="856" spans="1:20" x14ac:dyDescent="0.25">
      <c r="A856" s="4" t="s">
        <v>350</v>
      </c>
      <c r="B856" s="2" t="s">
        <v>351</v>
      </c>
    </row>
    <row r="857" spans="1:20" x14ac:dyDescent="0.25">
      <c r="B857" s="2" t="s">
        <v>344</v>
      </c>
    </row>
    <row r="859" spans="1:20" x14ac:dyDescent="0.25">
      <c r="A859" s="4" t="s">
        <v>197</v>
      </c>
      <c r="B859" s="2" t="s">
        <v>352</v>
      </c>
    </row>
    <row r="860" spans="1:20" ht="17.25" x14ac:dyDescent="0.25">
      <c r="B860" s="2" t="s">
        <v>346</v>
      </c>
      <c r="P860" s="28"/>
      <c r="Q860" s="28"/>
      <c r="R860" s="28"/>
      <c r="S860" s="28"/>
      <c r="T860" s="28"/>
    </row>
    <row r="862" spans="1:20" x14ac:dyDescent="0.25">
      <c r="A862" s="4" t="s">
        <v>353</v>
      </c>
      <c r="B862" s="2" t="s">
        <v>354</v>
      </c>
    </row>
    <row r="863" spans="1:20" x14ac:dyDescent="0.25">
      <c r="B863" s="2" t="s">
        <v>347</v>
      </c>
    </row>
    <row r="865" spans="1:16" x14ac:dyDescent="0.25">
      <c r="A865" s="4" t="s">
        <v>355</v>
      </c>
      <c r="B865" s="2" t="s">
        <v>356</v>
      </c>
    </row>
    <row r="866" spans="1:16" x14ac:dyDescent="0.25">
      <c r="B866" s="2" t="s">
        <v>15</v>
      </c>
      <c r="F866" s="2" t="s">
        <v>357</v>
      </c>
    </row>
    <row r="867" spans="1:16" x14ac:dyDescent="0.25">
      <c r="B867" s="2" t="s">
        <v>317</v>
      </c>
      <c r="F867" s="315">
        <f ca="1">T841</f>
        <v>7798.2622457142843</v>
      </c>
    </row>
    <row r="868" spans="1:16" x14ac:dyDescent="0.25">
      <c r="B868" s="2" t="s">
        <v>276</v>
      </c>
      <c r="F868" s="315">
        <v>0</v>
      </c>
      <c r="P868" s="4"/>
    </row>
    <row r="869" spans="1:16" x14ac:dyDescent="0.25">
      <c r="B869" s="2" t="s">
        <v>342</v>
      </c>
      <c r="F869" s="315">
        <v>0</v>
      </c>
      <c r="P869" s="4"/>
    </row>
    <row r="870" spans="1:16" x14ac:dyDescent="0.25">
      <c r="B870" s="2" t="s">
        <v>343</v>
      </c>
      <c r="F870" s="315">
        <v>0</v>
      </c>
    </row>
    <row r="871" spans="1:16" x14ac:dyDescent="0.25">
      <c r="B871" s="2" t="s">
        <v>345</v>
      </c>
      <c r="F871" s="315">
        <v>0</v>
      </c>
    </row>
    <row r="872" spans="1:16" x14ac:dyDescent="0.25">
      <c r="B872" s="2" t="s">
        <v>516</v>
      </c>
      <c r="F872" s="315">
        <v>0</v>
      </c>
    </row>
    <row r="873" spans="1:16" x14ac:dyDescent="0.25">
      <c r="E873" s="340" t="s">
        <v>329</v>
      </c>
      <c r="F873" s="339">
        <f ca="1">SUM(F867:F872)</f>
        <v>7798.2622457142843</v>
      </c>
    </row>
    <row r="875" spans="1:16" ht="17.25" x14ac:dyDescent="0.25">
      <c r="A875" s="336" t="s">
        <v>938</v>
      </c>
      <c r="B875" s="336" t="s">
        <v>216</v>
      </c>
      <c r="C875" s="336"/>
      <c r="D875" s="336"/>
      <c r="E875" s="28"/>
      <c r="F875" s="28"/>
      <c r="G875" s="28"/>
      <c r="H875" s="28"/>
      <c r="I875" s="28"/>
      <c r="J875" s="28"/>
      <c r="K875" s="28"/>
      <c r="L875" s="28"/>
      <c r="M875" s="28"/>
      <c r="N875" s="28"/>
      <c r="O875" s="28"/>
    </row>
    <row r="876" spans="1:16" x14ac:dyDescent="0.25">
      <c r="A876" s="4" t="s">
        <v>61</v>
      </c>
      <c r="B876" s="2" t="s">
        <v>338</v>
      </c>
    </row>
    <row r="877" spans="1:16" x14ac:dyDescent="0.25">
      <c r="A877" s="4"/>
      <c r="B877" s="2" t="s">
        <v>15</v>
      </c>
      <c r="F877" s="4" t="s">
        <v>414</v>
      </c>
      <c r="H877" s="4" t="s">
        <v>856</v>
      </c>
      <c r="J877" s="4" t="s">
        <v>224</v>
      </c>
      <c r="K877" s="2" t="s">
        <v>855</v>
      </c>
      <c r="M877" s="2" t="s">
        <v>325</v>
      </c>
      <c r="O877" s="2" t="s">
        <v>381</v>
      </c>
    </row>
    <row r="878" spans="1:16" x14ac:dyDescent="0.25">
      <c r="A878" s="4"/>
      <c r="B878" s="2" t="s">
        <v>596</v>
      </c>
      <c r="F878" s="358">
        <v>1</v>
      </c>
      <c r="H878" s="238">
        <v>1</v>
      </c>
      <c r="I878" s="4"/>
      <c r="J878" s="2">
        <f>1.5/H878</f>
        <v>1.5</v>
      </c>
      <c r="K878" s="238">
        <f>'Carac trecho'!$C$59</f>
        <v>3</v>
      </c>
      <c r="M878" s="238">
        <f>J878+K878</f>
        <v>4.5</v>
      </c>
      <c r="O878" s="2">
        <f>ROUNDUP(M878*Listas!$E$5,0)</f>
        <v>6</v>
      </c>
    </row>
    <row r="879" spans="1:16" x14ac:dyDescent="0.25">
      <c r="A879" s="4"/>
      <c r="B879" s="2" t="s">
        <v>487</v>
      </c>
      <c r="F879" s="358">
        <v>0.6</v>
      </c>
      <c r="H879" s="359">
        <v>0</v>
      </c>
      <c r="I879" s="4"/>
      <c r="J879" s="359">
        <v>0</v>
      </c>
      <c r="K879" s="359">
        <v>0</v>
      </c>
      <c r="M879" s="238">
        <f>M878*F879</f>
        <v>2.6999999999999997</v>
      </c>
      <c r="O879" s="238">
        <f>ROUNDUP(O878*F879,0)</f>
        <v>4</v>
      </c>
    </row>
    <row r="880" spans="1:16" x14ac:dyDescent="0.25">
      <c r="A880" s="4"/>
      <c r="B880" s="2" t="s">
        <v>592</v>
      </c>
      <c r="F880" s="358">
        <v>0.4</v>
      </c>
      <c r="H880" s="359">
        <v>0</v>
      </c>
      <c r="I880" s="4"/>
      <c r="J880" s="359">
        <v>0</v>
      </c>
      <c r="K880" s="359">
        <v>0</v>
      </c>
      <c r="M880" s="238">
        <f>M878-M879</f>
        <v>1.8000000000000003</v>
      </c>
      <c r="O880" s="238">
        <f>O878-O879</f>
        <v>2</v>
      </c>
    </row>
    <row r="881" spans="1:20" x14ac:dyDescent="0.25">
      <c r="A881" s="4"/>
      <c r="F881" s="358"/>
      <c r="H881" s="359"/>
      <c r="I881" s="4"/>
      <c r="J881" s="359"/>
      <c r="K881" s="359"/>
      <c r="L881" s="2" t="s">
        <v>329</v>
      </c>
      <c r="M881" s="238">
        <f>SUM(M878:M880)</f>
        <v>9</v>
      </c>
      <c r="O881" s="238"/>
    </row>
    <row r="882" spans="1:20" x14ac:dyDescent="0.25">
      <c r="A882" s="4"/>
    </row>
    <row r="883" spans="1:20" x14ac:dyDescent="0.25">
      <c r="A883" s="4"/>
      <c r="B883" s="4" t="s">
        <v>360</v>
      </c>
      <c r="C883" s="2" t="s">
        <v>15</v>
      </c>
      <c r="F883" s="4" t="s">
        <v>321</v>
      </c>
      <c r="G883" s="4"/>
      <c r="H883" s="4" t="s">
        <v>322</v>
      </c>
      <c r="I883" s="4" t="s">
        <v>323</v>
      </c>
      <c r="J883" s="4"/>
      <c r="K883" s="4" t="s">
        <v>324</v>
      </c>
      <c r="L883" s="4"/>
      <c r="M883" s="4" t="s">
        <v>325</v>
      </c>
      <c r="N883" s="4"/>
      <c r="O883" s="4" t="s">
        <v>326</v>
      </c>
      <c r="Q883" s="4" t="s">
        <v>327</v>
      </c>
      <c r="R883" s="4"/>
      <c r="S883" s="4" t="s">
        <v>328</v>
      </c>
      <c r="T883" s="337" t="s">
        <v>329</v>
      </c>
    </row>
    <row r="884" spans="1:20" x14ac:dyDescent="0.25">
      <c r="A884" s="4"/>
      <c r="B884" s="4"/>
      <c r="F884" s="4"/>
      <c r="G884" s="4"/>
      <c r="H884" s="4" t="s">
        <v>330</v>
      </c>
      <c r="I884" s="4" t="s">
        <v>331</v>
      </c>
      <c r="J884" s="4"/>
      <c r="K884" s="4" t="s">
        <v>332</v>
      </c>
      <c r="L884" s="4"/>
      <c r="M884" s="4" t="s">
        <v>333</v>
      </c>
      <c r="N884" s="4"/>
      <c r="O884" s="4" t="s">
        <v>334</v>
      </c>
      <c r="Q884" s="4" t="s">
        <v>335</v>
      </c>
      <c r="R884" s="4"/>
      <c r="S884" s="4" t="s">
        <v>336</v>
      </c>
      <c r="T884" s="337" t="s">
        <v>337</v>
      </c>
    </row>
    <row r="885" spans="1:20" x14ac:dyDescent="0.25">
      <c r="A885" s="4"/>
      <c r="B885" s="4" t="s">
        <v>112</v>
      </c>
      <c r="C885" s="2" t="str">
        <f ca="1">IFERROR(VLOOKUP(B885,MO_Matriz,2,0),"")</f>
        <v>Engenheiro de projetos júnior</v>
      </c>
      <c r="F885" s="4" t="str">
        <f ca="1">IFERROR(VLOOKUP(B885,MO_Matriz,3,0),"")</f>
        <v>S</v>
      </c>
      <c r="H885" s="2">
        <v>1</v>
      </c>
      <c r="I885" s="2">
        <v>1</v>
      </c>
      <c r="K885" s="2">
        <f>Listas!$B$6</f>
        <v>7.333333333333333</v>
      </c>
      <c r="M885" s="238">
        <f>M878</f>
        <v>4.5</v>
      </c>
      <c r="O885" s="2">
        <f>H885*I885*K885*M885</f>
        <v>33</v>
      </c>
      <c r="Q885" s="2">
        <f>O885/220</f>
        <v>0.15</v>
      </c>
      <c r="S885" s="315">
        <f ca="1">IFERROR(VLOOKUP(B885,MO_Matriz,5,0),"")</f>
        <v>24288.81</v>
      </c>
      <c r="T885" s="347">
        <f ca="1">Q885*S885</f>
        <v>3643.3215</v>
      </c>
    </row>
    <row r="886" spans="1:20" x14ac:dyDescent="0.25">
      <c r="A886" s="4"/>
      <c r="B886" s="4" t="s">
        <v>181</v>
      </c>
      <c r="C886" s="2" t="str">
        <f ca="1">IFERROR(VLOOKUP(B886,MO_Matriz,2,0),"")</f>
        <v>Desenhista</v>
      </c>
      <c r="F886" s="4" t="str">
        <f ca="1">IFERROR(VLOOKUP(B886,MO_Matriz,3,0),"")</f>
        <v>T</v>
      </c>
      <c r="H886" s="2">
        <v>1</v>
      </c>
      <c r="I886" s="2">
        <v>1</v>
      </c>
      <c r="K886" s="2">
        <f>Listas!$B$6</f>
        <v>7.333333333333333</v>
      </c>
      <c r="M886" s="238">
        <f>M878</f>
        <v>4.5</v>
      </c>
      <c r="O886" s="2">
        <f>H886*I886*K886*M886</f>
        <v>33</v>
      </c>
      <c r="Q886" s="2">
        <f>O886/220</f>
        <v>0.15</v>
      </c>
      <c r="S886" s="315">
        <f ca="1">IFERROR(VLOOKUP(B886,MO_Matriz,5,0),"")</f>
        <v>7821.6815999999999</v>
      </c>
      <c r="T886" s="347">
        <f ca="1">Q886*S886</f>
        <v>1173.25224</v>
      </c>
    </row>
    <row r="887" spans="1:20" x14ac:dyDescent="0.25">
      <c r="A887" s="4"/>
      <c r="S887" s="340" t="s">
        <v>329</v>
      </c>
      <c r="T887" s="339">
        <f ca="1">SUM(T885:T886)</f>
        <v>4816.5737399999998</v>
      </c>
    </row>
    <row r="888" spans="1:20" x14ac:dyDescent="0.25">
      <c r="A888" s="4"/>
    </row>
    <row r="889" spans="1:20" x14ac:dyDescent="0.25">
      <c r="A889" s="337" t="s">
        <v>339</v>
      </c>
      <c r="B889" s="2" t="s">
        <v>340</v>
      </c>
    </row>
    <row r="890" spans="1:20" x14ac:dyDescent="0.25">
      <c r="B890" s="2" t="s">
        <v>341</v>
      </c>
    </row>
    <row r="892" spans="1:20" x14ac:dyDescent="0.25">
      <c r="A892" s="4" t="s">
        <v>348</v>
      </c>
      <c r="B892" s="2" t="s">
        <v>349</v>
      </c>
    </row>
    <row r="893" spans="1:20" x14ac:dyDescent="0.25">
      <c r="A893" s="4" t="s">
        <v>451</v>
      </c>
      <c r="B893" s="2" t="s">
        <v>452</v>
      </c>
    </row>
    <row r="894" spans="1:20" x14ac:dyDescent="0.25">
      <c r="B894" s="4" t="s">
        <v>360</v>
      </c>
      <c r="C894" s="2" t="s">
        <v>15</v>
      </c>
      <c r="F894" s="4" t="s">
        <v>321</v>
      </c>
      <c r="G894" s="4"/>
      <c r="H894" s="4" t="s">
        <v>453</v>
      </c>
      <c r="I894" s="4"/>
      <c r="J894" s="4" t="s">
        <v>454</v>
      </c>
    </row>
    <row r="895" spans="1:20" x14ac:dyDescent="0.25">
      <c r="B895" s="4" t="str">
        <f>B885</f>
        <v>P8065</v>
      </c>
      <c r="C895" s="2" t="str">
        <f ca="1">IFERROR(VLOOKUP(B895,MO_Matriz,2,0),"")</f>
        <v>Engenheiro de projetos júnior</v>
      </c>
      <c r="F895" s="4" t="str">
        <f ca="1">IFERROR(VLOOKUP(B895,MO_Matriz,3,0),"")</f>
        <v>S</v>
      </c>
      <c r="H895" s="2" t="s">
        <v>455</v>
      </c>
      <c r="J895" s="2">
        <v>1</v>
      </c>
    </row>
    <row r="896" spans="1:20" x14ac:dyDescent="0.25">
      <c r="B896" s="4" t="str">
        <f>B886</f>
        <v>P9848</v>
      </c>
      <c r="C896" s="2" t="str">
        <f ca="1">IFERROR(VLOOKUP(B896,MO_Matriz,2,0),"")</f>
        <v>Desenhista</v>
      </c>
      <c r="F896" s="4" t="str">
        <f ca="1">IFERROR(VLOOKUP(B896,MO_Matriz,3,0),"")</f>
        <v>T</v>
      </c>
      <c r="H896" s="2" t="s">
        <v>455</v>
      </c>
      <c r="J896" s="2">
        <v>1</v>
      </c>
    </row>
    <row r="897" spans="1:20" x14ac:dyDescent="0.25">
      <c r="I897" s="340" t="s">
        <v>329</v>
      </c>
      <c r="J897" s="340">
        <f>SUM(J895:J896)</f>
        <v>2</v>
      </c>
    </row>
    <row r="899" spans="1:20" x14ac:dyDescent="0.25">
      <c r="A899" s="4" t="s">
        <v>456</v>
      </c>
      <c r="B899" s="2" t="s">
        <v>457</v>
      </c>
    </row>
    <row r="900" spans="1:20" x14ac:dyDescent="0.25">
      <c r="A900" s="4"/>
      <c r="B900" s="2" t="s">
        <v>1033</v>
      </c>
    </row>
    <row r="902" spans="1:20" x14ac:dyDescent="0.25">
      <c r="A902" s="4" t="s">
        <v>350</v>
      </c>
      <c r="B902" s="2" t="s">
        <v>351</v>
      </c>
    </row>
    <row r="903" spans="1:20" x14ac:dyDescent="0.25">
      <c r="B903" s="2" t="s">
        <v>344</v>
      </c>
    </row>
    <row r="905" spans="1:20" x14ac:dyDescent="0.25">
      <c r="A905" s="4" t="s">
        <v>197</v>
      </c>
      <c r="B905" s="2" t="s">
        <v>352</v>
      </c>
    </row>
    <row r="906" spans="1:20" ht="17.25" x14ac:dyDescent="0.25">
      <c r="B906" s="2" t="s">
        <v>346</v>
      </c>
      <c r="P906" s="28"/>
      <c r="Q906" s="28"/>
      <c r="R906" s="28"/>
      <c r="S906" s="28"/>
      <c r="T906" s="28"/>
    </row>
    <row r="908" spans="1:20" x14ac:dyDescent="0.25">
      <c r="A908" s="4" t="s">
        <v>353</v>
      </c>
      <c r="B908" s="2" t="s">
        <v>354</v>
      </c>
    </row>
    <row r="909" spans="1:20" x14ac:dyDescent="0.25">
      <c r="B909" s="2" t="s">
        <v>347</v>
      </c>
    </row>
    <row r="911" spans="1:20" x14ac:dyDescent="0.25">
      <c r="A911" s="4" t="s">
        <v>355</v>
      </c>
      <c r="B911" s="2" t="s">
        <v>356</v>
      </c>
    </row>
    <row r="912" spans="1:20" x14ac:dyDescent="0.25">
      <c r="B912" s="2" t="s">
        <v>15</v>
      </c>
      <c r="F912" s="2" t="s">
        <v>357</v>
      </c>
    </row>
    <row r="913" spans="1:16" x14ac:dyDescent="0.25">
      <c r="B913" s="2" t="s">
        <v>317</v>
      </c>
      <c r="F913" s="315">
        <f ca="1">T887</f>
        <v>4816.5737399999998</v>
      </c>
    </row>
    <row r="914" spans="1:16" x14ac:dyDescent="0.25">
      <c r="B914" s="2" t="s">
        <v>276</v>
      </c>
      <c r="F914" s="315">
        <v>0</v>
      </c>
      <c r="P914" s="4"/>
    </row>
    <row r="915" spans="1:16" x14ac:dyDescent="0.25">
      <c r="B915" s="2" t="s">
        <v>342</v>
      </c>
      <c r="F915" s="315">
        <v>0</v>
      </c>
      <c r="P915" s="4"/>
    </row>
    <row r="916" spans="1:16" x14ac:dyDescent="0.25">
      <c r="B916" s="2" t="s">
        <v>343</v>
      </c>
      <c r="F916" s="315">
        <v>0</v>
      </c>
    </row>
    <row r="917" spans="1:16" x14ac:dyDescent="0.25">
      <c r="B917" s="2" t="s">
        <v>345</v>
      </c>
      <c r="F917" s="315">
        <v>0</v>
      </c>
    </row>
    <row r="918" spans="1:16" x14ac:dyDescent="0.25">
      <c r="B918" s="2" t="s">
        <v>516</v>
      </c>
      <c r="F918" s="315">
        <v>0</v>
      </c>
    </row>
    <row r="919" spans="1:16" x14ac:dyDescent="0.25">
      <c r="E919" s="340" t="s">
        <v>329</v>
      </c>
      <c r="F919" s="339">
        <f ca="1">SUM(F913:F918)</f>
        <v>4816.5737399999998</v>
      </c>
    </row>
    <row r="921" spans="1:16" ht="17.25" x14ac:dyDescent="0.25">
      <c r="A921" s="336" t="s">
        <v>939</v>
      </c>
      <c r="B921" s="336" t="s">
        <v>217</v>
      </c>
      <c r="C921" s="336"/>
      <c r="D921" s="336"/>
      <c r="E921" s="28"/>
      <c r="F921" s="28"/>
      <c r="G921" s="28"/>
      <c r="H921" s="28"/>
      <c r="I921" s="28"/>
      <c r="J921" s="28"/>
      <c r="K921" s="28"/>
      <c r="L921" s="28"/>
      <c r="M921" s="28"/>
      <c r="N921" s="28"/>
      <c r="O921" s="28"/>
    </row>
    <row r="922" spans="1:16" x14ac:dyDescent="0.25">
      <c r="A922" s="4" t="s">
        <v>61</v>
      </c>
      <c r="B922" s="2" t="s">
        <v>338</v>
      </c>
    </row>
    <row r="923" spans="1:16" x14ac:dyDescent="0.25">
      <c r="A923" s="4"/>
      <c r="B923" s="2" t="s">
        <v>15</v>
      </c>
      <c r="F923" s="4" t="s">
        <v>414</v>
      </c>
      <c r="H923" s="4" t="s">
        <v>856</v>
      </c>
      <c r="J923" s="4" t="s">
        <v>224</v>
      </c>
      <c r="K923" s="2" t="s">
        <v>855</v>
      </c>
      <c r="M923" s="2" t="s">
        <v>325</v>
      </c>
      <c r="O923" s="2" t="s">
        <v>381</v>
      </c>
    </row>
    <row r="924" spans="1:16" x14ac:dyDescent="0.25">
      <c r="A924" s="4"/>
      <c r="B924" s="2" t="s">
        <v>601</v>
      </c>
      <c r="F924" s="358">
        <v>1</v>
      </c>
      <c r="H924" s="238">
        <v>0.6</v>
      </c>
      <c r="I924" s="4"/>
      <c r="J924" s="2">
        <f>1.5/H924</f>
        <v>2.5</v>
      </c>
      <c r="K924" s="238">
        <f>'Carac trecho'!C63</f>
        <v>1</v>
      </c>
      <c r="M924" s="238">
        <f>J924+K924</f>
        <v>3.5</v>
      </c>
      <c r="O924" s="2">
        <f>ROUNDUP(M924*Listas!$E$5,0)</f>
        <v>5</v>
      </c>
    </row>
    <row r="925" spans="1:16" x14ac:dyDescent="0.25">
      <c r="A925" s="4"/>
      <c r="B925" s="2" t="s">
        <v>487</v>
      </c>
      <c r="F925" s="358">
        <v>0.6</v>
      </c>
      <c r="H925" s="359">
        <v>0</v>
      </c>
      <c r="I925" s="4"/>
      <c r="J925" s="359">
        <v>0</v>
      </c>
      <c r="K925" s="359">
        <v>0</v>
      </c>
      <c r="M925" s="238">
        <f>M924*F925</f>
        <v>2.1</v>
      </c>
      <c r="O925" s="238">
        <v>1</v>
      </c>
    </row>
    <row r="926" spans="1:16" x14ac:dyDescent="0.25">
      <c r="A926" s="4"/>
      <c r="B926" s="2" t="s">
        <v>592</v>
      </c>
      <c r="F926" s="358">
        <v>0.4</v>
      </c>
      <c r="H926" s="359">
        <v>0</v>
      </c>
      <c r="I926" s="4"/>
      <c r="J926" s="359">
        <v>0</v>
      </c>
      <c r="K926" s="359">
        <v>0</v>
      </c>
      <c r="M926" s="238">
        <f>M924-M925</f>
        <v>1.4</v>
      </c>
      <c r="O926" s="238">
        <f>O924-O925</f>
        <v>4</v>
      </c>
    </row>
    <row r="927" spans="1:16" x14ac:dyDescent="0.25">
      <c r="A927" s="4"/>
      <c r="F927" s="358"/>
      <c r="H927" s="359"/>
      <c r="I927" s="4"/>
      <c r="J927" s="359"/>
      <c r="K927" s="359"/>
      <c r="L927" s="2" t="s">
        <v>329</v>
      </c>
      <c r="M927" s="238">
        <f>SUM(M924:M926)</f>
        <v>7</v>
      </c>
      <c r="O927" s="238"/>
    </row>
    <row r="928" spans="1:16" x14ac:dyDescent="0.25">
      <c r="A928" s="4"/>
    </row>
    <row r="929" spans="1:20" x14ac:dyDescent="0.25">
      <c r="A929" s="4"/>
      <c r="B929" s="4" t="s">
        <v>360</v>
      </c>
      <c r="C929" s="2" t="s">
        <v>15</v>
      </c>
      <c r="F929" s="4" t="s">
        <v>321</v>
      </c>
      <c r="G929" s="4"/>
      <c r="H929" s="4" t="s">
        <v>322</v>
      </c>
      <c r="I929" s="4" t="s">
        <v>323</v>
      </c>
      <c r="J929" s="4"/>
      <c r="K929" s="4" t="s">
        <v>324</v>
      </c>
      <c r="L929" s="4"/>
      <c r="M929" s="4" t="s">
        <v>325</v>
      </c>
      <c r="N929" s="4"/>
      <c r="O929" s="4" t="s">
        <v>326</v>
      </c>
      <c r="Q929" s="4" t="s">
        <v>327</v>
      </c>
      <c r="R929" s="4"/>
      <c r="S929" s="4" t="s">
        <v>328</v>
      </c>
      <c r="T929" s="337" t="s">
        <v>329</v>
      </c>
    </row>
    <row r="930" spans="1:20" x14ac:dyDescent="0.25">
      <c r="A930" s="4"/>
      <c r="B930" s="4"/>
      <c r="F930" s="4"/>
      <c r="G930" s="4"/>
      <c r="H930" s="4" t="s">
        <v>330</v>
      </c>
      <c r="I930" s="4" t="s">
        <v>331</v>
      </c>
      <c r="J930" s="4"/>
      <c r="K930" s="4" t="s">
        <v>332</v>
      </c>
      <c r="L930" s="4"/>
      <c r="M930" s="4" t="s">
        <v>333</v>
      </c>
      <c r="N930" s="4"/>
      <c r="O930" s="4" t="s">
        <v>334</v>
      </c>
      <c r="Q930" s="4" t="s">
        <v>335</v>
      </c>
      <c r="R930" s="4"/>
      <c r="S930" s="4" t="s">
        <v>336</v>
      </c>
      <c r="T930" s="337" t="s">
        <v>337</v>
      </c>
    </row>
    <row r="931" spans="1:20" x14ac:dyDescent="0.25">
      <c r="A931" s="4"/>
      <c r="B931" s="4" t="s">
        <v>112</v>
      </c>
      <c r="C931" s="2" t="str">
        <f ca="1">IFERROR(VLOOKUP(B931,MO_Matriz,2,0),"")</f>
        <v>Engenheiro de projetos júnior</v>
      </c>
      <c r="F931" s="4" t="str">
        <f ca="1">IFERROR(VLOOKUP(B931,MO_Matriz,3,0),"")</f>
        <v>S</v>
      </c>
      <c r="H931" s="2">
        <v>1</v>
      </c>
      <c r="I931" s="2">
        <v>1</v>
      </c>
      <c r="K931" s="2">
        <f>Listas!$B$6</f>
        <v>7.333333333333333</v>
      </c>
      <c r="M931" s="238">
        <f>M924</f>
        <v>3.5</v>
      </c>
      <c r="O931" s="2">
        <f>H931*I931*K931*M931</f>
        <v>25.666666666666664</v>
      </c>
      <c r="Q931" s="2">
        <f>O931/220</f>
        <v>0.11666666666666665</v>
      </c>
      <c r="S931" s="315">
        <f ca="1">IFERROR(VLOOKUP(B931,MO_Matriz,5,0),"")</f>
        <v>24288.81</v>
      </c>
      <c r="T931" s="347">
        <f ca="1">Q931*S931</f>
        <v>2833.6945000000001</v>
      </c>
    </row>
    <row r="932" spans="1:20" x14ac:dyDescent="0.25">
      <c r="A932" s="4"/>
      <c r="B932" s="4" t="s">
        <v>181</v>
      </c>
      <c r="C932" s="2" t="str">
        <f ca="1">IFERROR(VLOOKUP(B932,MO_Matriz,2,0),"")</f>
        <v>Desenhista</v>
      </c>
      <c r="F932" s="4" t="str">
        <f ca="1">IFERROR(VLOOKUP(B932,MO_Matriz,3,0),"")</f>
        <v>T</v>
      </c>
      <c r="H932" s="2">
        <v>1</v>
      </c>
      <c r="I932" s="2">
        <v>1</v>
      </c>
      <c r="K932" s="2">
        <f>Listas!$B$6</f>
        <v>7.333333333333333</v>
      </c>
      <c r="M932" s="238">
        <f>M924</f>
        <v>3.5</v>
      </c>
      <c r="O932" s="2">
        <f>H932*I932*K932*M932</f>
        <v>25.666666666666664</v>
      </c>
      <c r="Q932" s="2">
        <f>O932/220</f>
        <v>0.11666666666666665</v>
      </c>
      <c r="S932" s="315">
        <f ca="1">IFERROR(VLOOKUP(B932,MO_Matriz,5,0),"")</f>
        <v>7821.6815999999999</v>
      </c>
      <c r="T932" s="347">
        <f ca="1">Q932*S932</f>
        <v>912.52951999999993</v>
      </c>
    </row>
    <row r="933" spans="1:20" x14ac:dyDescent="0.25">
      <c r="A933" s="4"/>
      <c r="S933" s="340" t="s">
        <v>329</v>
      </c>
      <c r="T933" s="339">
        <f ca="1">SUM(T931:T932)</f>
        <v>3746.2240200000001</v>
      </c>
    </row>
    <row r="934" spans="1:20" x14ac:dyDescent="0.25">
      <c r="A934" s="4"/>
    </row>
    <row r="935" spans="1:20" x14ac:dyDescent="0.25">
      <c r="A935" s="337" t="s">
        <v>339</v>
      </c>
      <c r="B935" s="2" t="s">
        <v>340</v>
      </c>
    </row>
    <row r="936" spans="1:20" x14ac:dyDescent="0.25">
      <c r="B936" s="2" t="s">
        <v>341</v>
      </c>
    </row>
    <row r="938" spans="1:20" x14ac:dyDescent="0.25">
      <c r="A938" s="4" t="s">
        <v>348</v>
      </c>
      <c r="B938" s="2" t="s">
        <v>349</v>
      </c>
    </row>
    <row r="939" spans="1:20" x14ac:dyDescent="0.25">
      <c r="A939" s="4" t="s">
        <v>451</v>
      </c>
      <c r="B939" s="2" t="s">
        <v>452</v>
      </c>
    </row>
    <row r="940" spans="1:20" x14ac:dyDescent="0.25">
      <c r="B940" s="4" t="s">
        <v>360</v>
      </c>
      <c r="C940" s="2" t="s">
        <v>15</v>
      </c>
      <c r="F940" s="4" t="s">
        <v>321</v>
      </c>
      <c r="G940" s="4"/>
      <c r="H940" s="4" t="s">
        <v>453</v>
      </c>
      <c r="I940" s="4"/>
      <c r="J940" s="4" t="s">
        <v>454</v>
      </c>
    </row>
    <row r="941" spans="1:20" x14ac:dyDescent="0.25">
      <c r="B941" s="4" t="str">
        <f>B931</f>
        <v>P8065</v>
      </c>
      <c r="C941" s="2" t="str">
        <f ca="1">IFERROR(VLOOKUP(B941,MO_Matriz,2,0),"")</f>
        <v>Engenheiro de projetos júnior</v>
      </c>
      <c r="F941" s="4" t="str">
        <f ca="1">IFERROR(VLOOKUP(B941,MO_Matriz,3,0),"")</f>
        <v>S</v>
      </c>
      <c r="H941" s="2" t="s">
        <v>455</v>
      </c>
      <c r="J941" s="2">
        <v>1</v>
      </c>
    </row>
    <row r="942" spans="1:20" x14ac:dyDescent="0.25">
      <c r="B942" s="4" t="str">
        <f>B932</f>
        <v>P9848</v>
      </c>
      <c r="C942" s="2" t="str">
        <f ca="1">IFERROR(VLOOKUP(B942,MO_Matriz,2,0),"")</f>
        <v>Desenhista</v>
      </c>
      <c r="F942" s="4" t="str">
        <f ca="1">IFERROR(VLOOKUP(B942,MO_Matriz,3,0),"")</f>
        <v>T</v>
      </c>
      <c r="H942" s="2" t="s">
        <v>455</v>
      </c>
      <c r="J942" s="2">
        <v>1</v>
      </c>
    </row>
    <row r="943" spans="1:20" x14ac:dyDescent="0.25">
      <c r="I943" s="340" t="s">
        <v>329</v>
      </c>
      <c r="J943" s="340">
        <f>SUM(J941:J942)</f>
        <v>2</v>
      </c>
    </row>
    <row r="945" spans="1:20" x14ac:dyDescent="0.25">
      <c r="A945" s="4" t="s">
        <v>456</v>
      </c>
      <c r="B945" s="2" t="s">
        <v>457</v>
      </c>
    </row>
    <row r="946" spans="1:20" x14ac:dyDescent="0.25">
      <c r="A946" s="4"/>
      <c r="B946" s="2" t="s">
        <v>1033</v>
      </c>
    </row>
    <row r="948" spans="1:20" x14ac:dyDescent="0.25">
      <c r="A948" s="4" t="s">
        <v>350</v>
      </c>
      <c r="B948" s="2" t="s">
        <v>351</v>
      </c>
    </row>
    <row r="949" spans="1:20" x14ac:dyDescent="0.25">
      <c r="B949" s="2" t="s">
        <v>344</v>
      </c>
    </row>
    <row r="951" spans="1:20" x14ac:dyDescent="0.25">
      <c r="A951" s="4" t="s">
        <v>197</v>
      </c>
      <c r="B951" s="2" t="s">
        <v>352</v>
      </c>
    </row>
    <row r="952" spans="1:20" ht="17.25" x14ac:dyDescent="0.25">
      <c r="B952" s="2" t="s">
        <v>346</v>
      </c>
      <c r="P952" s="28"/>
      <c r="Q952" s="28"/>
      <c r="R952" s="28"/>
      <c r="S952" s="28"/>
      <c r="T952" s="28"/>
    </row>
    <row r="954" spans="1:20" x14ac:dyDescent="0.25">
      <c r="A954" s="4" t="s">
        <v>353</v>
      </c>
      <c r="B954" s="2" t="s">
        <v>354</v>
      </c>
    </row>
    <row r="955" spans="1:20" x14ac:dyDescent="0.25">
      <c r="B955" s="2" t="s">
        <v>347</v>
      </c>
    </row>
    <row r="957" spans="1:20" x14ac:dyDescent="0.25">
      <c r="A957" s="4" t="s">
        <v>355</v>
      </c>
      <c r="B957" s="2" t="s">
        <v>356</v>
      </c>
    </row>
    <row r="958" spans="1:20" x14ac:dyDescent="0.25">
      <c r="B958" s="2" t="s">
        <v>15</v>
      </c>
      <c r="F958" s="2" t="s">
        <v>357</v>
      </c>
    </row>
    <row r="959" spans="1:20" x14ac:dyDescent="0.25">
      <c r="B959" s="2" t="s">
        <v>317</v>
      </c>
      <c r="F959" s="315">
        <f ca="1">T933</f>
        <v>3746.2240200000001</v>
      </c>
    </row>
    <row r="960" spans="1:20" x14ac:dyDescent="0.25">
      <c r="B960" s="2" t="s">
        <v>276</v>
      </c>
      <c r="F960" s="315">
        <v>0</v>
      </c>
    </row>
    <row r="961" spans="1:20" x14ac:dyDescent="0.25">
      <c r="B961" s="2" t="s">
        <v>342</v>
      </c>
      <c r="F961" s="315">
        <v>0</v>
      </c>
    </row>
    <row r="962" spans="1:20" x14ac:dyDescent="0.25">
      <c r="B962" s="2" t="s">
        <v>343</v>
      </c>
      <c r="F962" s="315">
        <v>0</v>
      </c>
    </row>
    <row r="963" spans="1:20" x14ac:dyDescent="0.25">
      <c r="B963" s="2" t="s">
        <v>345</v>
      </c>
      <c r="F963" s="315">
        <v>0</v>
      </c>
    </row>
    <row r="964" spans="1:20" x14ac:dyDescent="0.25">
      <c r="B964" s="2" t="s">
        <v>516</v>
      </c>
      <c r="F964" s="315">
        <v>0</v>
      </c>
    </row>
    <row r="965" spans="1:20" x14ac:dyDescent="0.25">
      <c r="E965" s="340" t="s">
        <v>329</v>
      </c>
      <c r="F965" s="339">
        <f ca="1">SUM(F959:F964)</f>
        <v>3746.2240200000001</v>
      </c>
    </row>
    <row r="967" spans="1:20" ht="17.25" x14ac:dyDescent="0.25">
      <c r="A967" s="336" t="s">
        <v>940</v>
      </c>
      <c r="B967" s="336" t="s">
        <v>218</v>
      </c>
      <c r="C967" s="336"/>
      <c r="D967" s="336"/>
      <c r="E967" s="336"/>
      <c r="F967" s="28"/>
      <c r="G967" s="28"/>
      <c r="H967" s="28"/>
      <c r="I967" s="28"/>
      <c r="J967" s="28"/>
      <c r="K967" s="28"/>
      <c r="L967" s="28"/>
      <c r="M967" s="28"/>
      <c r="N967" s="28"/>
      <c r="O967" s="28"/>
    </row>
    <row r="968" spans="1:20" x14ac:dyDescent="0.25">
      <c r="A968" s="4" t="s">
        <v>61</v>
      </c>
      <c r="B968" s="2" t="s">
        <v>338</v>
      </c>
    </row>
    <row r="969" spans="1:20" x14ac:dyDescent="0.25">
      <c r="A969" s="4"/>
      <c r="B969" s="2" t="s">
        <v>15</v>
      </c>
      <c r="G969" s="4" t="s">
        <v>414</v>
      </c>
      <c r="I969" s="4" t="s">
        <v>856</v>
      </c>
      <c r="K969" s="4" t="s">
        <v>224</v>
      </c>
      <c r="L969" s="2" t="s">
        <v>855</v>
      </c>
      <c r="N969" s="2" t="s">
        <v>325</v>
      </c>
      <c r="P969" s="2" t="s">
        <v>381</v>
      </c>
    </row>
    <row r="970" spans="1:20" x14ac:dyDescent="0.25">
      <c r="A970" s="4"/>
      <c r="B970" s="2" t="s">
        <v>603</v>
      </c>
      <c r="G970" s="358">
        <v>1</v>
      </c>
      <c r="I970" s="238">
        <v>1.42</v>
      </c>
      <c r="J970" s="4"/>
      <c r="K970" s="2">
        <f>1.5/I970</f>
        <v>1.0563380281690142</v>
      </c>
      <c r="L970" s="238">
        <f>'Carac trecho'!$C$59</f>
        <v>3</v>
      </c>
      <c r="N970" s="238">
        <f>ROUNDUP(K970+L970,0)</f>
        <v>5</v>
      </c>
      <c r="P970" s="2">
        <f>ROUNDUP(N970*Listas!$E$5,0)</f>
        <v>6</v>
      </c>
    </row>
    <row r="971" spans="1:20" x14ac:dyDescent="0.25">
      <c r="A971" s="4"/>
      <c r="B971" s="2" t="s">
        <v>487</v>
      </c>
      <c r="G971" s="358">
        <v>0.6</v>
      </c>
      <c r="I971" s="359">
        <v>0</v>
      </c>
      <c r="J971" s="4"/>
      <c r="K971" s="359">
        <v>0</v>
      </c>
      <c r="L971" s="359">
        <v>0</v>
      </c>
      <c r="N971" s="238">
        <f>ROUNDUP(N970*G971,0)</f>
        <v>3</v>
      </c>
      <c r="P971" s="238">
        <f>ROUNDUP(P970*G971,)</f>
        <v>4</v>
      </c>
    </row>
    <row r="972" spans="1:20" x14ac:dyDescent="0.25">
      <c r="A972" s="4"/>
      <c r="B972" s="2" t="s">
        <v>592</v>
      </c>
      <c r="G972" s="358">
        <v>0.4</v>
      </c>
      <c r="I972" s="359">
        <v>0</v>
      </c>
      <c r="J972" s="4"/>
      <c r="K972" s="359">
        <v>0</v>
      </c>
      <c r="L972" s="359">
        <v>0</v>
      </c>
      <c r="N972" s="238">
        <f>N970-N971</f>
        <v>2</v>
      </c>
      <c r="P972" s="238">
        <f>P970-P971</f>
        <v>2</v>
      </c>
    </row>
    <row r="973" spans="1:20" x14ac:dyDescent="0.25">
      <c r="A973" s="4"/>
      <c r="G973" s="358"/>
      <c r="I973" s="359"/>
      <c r="J973" s="4"/>
      <c r="K973" s="359"/>
      <c r="L973" s="359"/>
      <c r="M973" s="2" t="s">
        <v>329</v>
      </c>
      <c r="N973" s="238">
        <f>SUM(N970:N972)</f>
        <v>10</v>
      </c>
      <c r="P973" s="238"/>
    </row>
    <row r="974" spans="1:20" x14ac:dyDescent="0.25">
      <c r="A974" s="4"/>
    </row>
    <row r="975" spans="1:20" x14ac:dyDescent="0.25">
      <c r="A975" s="4"/>
      <c r="B975" s="4" t="s">
        <v>360</v>
      </c>
      <c r="C975" s="2" t="s">
        <v>15</v>
      </c>
      <c r="F975" s="4" t="s">
        <v>321</v>
      </c>
      <c r="G975" s="4"/>
      <c r="H975" s="4" t="s">
        <v>322</v>
      </c>
      <c r="I975" s="4" t="s">
        <v>323</v>
      </c>
      <c r="J975" s="4"/>
      <c r="K975" s="4" t="s">
        <v>324</v>
      </c>
      <c r="L975" s="4"/>
      <c r="M975" s="4" t="s">
        <v>325</v>
      </c>
      <c r="N975" s="4"/>
      <c r="O975" s="4" t="s">
        <v>326</v>
      </c>
      <c r="P975" s="4"/>
      <c r="Q975" s="4" t="s">
        <v>327</v>
      </c>
      <c r="R975" s="4"/>
      <c r="S975" s="4" t="s">
        <v>328</v>
      </c>
      <c r="T975" s="337" t="s">
        <v>329</v>
      </c>
    </row>
    <row r="976" spans="1:20" x14ac:dyDescent="0.25">
      <c r="A976" s="4"/>
      <c r="B976" s="4"/>
      <c r="F976" s="4"/>
      <c r="G976" s="4"/>
      <c r="H976" s="4" t="s">
        <v>330</v>
      </c>
      <c r="I976" s="4" t="s">
        <v>331</v>
      </c>
      <c r="J976" s="4"/>
      <c r="K976" s="4" t="s">
        <v>332</v>
      </c>
      <c r="L976" s="4"/>
      <c r="M976" s="4" t="s">
        <v>333</v>
      </c>
      <c r="N976" s="4"/>
      <c r="O976" s="4" t="s">
        <v>334</v>
      </c>
      <c r="P976" s="4"/>
      <c r="Q976" s="4" t="s">
        <v>335</v>
      </c>
      <c r="R976" s="4"/>
      <c r="S976" s="4" t="s">
        <v>336</v>
      </c>
      <c r="T976" s="337" t="s">
        <v>337</v>
      </c>
    </row>
    <row r="977" spans="1:20" x14ac:dyDescent="0.25">
      <c r="A977" s="4"/>
      <c r="B977" s="4" t="s">
        <v>112</v>
      </c>
      <c r="C977" s="2" t="str">
        <f ca="1">IFERROR(VLOOKUP(B977,MO_Matriz,2,0),"")</f>
        <v>Engenheiro de projetos júnior</v>
      </c>
      <c r="F977" s="4" t="str">
        <f ca="1">IFERROR(VLOOKUP(B977,MO_Matriz,3,0),"")</f>
        <v>S</v>
      </c>
      <c r="H977" s="2">
        <v>1</v>
      </c>
      <c r="I977" s="2">
        <v>1</v>
      </c>
      <c r="K977" s="2">
        <f>Listas!$B$6</f>
        <v>7.333333333333333</v>
      </c>
      <c r="M977" s="238">
        <v>3.9506299999999999</v>
      </c>
      <c r="O977" s="2">
        <f>H977*I977*K977*M977</f>
        <v>28.971286666666664</v>
      </c>
      <c r="Q977" s="2">
        <f>O977/220</f>
        <v>0.13168766666666665</v>
      </c>
      <c r="S977" s="315">
        <f ca="1">IFERROR(VLOOKUP(B977,MO_Matriz,5,0),"")</f>
        <v>24288.81</v>
      </c>
      <c r="T977" s="347">
        <f ca="1">Q977*S977</f>
        <v>3198.5367150099996</v>
      </c>
    </row>
    <row r="978" spans="1:20" x14ac:dyDescent="0.25">
      <c r="A978" s="4"/>
      <c r="B978" s="4" t="s">
        <v>181</v>
      </c>
      <c r="C978" s="2" t="str">
        <f ca="1">IFERROR(VLOOKUP(B978,MO_Matriz,2,0),"")</f>
        <v>Desenhista</v>
      </c>
      <c r="F978" s="4" t="str">
        <f ca="1">IFERROR(VLOOKUP(B978,MO_Matriz,3,0),"")</f>
        <v>T</v>
      </c>
      <c r="H978" s="2">
        <v>1</v>
      </c>
      <c r="I978" s="2">
        <v>1</v>
      </c>
      <c r="K978" s="2">
        <f>Listas!$B$6</f>
        <v>7.333333333333333</v>
      </c>
      <c r="M978" s="238">
        <v>3.9506299999999999</v>
      </c>
      <c r="O978" s="2">
        <f>H978*I978*K978*M978</f>
        <v>28.971286666666664</v>
      </c>
      <c r="Q978" s="2">
        <f>O978/220</f>
        <v>0.13168766666666665</v>
      </c>
      <c r="S978" s="315">
        <f ca="1">IFERROR(VLOOKUP(B978,MO_Matriz,5,0),"")</f>
        <v>7821.6815999999999</v>
      </c>
      <c r="T978" s="347">
        <f ca="1">Q978*S978</f>
        <v>1030.0189993135998</v>
      </c>
    </row>
    <row r="979" spans="1:20" x14ac:dyDescent="0.25">
      <c r="A979" s="4"/>
      <c r="S979" s="340" t="s">
        <v>329</v>
      </c>
      <c r="T979" s="339">
        <f ca="1">SUM(T977:T978)</f>
        <v>4228.5557143235992</v>
      </c>
    </row>
    <row r="980" spans="1:20" x14ac:dyDescent="0.25">
      <c r="A980" s="4"/>
    </row>
    <row r="981" spans="1:20" x14ac:dyDescent="0.25">
      <c r="A981" s="337" t="s">
        <v>339</v>
      </c>
      <c r="B981" s="2" t="s">
        <v>340</v>
      </c>
    </row>
    <row r="982" spans="1:20" x14ac:dyDescent="0.25">
      <c r="B982" s="2" t="s">
        <v>341</v>
      </c>
    </row>
    <row r="984" spans="1:20" x14ac:dyDescent="0.25">
      <c r="A984" s="4" t="s">
        <v>348</v>
      </c>
      <c r="B984" s="2" t="s">
        <v>349</v>
      </c>
    </row>
    <row r="985" spans="1:20" x14ac:dyDescent="0.25">
      <c r="A985" s="4" t="s">
        <v>451</v>
      </c>
      <c r="B985" s="2" t="s">
        <v>452</v>
      </c>
    </row>
    <row r="986" spans="1:20" x14ac:dyDescent="0.25">
      <c r="B986" s="4" t="s">
        <v>360</v>
      </c>
      <c r="C986" s="2" t="s">
        <v>15</v>
      </c>
      <c r="F986" s="4" t="s">
        <v>321</v>
      </c>
      <c r="G986" s="4"/>
      <c r="H986" s="4" t="s">
        <v>453</v>
      </c>
      <c r="I986" s="4"/>
      <c r="J986" s="4" t="s">
        <v>454</v>
      </c>
    </row>
    <row r="987" spans="1:20" x14ac:dyDescent="0.25">
      <c r="B987" s="4" t="str">
        <f>B977</f>
        <v>P8065</v>
      </c>
      <c r="C987" s="2" t="str">
        <f ca="1">IFERROR(VLOOKUP(B987,MO_Matriz,2,0),"")</f>
        <v>Engenheiro de projetos júnior</v>
      </c>
      <c r="F987" s="4" t="str">
        <f ca="1">IFERROR(VLOOKUP(B987,MO_Matriz,3,0),"")</f>
        <v>S</v>
      </c>
      <c r="H987" s="2" t="s">
        <v>455</v>
      </c>
      <c r="J987" s="2">
        <v>1</v>
      </c>
    </row>
    <row r="988" spans="1:20" x14ac:dyDescent="0.25">
      <c r="B988" s="4" t="str">
        <f>B978</f>
        <v>P9848</v>
      </c>
      <c r="C988" s="2" t="str">
        <f ca="1">IFERROR(VLOOKUP(B988,MO_Matriz,2,0),"")</f>
        <v>Desenhista</v>
      </c>
      <c r="F988" s="4" t="str">
        <f ca="1">IFERROR(VLOOKUP(B988,MO_Matriz,3,0),"")</f>
        <v>T</v>
      </c>
      <c r="H988" s="2" t="s">
        <v>455</v>
      </c>
      <c r="J988" s="2">
        <v>1</v>
      </c>
    </row>
    <row r="989" spans="1:20" x14ac:dyDescent="0.25">
      <c r="I989" s="340" t="s">
        <v>329</v>
      </c>
      <c r="J989" s="340">
        <f>SUM(J987:J988)</f>
        <v>2</v>
      </c>
    </row>
    <row r="991" spans="1:20" x14ac:dyDescent="0.25">
      <c r="A991" s="4" t="s">
        <v>456</v>
      </c>
      <c r="B991" s="2" t="s">
        <v>457</v>
      </c>
    </row>
    <row r="992" spans="1:20" x14ac:dyDescent="0.25">
      <c r="A992" s="4"/>
      <c r="B992" s="2" t="s">
        <v>1033</v>
      </c>
    </row>
    <row r="994" spans="1:20" x14ac:dyDescent="0.25">
      <c r="A994" s="4" t="s">
        <v>350</v>
      </c>
      <c r="B994" s="2" t="s">
        <v>351</v>
      </c>
    </row>
    <row r="995" spans="1:20" x14ac:dyDescent="0.25">
      <c r="B995" s="2" t="s">
        <v>344</v>
      </c>
    </row>
    <row r="997" spans="1:20" x14ac:dyDescent="0.25">
      <c r="A997" s="4" t="s">
        <v>197</v>
      </c>
      <c r="B997" s="2" t="s">
        <v>352</v>
      </c>
    </row>
    <row r="998" spans="1:20" ht="17.25" x14ac:dyDescent="0.25">
      <c r="B998" s="2" t="s">
        <v>346</v>
      </c>
      <c r="P998" s="28"/>
      <c r="Q998" s="28"/>
      <c r="R998" s="28"/>
      <c r="S998" s="28"/>
      <c r="T998" s="28"/>
    </row>
    <row r="1000" spans="1:20" x14ac:dyDescent="0.25">
      <c r="A1000" s="4" t="s">
        <v>353</v>
      </c>
      <c r="B1000" s="2" t="s">
        <v>354</v>
      </c>
    </row>
    <row r="1001" spans="1:20" x14ac:dyDescent="0.25">
      <c r="B1001" s="2" t="s">
        <v>347</v>
      </c>
    </row>
    <row r="1003" spans="1:20" x14ac:dyDescent="0.25">
      <c r="A1003" s="4" t="s">
        <v>355</v>
      </c>
      <c r="B1003" s="2" t="s">
        <v>356</v>
      </c>
    </row>
    <row r="1004" spans="1:20" x14ac:dyDescent="0.25">
      <c r="B1004" s="2" t="s">
        <v>15</v>
      </c>
      <c r="F1004" s="2" t="s">
        <v>357</v>
      </c>
    </row>
    <row r="1005" spans="1:20" x14ac:dyDescent="0.25">
      <c r="B1005" s="2" t="s">
        <v>317</v>
      </c>
      <c r="F1005" s="315">
        <f ca="1">T979</f>
        <v>4228.5557143235992</v>
      </c>
    </row>
    <row r="1006" spans="1:20" x14ac:dyDescent="0.25">
      <c r="B1006" s="2" t="s">
        <v>276</v>
      </c>
      <c r="F1006" s="315">
        <v>0</v>
      </c>
      <c r="P1006" s="4"/>
    </row>
    <row r="1007" spans="1:20" x14ac:dyDescent="0.25">
      <c r="B1007" s="2" t="s">
        <v>342</v>
      </c>
      <c r="F1007" s="315">
        <v>0</v>
      </c>
      <c r="P1007" s="4"/>
    </row>
    <row r="1008" spans="1:20" x14ac:dyDescent="0.25">
      <c r="B1008" s="2" t="s">
        <v>343</v>
      </c>
      <c r="F1008" s="315">
        <v>0</v>
      </c>
    </row>
    <row r="1009" spans="1:20" x14ac:dyDescent="0.25">
      <c r="B1009" s="2" t="s">
        <v>345</v>
      </c>
      <c r="F1009" s="315">
        <v>0</v>
      </c>
    </row>
    <row r="1010" spans="1:20" x14ac:dyDescent="0.25">
      <c r="B1010" s="2" t="s">
        <v>516</v>
      </c>
      <c r="F1010" s="315">
        <v>0</v>
      </c>
    </row>
    <row r="1011" spans="1:20" x14ac:dyDescent="0.25">
      <c r="E1011" s="340" t="s">
        <v>329</v>
      </c>
      <c r="F1011" s="339">
        <f ca="1">SUM(F1005:F1010)</f>
        <v>4228.5557143235992</v>
      </c>
    </row>
    <row r="1013" spans="1:20" ht="17.25" x14ac:dyDescent="0.25">
      <c r="A1013" s="336" t="s">
        <v>941</v>
      </c>
      <c r="B1013" s="336" t="s">
        <v>219</v>
      </c>
      <c r="C1013" s="336"/>
      <c r="D1013" s="336"/>
      <c r="E1013" s="336"/>
      <c r="F1013" s="336"/>
      <c r="G1013" s="28"/>
      <c r="H1013" s="28"/>
      <c r="I1013" s="28"/>
      <c r="J1013" s="28"/>
      <c r="K1013" s="28"/>
      <c r="L1013" s="28"/>
      <c r="M1013" s="28"/>
      <c r="N1013" s="28"/>
      <c r="O1013" s="28"/>
    </row>
    <row r="1014" spans="1:20" x14ac:dyDescent="0.25">
      <c r="A1014" s="4" t="s">
        <v>61</v>
      </c>
      <c r="B1014" s="2" t="s">
        <v>338</v>
      </c>
    </row>
    <row r="1015" spans="1:20" x14ac:dyDescent="0.25">
      <c r="A1015" s="4"/>
      <c r="B1015" s="2" t="s">
        <v>15</v>
      </c>
      <c r="H1015" s="4" t="s">
        <v>414</v>
      </c>
      <c r="J1015" s="4" t="s">
        <v>856</v>
      </c>
      <c r="L1015" s="4" t="s">
        <v>224</v>
      </c>
      <c r="M1015" s="2" t="s">
        <v>855</v>
      </c>
      <c r="O1015" s="2" t="s">
        <v>325</v>
      </c>
      <c r="Q1015" s="2" t="s">
        <v>381</v>
      </c>
    </row>
    <row r="1016" spans="1:20" x14ac:dyDescent="0.25">
      <c r="A1016" s="4"/>
      <c r="B1016" s="2" t="s">
        <v>605</v>
      </c>
      <c r="H1016" s="358">
        <v>1</v>
      </c>
      <c r="J1016" s="238">
        <f>'Carac trecho'!H86</f>
        <v>3</v>
      </c>
      <c r="K1016" s="4"/>
      <c r="L1016" s="2">
        <f>1/J1016</f>
        <v>0.33333333333333331</v>
      </c>
      <c r="M1016" s="238">
        <f>'Carac trecho'!H86</f>
        <v>3</v>
      </c>
      <c r="O1016" s="238">
        <f>L1016+M1016</f>
        <v>3.3333333333333335</v>
      </c>
      <c r="Q1016" s="2">
        <f>ROUNDUP(O1016*Listas!$E$5,0)</f>
        <v>4</v>
      </c>
    </row>
    <row r="1017" spans="1:20" x14ac:dyDescent="0.25">
      <c r="A1017" s="4"/>
      <c r="B1017" s="2" t="s">
        <v>487</v>
      </c>
      <c r="H1017" s="358">
        <v>0.6</v>
      </c>
      <c r="J1017" s="359">
        <v>0</v>
      </c>
      <c r="K1017" s="4"/>
      <c r="L1017" s="359">
        <v>0</v>
      </c>
      <c r="M1017" s="359">
        <v>0</v>
      </c>
      <c r="O1017" s="238">
        <f>O1016*H1017</f>
        <v>2</v>
      </c>
      <c r="Q1017" s="238">
        <f>ROUNDUP(Q1016*H1017,0)</f>
        <v>3</v>
      </c>
    </row>
    <row r="1018" spans="1:20" x14ac:dyDescent="0.25">
      <c r="A1018" s="4"/>
      <c r="B1018" s="2" t="s">
        <v>592</v>
      </c>
      <c r="H1018" s="358">
        <v>0.4</v>
      </c>
      <c r="J1018" s="359">
        <v>0</v>
      </c>
      <c r="K1018" s="4"/>
      <c r="L1018" s="359">
        <v>0</v>
      </c>
      <c r="M1018" s="359">
        <v>0</v>
      </c>
      <c r="O1018" s="238">
        <f>O1016-O1017</f>
        <v>1.3333333333333335</v>
      </c>
      <c r="Q1018" s="238">
        <f>Q1016-Q1017</f>
        <v>1</v>
      </c>
    </row>
    <row r="1019" spans="1:20" x14ac:dyDescent="0.25">
      <c r="A1019" s="4"/>
      <c r="H1019" s="358"/>
      <c r="J1019" s="359"/>
      <c r="K1019" s="4"/>
      <c r="L1019" s="359" t="s">
        <v>329</v>
      </c>
      <c r="M1019" s="359"/>
      <c r="O1019" s="238">
        <f>SUM(O1016:O1018)</f>
        <v>6.6666666666666679</v>
      </c>
      <c r="Q1019" s="238"/>
    </row>
    <row r="1020" spans="1:20" x14ac:dyDescent="0.25">
      <c r="A1020" s="4"/>
    </row>
    <row r="1021" spans="1:20" x14ac:dyDescent="0.25">
      <c r="A1021" s="4"/>
      <c r="B1021" s="4" t="s">
        <v>360</v>
      </c>
      <c r="C1021" s="2" t="s">
        <v>15</v>
      </c>
      <c r="F1021" s="4" t="s">
        <v>321</v>
      </c>
      <c r="G1021" s="4"/>
      <c r="H1021" s="4" t="s">
        <v>322</v>
      </c>
      <c r="I1021" s="4" t="s">
        <v>323</v>
      </c>
      <c r="J1021" s="4"/>
      <c r="K1021" s="4" t="s">
        <v>324</v>
      </c>
      <c r="L1021" s="4"/>
      <c r="M1021" s="4" t="s">
        <v>325</v>
      </c>
      <c r="N1021" s="4"/>
      <c r="O1021" s="4" t="s">
        <v>326</v>
      </c>
      <c r="Q1021" s="4" t="s">
        <v>327</v>
      </c>
      <c r="R1021" s="4"/>
      <c r="S1021" s="4" t="s">
        <v>328</v>
      </c>
      <c r="T1021" s="337" t="s">
        <v>329</v>
      </c>
    </row>
    <row r="1022" spans="1:20" x14ac:dyDescent="0.25">
      <c r="A1022" s="4"/>
      <c r="B1022" s="4"/>
      <c r="F1022" s="4"/>
      <c r="G1022" s="4"/>
      <c r="H1022" s="4" t="s">
        <v>330</v>
      </c>
      <c r="I1022" s="4" t="s">
        <v>331</v>
      </c>
      <c r="J1022" s="4"/>
      <c r="K1022" s="4" t="s">
        <v>332</v>
      </c>
      <c r="L1022" s="4"/>
      <c r="M1022" s="4" t="s">
        <v>333</v>
      </c>
      <c r="N1022" s="4"/>
      <c r="O1022" s="4" t="s">
        <v>334</v>
      </c>
      <c r="Q1022" s="4" t="s">
        <v>335</v>
      </c>
      <c r="R1022" s="4"/>
      <c r="S1022" s="4" t="s">
        <v>336</v>
      </c>
      <c r="T1022" s="337" t="s">
        <v>337</v>
      </c>
    </row>
    <row r="1023" spans="1:20" x14ac:dyDescent="0.25">
      <c r="A1023" s="4"/>
      <c r="B1023" s="4" t="s">
        <v>112</v>
      </c>
      <c r="C1023" s="2" t="str">
        <f ca="1">IFERROR(VLOOKUP(B1023,MO_Matriz,2,0),"")</f>
        <v>Engenheiro de projetos júnior</v>
      </c>
      <c r="F1023" s="4" t="str">
        <f ca="1">IFERROR(VLOOKUP(B1023,MO_Matriz,3,0),"")</f>
        <v>S</v>
      </c>
      <c r="H1023" s="2">
        <v>1</v>
      </c>
      <c r="I1023" s="2">
        <v>1</v>
      </c>
      <c r="K1023" s="2">
        <f>Listas!$B$6</f>
        <v>7.333333333333333</v>
      </c>
      <c r="M1023" s="238">
        <f>M1016</f>
        <v>3</v>
      </c>
      <c r="O1023" s="2">
        <f>H1023*I1023*K1023*M1023</f>
        <v>22</v>
      </c>
      <c r="Q1023" s="2">
        <f>O1023/220</f>
        <v>0.1</v>
      </c>
      <c r="S1023" s="315">
        <f ca="1">IFERROR(VLOOKUP(B1023,MO_Matriz,5,0),"")</f>
        <v>24288.81</v>
      </c>
      <c r="T1023" s="347">
        <f ca="1">Q1023*S1023</f>
        <v>2428.8810000000003</v>
      </c>
    </row>
    <row r="1024" spans="1:20" x14ac:dyDescent="0.25">
      <c r="A1024" s="4"/>
      <c r="B1024" s="4" t="s">
        <v>181</v>
      </c>
      <c r="C1024" s="2" t="str">
        <f ca="1">IFERROR(VLOOKUP(B1024,MO_Matriz,2,0),"")</f>
        <v>Desenhista</v>
      </c>
      <c r="F1024" s="4" t="str">
        <f ca="1">IFERROR(VLOOKUP(B1024,MO_Matriz,3,0),"")</f>
        <v>T</v>
      </c>
      <c r="H1024" s="2">
        <v>1</v>
      </c>
      <c r="I1024" s="2">
        <v>1</v>
      </c>
      <c r="K1024" s="2">
        <f>Listas!$B$6</f>
        <v>7.333333333333333</v>
      </c>
      <c r="M1024" s="238">
        <f>M1016</f>
        <v>3</v>
      </c>
      <c r="O1024" s="2">
        <f>H1024*I1024*K1024*M1024</f>
        <v>22</v>
      </c>
      <c r="Q1024" s="2">
        <f>O1024/220</f>
        <v>0.1</v>
      </c>
      <c r="S1024" s="315">
        <f ca="1">IFERROR(VLOOKUP(B1024,MO_Matriz,5,0),"")</f>
        <v>7821.6815999999999</v>
      </c>
      <c r="T1024" s="347">
        <f ca="1">Q1024*S1024</f>
        <v>782.16816000000006</v>
      </c>
    </row>
    <row r="1025" spans="1:20" x14ac:dyDescent="0.25">
      <c r="A1025" s="4"/>
      <c r="S1025" s="340" t="s">
        <v>329</v>
      </c>
      <c r="T1025" s="339">
        <f ca="1">SUM(T1023:T1024)</f>
        <v>3211.0491600000005</v>
      </c>
    </row>
    <row r="1026" spans="1:20" x14ac:dyDescent="0.25">
      <c r="A1026" s="4"/>
    </row>
    <row r="1027" spans="1:20" x14ac:dyDescent="0.25">
      <c r="A1027" s="337" t="s">
        <v>339</v>
      </c>
      <c r="B1027" s="2" t="s">
        <v>340</v>
      </c>
    </row>
    <row r="1028" spans="1:20" x14ac:dyDescent="0.25">
      <c r="B1028" s="2" t="s">
        <v>341</v>
      </c>
    </row>
    <row r="1030" spans="1:20" x14ac:dyDescent="0.25">
      <c r="A1030" s="4" t="s">
        <v>348</v>
      </c>
      <c r="B1030" s="2" t="s">
        <v>349</v>
      </c>
    </row>
    <row r="1031" spans="1:20" x14ac:dyDescent="0.25">
      <c r="A1031" s="4" t="s">
        <v>451</v>
      </c>
      <c r="B1031" s="2" t="s">
        <v>452</v>
      </c>
    </row>
    <row r="1032" spans="1:20" x14ac:dyDescent="0.25">
      <c r="B1032" s="4" t="s">
        <v>360</v>
      </c>
      <c r="C1032" s="2" t="s">
        <v>15</v>
      </c>
      <c r="F1032" s="4" t="s">
        <v>321</v>
      </c>
      <c r="G1032" s="4"/>
      <c r="H1032" s="4" t="s">
        <v>453</v>
      </c>
      <c r="I1032" s="4"/>
      <c r="J1032" s="4" t="s">
        <v>454</v>
      </c>
    </row>
    <row r="1033" spans="1:20" x14ac:dyDescent="0.25">
      <c r="B1033" s="4" t="str">
        <f>B1023</f>
        <v>P8065</v>
      </c>
      <c r="C1033" s="2" t="str">
        <f ca="1">IFERROR(VLOOKUP(B1033,MO_Matriz,2,0),"")</f>
        <v>Engenheiro de projetos júnior</v>
      </c>
      <c r="F1033" s="4" t="str">
        <f ca="1">IFERROR(VLOOKUP(B1033,MO_Matriz,3,0),"")</f>
        <v>S</v>
      </c>
      <c r="H1033" s="2" t="s">
        <v>455</v>
      </c>
      <c r="J1033" s="2">
        <v>1</v>
      </c>
    </row>
    <row r="1034" spans="1:20" x14ac:dyDescent="0.25">
      <c r="B1034" s="4" t="str">
        <f>B1024</f>
        <v>P9848</v>
      </c>
      <c r="C1034" s="2" t="str">
        <f ca="1">IFERROR(VLOOKUP(B1034,MO_Matriz,2,0),"")</f>
        <v>Desenhista</v>
      </c>
      <c r="F1034" s="4" t="str">
        <f ca="1">IFERROR(VLOOKUP(B1034,MO_Matriz,3,0),"")</f>
        <v>T</v>
      </c>
      <c r="H1034" s="2" t="s">
        <v>455</v>
      </c>
      <c r="J1034" s="2">
        <v>1</v>
      </c>
    </row>
    <row r="1035" spans="1:20" x14ac:dyDescent="0.25">
      <c r="I1035" s="340" t="s">
        <v>329</v>
      </c>
      <c r="J1035" s="340">
        <f>SUM(J1033:J1034)</f>
        <v>2</v>
      </c>
    </row>
    <row r="1037" spans="1:20" x14ac:dyDescent="0.25">
      <c r="A1037" s="4" t="s">
        <v>456</v>
      </c>
      <c r="B1037" s="2" t="s">
        <v>457</v>
      </c>
    </row>
    <row r="1038" spans="1:20" x14ac:dyDescent="0.25">
      <c r="A1038" s="4"/>
      <c r="B1038" s="2" t="s">
        <v>1033</v>
      </c>
    </row>
    <row r="1040" spans="1:20" x14ac:dyDescent="0.25">
      <c r="A1040" s="4" t="s">
        <v>350</v>
      </c>
      <c r="B1040" s="2" t="s">
        <v>351</v>
      </c>
    </row>
    <row r="1041" spans="1:20" x14ac:dyDescent="0.25">
      <c r="B1041" s="2" t="s">
        <v>344</v>
      </c>
    </row>
    <row r="1043" spans="1:20" x14ac:dyDescent="0.25">
      <c r="A1043" s="4" t="s">
        <v>197</v>
      </c>
      <c r="B1043" s="2" t="s">
        <v>352</v>
      </c>
    </row>
    <row r="1044" spans="1:20" ht="17.25" x14ac:dyDescent="0.25">
      <c r="B1044" s="2" t="s">
        <v>346</v>
      </c>
      <c r="P1044" s="28"/>
      <c r="Q1044" s="28"/>
      <c r="R1044" s="28"/>
      <c r="S1044" s="28"/>
      <c r="T1044" s="28"/>
    </row>
    <row r="1046" spans="1:20" x14ac:dyDescent="0.25">
      <c r="A1046" s="4" t="s">
        <v>353</v>
      </c>
      <c r="B1046" s="2" t="s">
        <v>354</v>
      </c>
    </row>
    <row r="1047" spans="1:20" x14ac:dyDescent="0.25">
      <c r="B1047" s="2" t="s">
        <v>347</v>
      </c>
    </row>
    <row r="1049" spans="1:20" x14ac:dyDescent="0.25">
      <c r="A1049" s="4" t="s">
        <v>355</v>
      </c>
      <c r="B1049" s="2" t="s">
        <v>356</v>
      </c>
    </row>
    <row r="1050" spans="1:20" x14ac:dyDescent="0.25">
      <c r="B1050" s="2" t="s">
        <v>15</v>
      </c>
      <c r="F1050" s="2" t="s">
        <v>357</v>
      </c>
    </row>
    <row r="1051" spans="1:20" x14ac:dyDescent="0.25">
      <c r="B1051" s="2" t="s">
        <v>317</v>
      </c>
      <c r="F1051" s="315">
        <f ca="1">T1025</f>
        <v>3211.0491600000005</v>
      </c>
    </row>
    <row r="1052" spans="1:20" x14ac:dyDescent="0.25">
      <c r="B1052" s="2" t="s">
        <v>276</v>
      </c>
      <c r="F1052" s="315">
        <v>0</v>
      </c>
      <c r="P1052" s="4"/>
    </row>
    <row r="1053" spans="1:20" x14ac:dyDescent="0.25">
      <c r="B1053" s="2" t="s">
        <v>342</v>
      </c>
      <c r="F1053" s="315">
        <v>0</v>
      </c>
      <c r="P1053" s="4"/>
    </row>
    <row r="1054" spans="1:20" x14ac:dyDescent="0.25">
      <c r="B1054" s="2" t="s">
        <v>343</v>
      </c>
      <c r="F1054" s="315">
        <v>0</v>
      </c>
    </row>
    <row r="1055" spans="1:20" x14ac:dyDescent="0.25">
      <c r="B1055" s="2" t="s">
        <v>345</v>
      </c>
      <c r="F1055" s="315">
        <v>0</v>
      </c>
    </row>
    <row r="1056" spans="1:20" x14ac:dyDescent="0.25">
      <c r="B1056" s="2" t="s">
        <v>516</v>
      </c>
      <c r="F1056" s="315">
        <v>0</v>
      </c>
    </row>
    <row r="1057" spans="1:20" x14ac:dyDescent="0.25">
      <c r="E1057" s="340" t="s">
        <v>329</v>
      </c>
      <c r="F1057" s="339">
        <f ca="1">SUM(F1051:F1056)</f>
        <v>3211.0491600000005</v>
      </c>
    </row>
    <row r="1059" spans="1:20" ht="17.25" x14ac:dyDescent="0.25">
      <c r="A1059" s="336" t="s">
        <v>942</v>
      </c>
      <c r="B1059" s="336" t="s">
        <v>220</v>
      </c>
      <c r="C1059" s="336"/>
      <c r="D1059" s="336"/>
      <c r="E1059" s="336"/>
      <c r="F1059" s="28"/>
      <c r="G1059" s="28"/>
      <c r="H1059" s="28"/>
      <c r="I1059" s="28"/>
      <c r="J1059" s="28"/>
      <c r="K1059" s="28"/>
      <c r="L1059" s="28"/>
      <c r="M1059" s="28"/>
      <c r="N1059" s="28"/>
      <c r="O1059" s="28"/>
    </row>
    <row r="1060" spans="1:20" x14ac:dyDescent="0.25">
      <c r="A1060" s="4" t="s">
        <v>61</v>
      </c>
      <c r="B1060" s="2" t="s">
        <v>338</v>
      </c>
    </row>
    <row r="1061" spans="1:20" x14ac:dyDescent="0.25">
      <c r="A1061" s="4"/>
      <c r="B1061" s="2" t="s">
        <v>15</v>
      </c>
      <c r="G1061" s="4" t="s">
        <v>414</v>
      </c>
      <c r="I1061" s="4" t="s">
        <v>859</v>
      </c>
      <c r="K1061" s="4" t="s">
        <v>860</v>
      </c>
      <c r="L1061" s="2" t="s">
        <v>224</v>
      </c>
      <c r="M1061" s="2" t="s">
        <v>855</v>
      </c>
      <c r="O1061" s="2" t="s">
        <v>325</v>
      </c>
      <c r="R1061" s="4" t="s">
        <v>381</v>
      </c>
    </row>
    <row r="1062" spans="1:20" x14ac:dyDescent="0.25">
      <c r="A1062" s="4"/>
      <c r="B1062" s="2" t="s">
        <v>607</v>
      </c>
      <c r="G1062" s="358">
        <v>1</v>
      </c>
      <c r="I1062" s="238">
        <f>'Carac trecho'!G74</f>
        <v>1</v>
      </c>
      <c r="J1062" s="4"/>
      <c r="K1062" s="2">
        <f>'Carac trecho'!F74</f>
        <v>1</v>
      </c>
      <c r="L1062" s="2">
        <f>K1062/I1062</f>
        <v>1</v>
      </c>
      <c r="M1062" s="359">
        <v>0</v>
      </c>
      <c r="O1062" s="238">
        <f>L1062+M1062</f>
        <v>1</v>
      </c>
      <c r="R1062" s="2">
        <f>ROUNDUP(O1062*Listas!$E$5,0)</f>
        <v>2</v>
      </c>
    </row>
    <row r="1063" spans="1:20" x14ac:dyDescent="0.25">
      <c r="A1063" s="4"/>
      <c r="B1063" s="2" t="s">
        <v>487</v>
      </c>
      <c r="G1063" s="358">
        <v>0.6</v>
      </c>
      <c r="I1063" s="359">
        <v>0</v>
      </c>
      <c r="J1063" s="4"/>
      <c r="K1063" s="359">
        <v>0</v>
      </c>
      <c r="L1063" s="359">
        <v>0</v>
      </c>
      <c r="M1063" s="359">
        <v>0</v>
      </c>
      <c r="O1063" s="238">
        <f>O1062*G1063</f>
        <v>0.6</v>
      </c>
      <c r="R1063" s="238">
        <v>1</v>
      </c>
    </row>
    <row r="1064" spans="1:20" x14ac:dyDescent="0.25">
      <c r="A1064" s="4"/>
      <c r="B1064" s="2" t="s">
        <v>592</v>
      </c>
      <c r="G1064" s="358">
        <v>0.4</v>
      </c>
      <c r="I1064" s="359">
        <v>0</v>
      </c>
      <c r="J1064" s="4"/>
      <c r="K1064" s="359">
        <v>0</v>
      </c>
      <c r="L1064" s="359">
        <v>0</v>
      </c>
      <c r="M1064" s="359">
        <v>0</v>
      </c>
      <c r="O1064" s="238">
        <f>O1062-O1063</f>
        <v>0.4</v>
      </c>
      <c r="R1064" s="238">
        <f>R1062-R1063</f>
        <v>1</v>
      </c>
    </row>
    <row r="1065" spans="1:20" x14ac:dyDescent="0.25">
      <c r="A1065" s="4"/>
      <c r="G1065" s="358"/>
      <c r="I1065" s="359"/>
      <c r="J1065" s="4"/>
      <c r="K1065" s="359"/>
      <c r="L1065" s="359"/>
      <c r="M1065" s="359"/>
      <c r="N1065" s="2" t="s">
        <v>329</v>
      </c>
      <c r="O1065" s="238">
        <f>SUM(O1062:O1064)</f>
        <v>2</v>
      </c>
      <c r="R1065" s="238"/>
    </row>
    <row r="1066" spans="1:20" x14ac:dyDescent="0.25">
      <c r="A1066" s="4"/>
    </row>
    <row r="1067" spans="1:20" x14ac:dyDescent="0.25">
      <c r="A1067" s="4"/>
      <c r="B1067" s="4" t="s">
        <v>360</v>
      </c>
      <c r="C1067" s="2" t="s">
        <v>15</v>
      </c>
      <c r="F1067" s="4" t="s">
        <v>321</v>
      </c>
      <c r="G1067" s="4"/>
      <c r="H1067" s="4" t="s">
        <v>322</v>
      </c>
      <c r="I1067" s="4" t="s">
        <v>323</v>
      </c>
      <c r="J1067" s="4"/>
      <c r="K1067" s="4" t="s">
        <v>324</v>
      </c>
      <c r="L1067" s="4"/>
      <c r="M1067" s="4" t="s">
        <v>325</v>
      </c>
      <c r="N1067" s="4"/>
      <c r="O1067" s="4" t="s">
        <v>326</v>
      </c>
      <c r="Q1067" s="4" t="s">
        <v>327</v>
      </c>
      <c r="R1067" s="4"/>
      <c r="S1067" s="4" t="s">
        <v>328</v>
      </c>
      <c r="T1067" s="337" t="s">
        <v>329</v>
      </c>
    </row>
    <row r="1068" spans="1:20" x14ac:dyDescent="0.25">
      <c r="A1068" s="4"/>
      <c r="B1068" s="4"/>
      <c r="F1068" s="4"/>
      <c r="G1068" s="4"/>
      <c r="H1068" s="4" t="s">
        <v>330</v>
      </c>
      <c r="I1068" s="4" t="s">
        <v>331</v>
      </c>
      <c r="J1068" s="4"/>
      <c r="K1068" s="4" t="s">
        <v>332</v>
      </c>
      <c r="L1068" s="4"/>
      <c r="M1068" s="4" t="s">
        <v>333</v>
      </c>
      <c r="N1068" s="4"/>
      <c r="O1068" s="4" t="s">
        <v>334</v>
      </c>
      <c r="Q1068" s="4" t="s">
        <v>335</v>
      </c>
      <c r="R1068" s="4"/>
      <c r="S1068" s="4" t="s">
        <v>336</v>
      </c>
      <c r="T1068" s="337" t="s">
        <v>337</v>
      </c>
    </row>
    <row r="1069" spans="1:20" x14ac:dyDescent="0.25">
      <c r="A1069" s="4"/>
      <c r="B1069" s="4" t="s">
        <v>126</v>
      </c>
      <c r="C1069" s="2" t="str">
        <f ca="1">IFERROR(VLOOKUP(B1069,MO_Matriz,2,0),"")</f>
        <v>Geólogo pleno</v>
      </c>
      <c r="F1069" s="4" t="str">
        <f ca="1">IFERROR(VLOOKUP(B1069,MO_Matriz,3,0),"")</f>
        <v>S</v>
      </c>
      <c r="H1069" s="2">
        <v>1</v>
      </c>
      <c r="I1069" s="2">
        <v>1</v>
      </c>
      <c r="K1069" s="2">
        <f>Listas!$B$6</f>
        <v>7.333333333333333</v>
      </c>
      <c r="M1069" s="238">
        <f>O1062</f>
        <v>1</v>
      </c>
      <c r="O1069" s="2">
        <f>H1069*I1069*K1069*M1069</f>
        <v>7.333333333333333</v>
      </c>
      <c r="Q1069" s="2">
        <f>O1069/220</f>
        <v>3.3333333333333333E-2</v>
      </c>
      <c r="S1069" s="315">
        <f ca="1">IFERROR(VLOOKUP(B1069,MO_Matriz,5,0),"")</f>
        <v>25780.18</v>
      </c>
      <c r="T1069" s="347">
        <f ca="1">Q1069*S1069</f>
        <v>859.33933333333334</v>
      </c>
    </row>
    <row r="1070" spans="1:20" x14ac:dyDescent="0.25">
      <c r="A1070" s="4"/>
      <c r="B1070" s="4" t="s">
        <v>167</v>
      </c>
      <c r="C1070" s="2" t="str">
        <f ca="1">IFERROR(VLOOKUP(B1070,MO_Matriz,2,0),"")</f>
        <v>Técnico ambiental</v>
      </c>
      <c r="F1070" s="4" t="str">
        <f ca="1">IFERROR(VLOOKUP(B1070,MO_Matriz,3,0),"")</f>
        <v>T</v>
      </c>
      <c r="H1070" s="2">
        <v>1</v>
      </c>
      <c r="I1070" s="2">
        <v>1</v>
      </c>
      <c r="K1070" s="2">
        <f>Listas!$B$6</f>
        <v>7.333333333333333</v>
      </c>
      <c r="M1070" s="238">
        <f>O1062</f>
        <v>1</v>
      </c>
      <c r="O1070" s="2">
        <f>H1070*I1070*K1070*M1070</f>
        <v>7.333333333333333</v>
      </c>
      <c r="Q1070" s="2">
        <f>O1070/220</f>
        <v>3.3333333333333333E-2</v>
      </c>
      <c r="S1070" s="315">
        <f ca="1">IFERROR(VLOOKUP(B1070,MO_Matriz,5,0),"")</f>
        <v>6565.04</v>
      </c>
      <c r="T1070" s="347">
        <f ca="1">Q1070*S1070</f>
        <v>218.83466666666666</v>
      </c>
    </row>
    <row r="1071" spans="1:20" x14ac:dyDescent="0.25">
      <c r="A1071" s="4"/>
      <c r="S1071" s="340" t="s">
        <v>329</v>
      </c>
      <c r="T1071" s="339">
        <f ca="1">SUM(T1069:T1070)</f>
        <v>1078.174</v>
      </c>
    </row>
    <row r="1072" spans="1:20" x14ac:dyDescent="0.25">
      <c r="A1072" s="4"/>
    </row>
    <row r="1073" spans="1:10" x14ac:dyDescent="0.25">
      <c r="A1073" s="337" t="s">
        <v>339</v>
      </c>
      <c r="B1073" s="2" t="s">
        <v>340</v>
      </c>
    </row>
    <row r="1074" spans="1:10" x14ac:dyDescent="0.25">
      <c r="B1074" s="2" t="s">
        <v>341</v>
      </c>
    </row>
    <row r="1076" spans="1:10" x14ac:dyDescent="0.25">
      <c r="A1076" s="4" t="s">
        <v>348</v>
      </c>
      <c r="B1076" s="2" t="s">
        <v>349</v>
      </c>
    </row>
    <row r="1077" spans="1:10" x14ac:dyDescent="0.25">
      <c r="A1077" s="4" t="s">
        <v>451</v>
      </c>
      <c r="B1077" s="2" t="s">
        <v>452</v>
      </c>
    </row>
    <row r="1078" spans="1:10" x14ac:dyDescent="0.25">
      <c r="B1078" s="4" t="s">
        <v>360</v>
      </c>
      <c r="C1078" s="2" t="s">
        <v>15</v>
      </c>
      <c r="F1078" s="4" t="s">
        <v>321</v>
      </c>
      <c r="G1078" s="4"/>
      <c r="H1078" s="4" t="s">
        <v>453</v>
      </c>
      <c r="I1078" s="4"/>
      <c r="J1078" s="4" t="s">
        <v>454</v>
      </c>
    </row>
    <row r="1079" spans="1:10" x14ac:dyDescent="0.25">
      <c r="B1079" s="4" t="str">
        <f>B1069</f>
        <v>P8081</v>
      </c>
      <c r="C1079" s="2" t="str">
        <f ca="1">IFERROR(VLOOKUP(B1079,MO_Matriz,2,0),"")</f>
        <v>Geólogo pleno</v>
      </c>
      <c r="F1079" s="4" t="str">
        <f ca="1">IFERROR(VLOOKUP(B1079,MO_Matriz,3,0),"")</f>
        <v>S</v>
      </c>
      <c r="H1079" s="2" t="s">
        <v>455</v>
      </c>
      <c r="J1079" s="2">
        <v>1</v>
      </c>
    </row>
    <row r="1080" spans="1:10" x14ac:dyDescent="0.25">
      <c r="B1080" s="4" t="str">
        <f>B1070</f>
        <v>P8143</v>
      </c>
      <c r="C1080" s="2" t="str">
        <f ca="1">IFERROR(VLOOKUP(B1080,MO_Matriz,2,0),"")</f>
        <v>Técnico ambiental</v>
      </c>
      <c r="F1080" s="4" t="str">
        <f ca="1">IFERROR(VLOOKUP(B1080,MO_Matriz,3,0),"")</f>
        <v>T</v>
      </c>
      <c r="H1080" s="2" t="s">
        <v>455</v>
      </c>
      <c r="J1080" s="2">
        <v>1</v>
      </c>
    </row>
    <row r="1081" spans="1:10" x14ac:dyDescent="0.25">
      <c r="I1081" s="340" t="s">
        <v>329</v>
      </c>
      <c r="J1081" s="340">
        <f>SUM(J1079:J1080)</f>
        <v>2</v>
      </c>
    </row>
    <row r="1083" spans="1:10" x14ac:dyDescent="0.25">
      <c r="A1083" s="4" t="s">
        <v>456</v>
      </c>
      <c r="B1083" s="2" t="s">
        <v>457</v>
      </c>
    </row>
    <row r="1084" spans="1:10" x14ac:dyDescent="0.25">
      <c r="A1084" s="4"/>
      <c r="B1084" s="2" t="s">
        <v>1033</v>
      </c>
    </row>
    <row r="1086" spans="1:10" x14ac:dyDescent="0.25">
      <c r="A1086" s="4" t="s">
        <v>350</v>
      </c>
      <c r="B1086" s="2" t="s">
        <v>351</v>
      </c>
    </row>
    <row r="1087" spans="1:10" x14ac:dyDescent="0.25">
      <c r="B1087" s="2" t="s">
        <v>344</v>
      </c>
    </row>
    <row r="1089" spans="1:20" x14ac:dyDescent="0.25">
      <c r="A1089" s="4" t="s">
        <v>197</v>
      </c>
      <c r="B1089" s="2" t="s">
        <v>352</v>
      </c>
    </row>
    <row r="1090" spans="1:20" ht="17.25" x14ac:dyDescent="0.25">
      <c r="B1090" s="2" t="s">
        <v>346</v>
      </c>
      <c r="P1090" s="28"/>
      <c r="Q1090" s="28"/>
      <c r="R1090" s="28"/>
      <c r="S1090" s="28"/>
      <c r="T1090" s="28"/>
    </row>
    <row r="1092" spans="1:20" x14ac:dyDescent="0.25">
      <c r="A1092" s="4" t="s">
        <v>353</v>
      </c>
      <c r="B1092" s="2" t="s">
        <v>354</v>
      </c>
    </row>
    <row r="1093" spans="1:20" x14ac:dyDescent="0.25">
      <c r="B1093" s="2" t="s">
        <v>347</v>
      </c>
    </row>
    <row r="1095" spans="1:20" x14ac:dyDescent="0.25">
      <c r="A1095" s="4" t="s">
        <v>355</v>
      </c>
      <c r="B1095" s="2" t="s">
        <v>356</v>
      </c>
    </row>
    <row r="1096" spans="1:20" x14ac:dyDescent="0.25">
      <c r="B1096" s="2" t="s">
        <v>15</v>
      </c>
      <c r="F1096" s="2" t="s">
        <v>357</v>
      </c>
    </row>
    <row r="1097" spans="1:20" x14ac:dyDescent="0.25">
      <c r="B1097" s="2" t="s">
        <v>317</v>
      </c>
      <c r="F1097" s="315">
        <f ca="1">T1071</f>
        <v>1078.174</v>
      </c>
    </row>
    <row r="1098" spans="1:20" x14ac:dyDescent="0.25">
      <c r="B1098" s="2" t="s">
        <v>276</v>
      </c>
      <c r="F1098" s="315">
        <v>0</v>
      </c>
      <c r="P1098" s="4"/>
    </row>
    <row r="1099" spans="1:20" x14ac:dyDescent="0.25">
      <c r="B1099" s="2" t="s">
        <v>342</v>
      </c>
      <c r="F1099" s="315">
        <v>0</v>
      </c>
      <c r="P1099" s="4"/>
    </row>
    <row r="1100" spans="1:20" x14ac:dyDescent="0.25">
      <c r="B1100" s="2" t="s">
        <v>343</v>
      </c>
      <c r="F1100" s="315">
        <v>0</v>
      </c>
    </row>
    <row r="1101" spans="1:20" x14ac:dyDescent="0.25">
      <c r="B1101" s="2" t="s">
        <v>345</v>
      </c>
      <c r="F1101" s="315">
        <v>0</v>
      </c>
    </row>
    <row r="1102" spans="1:20" x14ac:dyDescent="0.25">
      <c r="B1102" s="2" t="s">
        <v>516</v>
      </c>
      <c r="F1102" s="315">
        <v>0</v>
      </c>
    </row>
    <row r="1103" spans="1:20" x14ac:dyDescent="0.25">
      <c r="E1103" s="340" t="s">
        <v>329</v>
      </c>
      <c r="F1103" s="339">
        <f ca="1">SUM(F1097:F1102)</f>
        <v>1078.174</v>
      </c>
    </row>
    <row r="1105" spans="1:20" ht="17.25" x14ac:dyDescent="0.25">
      <c r="A1105" s="336" t="s">
        <v>943</v>
      </c>
      <c r="B1105" s="336" t="s">
        <v>221</v>
      </c>
      <c r="C1105" s="336"/>
      <c r="D1105" s="336"/>
      <c r="E1105" s="28"/>
      <c r="F1105" s="28"/>
      <c r="G1105" s="28"/>
      <c r="H1105" s="28"/>
      <c r="I1105" s="28"/>
      <c r="J1105" s="28"/>
      <c r="K1105" s="28"/>
      <c r="L1105" s="28"/>
      <c r="M1105" s="28"/>
      <c r="N1105" s="28"/>
      <c r="O1105" s="28"/>
    </row>
    <row r="1106" spans="1:20" x14ac:dyDescent="0.25">
      <c r="A1106" s="4" t="s">
        <v>61</v>
      </c>
      <c r="B1106" s="2" t="s">
        <v>338</v>
      </c>
    </row>
    <row r="1107" spans="1:20" x14ac:dyDescent="0.25">
      <c r="A1107" s="4"/>
      <c r="B1107" s="2" t="s">
        <v>15</v>
      </c>
      <c r="F1107" s="4" t="s">
        <v>414</v>
      </c>
      <c r="H1107" s="4" t="s">
        <v>856</v>
      </c>
      <c r="J1107" s="4" t="s">
        <v>224</v>
      </c>
      <c r="K1107" s="2" t="s">
        <v>855</v>
      </c>
      <c r="M1107" s="2" t="s">
        <v>325</v>
      </c>
      <c r="O1107" s="2" t="s">
        <v>381</v>
      </c>
    </row>
    <row r="1108" spans="1:20" x14ac:dyDescent="0.25">
      <c r="A1108" s="4"/>
      <c r="B1108" s="2" t="s">
        <v>610</v>
      </c>
      <c r="F1108" s="358">
        <v>1</v>
      </c>
      <c r="H1108" s="238">
        <f>'Carac trecho'!F93</f>
        <v>5</v>
      </c>
      <c r="I1108" s="4"/>
      <c r="J1108" s="2">
        <f>1.5/H1108</f>
        <v>0.3</v>
      </c>
      <c r="K1108" s="238">
        <f>'Carac trecho'!C93</f>
        <v>3</v>
      </c>
      <c r="M1108" s="238">
        <f>J1108+K1108</f>
        <v>3.3</v>
      </c>
      <c r="O1108" s="2">
        <f>ROUNDUP(M1108*Listas!$E$5,0)</f>
        <v>4</v>
      </c>
    </row>
    <row r="1109" spans="1:20" x14ac:dyDescent="0.25">
      <c r="A1109" s="4"/>
      <c r="B1109" s="2" t="s">
        <v>487</v>
      </c>
      <c r="F1109" s="358">
        <v>0.6</v>
      </c>
      <c r="H1109" s="359">
        <v>0</v>
      </c>
      <c r="I1109" s="4"/>
      <c r="J1109" s="359">
        <v>0</v>
      </c>
      <c r="K1109" s="359">
        <v>0</v>
      </c>
      <c r="M1109" s="238">
        <f>M1108*F1109</f>
        <v>1.9799999999999998</v>
      </c>
      <c r="O1109" s="238">
        <f>ROUNDUP(O1108*F1109,0)</f>
        <v>3</v>
      </c>
    </row>
    <row r="1110" spans="1:20" x14ac:dyDescent="0.25">
      <c r="A1110" s="4"/>
      <c r="B1110" s="2" t="s">
        <v>592</v>
      </c>
      <c r="F1110" s="358">
        <v>0.4</v>
      </c>
      <c r="H1110" s="359">
        <v>0</v>
      </c>
      <c r="I1110" s="4"/>
      <c r="J1110" s="359">
        <v>0</v>
      </c>
      <c r="K1110" s="359">
        <v>0</v>
      </c>
      <c r="M1110" s="238">
        <f>M1108-M1109</f>
        <v>1.32</v>
      </c>
      <c r="O1110" s="238">
        <f>O1108-O1109</f>
        <v>1</v>
      </c>
    </row>
    <row r="1111" spans="1:20" x14ac:dyDescent="0.25">
      <c r="A1111" s="4"/>
      <c r="F1111" s="358"/>
      <c r="H1111" s="359"/>
      <c r="I1111" s="4"/>
      <c r="J1111" s="359"/>
      <c r="K1111" s="359"/>
      <c r="L1111" s="2" t="s">
        <v>329</v>
      </c>
      <c r="M1111" s="238">
        <f>SUM(M1108:M1110)</f>
        <v>6.6</v>
      </c>
      <c r="O1111" s="238"/>
    </row>
    <row r="1112" spans="1:20" x14ac:dyDescent="0.25">
      <c r="A1112" s="4"/>
    </row>
    <row r="1113" spans="1:20" x14ac:dyDescent="0.25">
      <c r="A1113" s="4"/>
      <c r="B1113" s="4" t="s">
        <v>360</v>
      </c>
      <c r="C1113" s="2" t="s">
        <v>15</v>
      </c>
      <c r="F1113" s="4" t="s">
        <v>321</v>
      </c>
      <c r="G1113" s="4"/>
      <c r="H1113" s="4" t="s">
        <v>322</v>
      </c>
      <c r="I1113" s="4" t="s">
        <v>323</v>
      </c>
      <c r="J1113" s="4"/>
      <c r="K1113" s="4" t="s">
        <v>324</v>
      </c>
      <c r="L1113" s="4"/>
      <c r="M1113" s="4" t="s">
        <v>325</v>
      </c>
      <c r="N1113" s="4"/>
      <c r="O1113" s="4" t="s">
        <v>326</v>
      </c>
      <c r="Q1113" s="4" t="s">
        <v>327</v>
      </c>
      <c r="R1113" s="4"/>
      <c r="S1113" s="4" t="s">
        <v>328</v>
      </c>
      <c r="T1113" s="337" t="s">
        <v>329</v>
      </c>
    </row>
    <row r="1114" spans="1:20" x14ac:dyDescent="0.25">
      <c r="A1114" s="4"/>
      <c r="B1114" s="4"/>
      <c r="F1114" s="4"/>
      <c r="G1114" s="4"/>
      <c r="H1114" s="4" t="s">
        <v>330</v>
      </c>
      <c r="I1114" s="4" t="s">
        <v>331</v>
      </c>
      <c r="J1114" s="4"/>
      <c r="K1114" s="4" t="s">
        <v>332</v>
      </c>
      <c r="L1114" s="4"/>
      <c r="M1114" s="4" t="s">
        <v>333</v>
      </c>
      <c r="N1114" s="4"/>
      <c r="O1114" s="4" t="s">
        <v>334</v>
      </c>
      <c r="Q1114" s="4" t="s">
        <v>335</v>
      </c>
      <c r="R1114" s="4"/>
      <c r="S1114" s="4" t="s">
        <v>336</v>
      </c>
      <c r="T1114" s="337" t="s">
        <v>337</v>
      </c>
    </row>
    <row r="1115" spans="1:20" x14ac:dyDescent="0.25">
      <c r="A1115" s="4"/>
      <c r="B1115" s="4" t="s">
        <v>112</v>
      </c>
      <c r="C1115" s="2" t="str">
        <f ca="1">IFERROR(VLOOKUP(B1115,MO_Matriz,2,0),"")</f>
        <v>Engenheiro de projetos júnior</v>
      </c>
      <c r="F1115" s="4" t="str">
        <f ca="1">IFERROR(VLOOKUP(B1115,MO_Matriz,3,0),"")</f>
        <v>S</v>
      </c>
      <c r="H1115" s="2">
        <v>1</v>
      </c>
      <c r="I1115" s="2">
        <v>1</v>
      </c>
      <c r="K1115" s="2">
        <f>Listas!$B$6</f>
        <v>7.333333333333333</v>
      </c>
      <c r="M1115" s="238">
        <f>M1108</f>
        <v>3.3</v>
      </c>
      <c r="O1115" s="2">
        <f>H1115*I1115*K1115*M1115</f>
        <v>24.2</v>
      </c>
      <c r="Q1115" s="2">
        <f>O1115/220</f>
        <v>0.11</v>
      </c>
      <c r="S1115" s="315">
        <f ca="1">IFERROR(VLOOKUP(B1115,MO_Matriz,5,0),"")</f>
        <v>24288.81</v>
      </c>
      <c r="T1115" s="347">
        <f ca="1">Q1115*S1115</f>
        <v>2671.7691</v>
      </c>
    </row>
    <row r="1116" spans="1:20" x14ac:dyDescent="0.25">
      <c r="A1116" s="4"/>
      <c r="B1116" s="4" t="s">
        <v>169</v>
      </c>
      <c r="C1116" s="2" t="str">
        <f ca="1">IFERROR(VLOOKUP(B1116,MO_Matriz,2,0),"")</f>
        <v>Técnico de obras</v>
      </c>
      <c r="F1116" s="4" t="str">
        <f ca="1">IFERROR(VLOOKUP(B1116,MO_Matriz,3,0),"")</f>
        <v>T</v>
      </c>
      <c r="H1116" s="2">
        <v>1</v>
      </c>
      <c r="I1116" s="2">
        <v>1</v>
      </c>
      <c r="K1116" s="2">
        <f>Listas!$B$6</f>
        <v>7.333333333333333</v>
      </c>
      <c r="M1116" s="238">
        <f>M1108</f>
        <v>3.3</v>
      </c>
      <c r="O1116" s="2">
        <f>H1116*I1116*K1116*M1116</f>
        <v>24.2</v>
      </c>
      <c r="Q1116" s="2">
        <f>O1116/220</f>
        <v>0.11</v>
      </c>
      <c r="S1116" s="315">
        <f ca="1">IFERROR(VLOOKUP(B1116,MO_Matriz,5,0),"")</f>
        <v>7040.14</v>
      </c>
      <c r="T1116" s="347">
        <f ca="1">Q1116*S1116</f>
        <v>774.41540000000009</v>
      </c>
    </row>
    <row r="1117" spans="1:20" x14ac:dyDescent="0.25">
      <c r="A1117" s="4"/>
      <c r="S1117" s="340" t="s">
        <v>329</v>
      </c>
      <c r="T1117" s="339">
        <f ca="1">SUM(T1115:T1116)</f>
        <v>3446.1845000000003</v>
      </c>
    </row>
    <row r="1118" spans="1:20" x14ac:dyDescent="0.25">
      <c r="A1118" s="4"/>
    </row>
    <row r="1119" spans="1:20" x14ac:dyDescent="0.25">
      <c r="A1119" s="337" t="s">
        <v>339</v>
      </c>
      <c r="B1119" s="2" t="s">
        <v>340</v>
      </c>
    </row>
    <row r="1120" spans="1:20" x14ac:dyDescent="0.25">
      <c r="B1120" s="2" t="s">
        <v>341</v>
      </c>
    </row>
    <row r="1122" spans="1:10" x14ac:dyDescent="0.25">
      <c r="A1122" s="4" t="s">
        <v>348</v>
      </c>
      <c r="B1122" s="2" t="s">
        <v>349</v>
      </c>
    </row>
    <row r="1123" spans="1:10" x14ac:dyDescent="0.25">
      <c r="A1123" s="4" t="s">
        <v>451</v>
      </c>
      <c r="B1123" s="2" t="s">
        <v>452</v>
      </c>
    </row>
    <row r="1124" spans="1:10" x14ac:dyDescent="0.25">
      <c r="B1124" s="4" t="s">
        <v>360</v>
      </c>
      <c r="C1124" s="2" t="s">
        <v>15</v>
      </c>
      <c r="F1124" s="4" t="s">
        <v>321</v>
      </c>
      <c r="G1124" s="4"/>
      <c r="H1124" s="4" t="s">
        <v>453</v>
      </c>
      <c r="I1124" s="4"/>
      <c r="J1124" s="4" t="s">
        <v>454</v>
      </c>
    </row>
    <row r="1125" spans="1:10" x14ac:dyDescent="0.25">
      <c r="B1125" s="4" t="str">
        <f>B1115</f>
        <v>P8065</v>
      </c>
      <c r="C1125" s="2" t="str">
        <f ca="1">IFERROR(VLOOKUP(B1125,MO_Matriz,2,0),"")</f>
        <v>Engenheiro de projetos júnior</v>
      </c>
      <c r="F1125" s="4" t="str">
        <f ca="1">IFERROR(VLOOKUP(B1125,MO_Matriz,3,0),"")</f>
        <v>S</v>
      </c>
      <c r="H1125" s="2" t="s">
        <v>455</v>
      </c>
      <c r="J1125" s="2">
        <v>1</v>
      </c>
    </row>
    <row r="1126" spans="1:10" x14ac:dyDescent="0.25">
      <c r="B1126" s="4" t="str">
        <f>B1116</f>
        <v>P8147</v>
      </c>
      <c r="C1126" s="2" t="str">
        <f ca="1">IFERROR(VLOOKUP(B1126,MO_Matriz,2,0),"")</f>
        <v>Técnico de obras</v>
      </c>
      <c r="F1126" s="4" t="str">
        <f ca="1">IFERROR(VLOOKUP(B1126,MO_Matriz,3,0),"")</f>
        <v>T</v>
      </c>
      <c r="H1126" s="2" t="s">
        <v>455</v>
      </c>
      <c r="J1126" s="2">
        <v>1</v>
      </c>
    </row>
    <row r="1127" spans="1:10" x14ac:dyDescent="0.25">
      <c r="I1127" s="340" t="s">
        <v>329</v>
      </c>
      <c r="J1127" s="340">
        <f>SUM(J1125:J1126)</f>
        <v>2</v>
      </c>
    </row>
    <row r="1129" spans="1:10" x14ac:dyDescent="0.25">
      <c r="A1129" s="4" t="s">
        <v>456</v>
      </c>
      <c r="B1129" s="2" t="s">
        <v>457</v>
      </c>
    </row>
    <row r="1130" spans="1:10" x14ac:dyDescent="0.25">
      <c r="A1130" s="4"/>
      <c r="B1130" s="2" t="s">
        <v>1033</v>
      </c>
    </row>
    <row r="1131" spans="1:10" x14ac:dyDescent="0.25">
      <c r="A1131" s="4"/>
    </row>
    <row r="1132" spans="1:10" x14ac:dyDescent="0.25">
      <c r="A1132" s="4" t="s">
        <v>350</v>
      </c>
      <c r="B1132" s="2" t="s">
        <v>351</v>
      </c>
    </row>
    <row r="1133" spans="1:10" x14ac:dyDescent="0.25">
      <c r="B1133" s="2" t="s">
        <v>344</v>
      </c>
    </row>
    <row r="1135" spans="1:10" x14ac:dyDescent="0.25">
      <c r="A1135" s="4" t="s">
        <v>197</v>
      </c>
      <c r="B1135" s="2" t="s">
        <v>352</v>
      </c>
    </row>
    <row r="1136" spans="1:10" x14ac:dyDescent="0.25">
      <c r="B1136" s="2" t="s">
        <v>346</v>
      </c>
    </row>
    <row r="1138" spans="1:16" x14ac:dyDescent="0.25">
      <c r="A1138" s="4" t="s">
        <v>353</v>
      </c>
      <c r="B1138" s="2" t="s">
        <v>354</v>
      </c>
    </row>
    <row r="1139" spans="1:16" x14ac:dyDescent="0.25">
      <c r="B1139" s="2" t="s">
        <v>347</v>
      </c>
    </row>
    <row r="1141" spans="1:16" x14ac:dyDescent="0.25">
      <c r="A1141" s="4" t="s">
        <v>355</v>
      </c>
      <c r="B1141" s="2" t="s">
        <v>356</v>
      </c>
    </row>
    <row r="1142" spans="1:16" x14ac:dyDescent="0.25">
      <c r="B1142" s="2" t="s">
        <v>15</v>
      </c>
      <c r="F1142" s="2" t="s">
        <v>357</v>
      </c>
    </row>
    <row r="1143" spans="1:16" x14ac:dyDescent="0.25">
      <c r="B1143" s="2" t="s">
        <v>317</v>
      </c>
      <c r="F1143" s="315">
        <f ca="1">T1117</f>
        <v>3446.1845000000003</v>
      </c>
      <c r="P1143" s="4"/>
    </row>
    <row r="1144" spans="1:16" x14ac:dyDescent="0.25">
      <c r="B1144" s="2" t="s">
        <v>276</v>
      </c>
      <c r="F1144" s="315">
        <v>0</v>
      </c>
      <c r="P1144" s="4"/>
    </row>
    <row r="1145" spans="1:16" x14ac:dyDescent="0.25">
      <c r="B1145" s="2" t="s">
        <v>342</v>
      </c>
      <c r="F1145" s="315">
        <v>0</v>
      </c>
    </row>
    <row r="1146" spans="1:16" x14ac:dyDescent="0.25">
      <c r="B1146" s="2" t="s">
        <v>343</v>
      </c>
      <c r="F1146" s="315">
        <v>0</v>
      </c>
    </row>
    <row r="1147" spans="1:16" x14ac:dyDescent="0.25">
      <c r="B1147" s="2" t="s">
        <v>345</v>
      </c>
      <c r="F1147" s="315">
        <v>0</v>
      </c>
    </row>
    <row r="1148" spans="1:16" x14ac:dyDescent="0.25">
      <c r="B1148" s="2" t="s">
        <v>516</v>
      </c>
      <c r="F1148" s="315">
        <v>0</v>
      </c>
    </row>
    <row r="1149" spans="1:16" x14ac:dyDescent="0.25">
      <c r="E1149" s="340" t="s">
        <v>329</v>
      </c>
      <c r="F1149" s="339">
        <f ca="1">SUM(F1143:F1148)</f>
        <v>3446.1845000000003</v>
      </c>
    </row>
    <row r="1151" spans="1:16" ht="21" x14ac:dyDescent="0.25">
      <c r="A1151" s="335" t="s">
        <v>934</v>
      </c>
      <c r="B1151" s="335" t="s">
        <v>592</v>
      </c>
      <c r="C1151" s="350"/>
      <c r="D1151" s="350"/>
      <c r="E1151" s="350"/>
    </row>
    <row r="1152" spans="1:16" ht="17.25" x14ac:dyDescent="0.25">
      <c r="A1152" s="336" t="s">
        <v>955</v>
      </c>
      <c r="B1152" s="336" t="s">
        <v>926</v>
      </c>
      <c r="C1152" s="350"/>
      <c r="D1152" s="350"/>
    </row>
    <row r="1153" spans="1:20" x14ac:dyDescent="0.25">
      <c r="A1153" s="4" t="s">
        <v>61</v>
      </c>
      <c r="B1153" s="2" t="s">
        <v>338</v>
      </c>
    </row>
    <row r="1154" spans="1:20" x14ac:dyDescent="0.25">
      <c r="A1154" s="4"/>
      <c r="B1154" s="2" t="s">
        <v>15</v>
      </c>
      <c r="F1154" s="4" t="s">
        <v>414</v>
      </c>
      <c r="H1154" s="4" t="s">
        <v>325</v>
      </c>
      <c r="J1154" s="4" t="s">
        <v>381</v>
      </c>
    </row>
    <row r="1155" spans="1:20" x14ac:dyDescent="0.25">
      <c r="A1155" s="4"/>
      <c r="B1155" s="2" t="s">
        <v>927</v>
      </c>
      <c r="F1155" s="358">
        <v>1</v>
      </c>
      <c r="H1155" s="238">
        <f>'Carac trecho'!F93</f>
        <v>5</v>
      </c>
      <c r="J1155" s="2">
        <f>ROUNDUP(H1155*Listas!$E$5,0)</f>
        <v>6</v>
      </c>
    </row>
    <row r="1156" spans="1:20" x14ac:dyDescent="0.25">
      <c r="A1156" s="4"/>
      <c r="F1156" s="358"/>
      <c r="H1156" s="238"/>
      <c r="I1156" s="2" t="s">
        <v>329</v>
      </c>
      <c r="J1156" s="2">
        <f>J1155</f>
        <v>6</v>
      </c>
    </row>
    <row r="1158" spans="1:20" x14ac:dyDescent="0.25">
      <c r="B1158" s="4" t="s">
        <v>360</v>
      </c>
      <c r="C1158" s="2" t="s">
        <v>15</v>
      </c>
      <c r="F1158" s="4" t="s">
        <v>321</v>
      </c>
      <c r="G1158" s="4"/>
      <c r="H1158" s="4" t="s">
        <v>322</v>
      </c>
      <c r="I1158" s="4" t="s">
        <v>323</v>
      </c>
      <c r="J1158" s="4"/>
      <c r="K1158" s="4" t="s">
        <v>324</v>
      </c>
      <c r="L1158" s="4"/>
      <c r="M1158" s="4" t="s">
        <v>325</v>
      </c>
      <c r="N1158" s="4"/>
      <c r="O1158" s="4" t="s">
        <v>326</v>
      </c>
      <c r="Q1158" s="4" t="s">
        <v>327</v>
      </c>
      <c r="R1158" s="4"/>
      <c r="S1158" s="4" t="s">
        <v>328</v>
      </c>
      <c r="T1158" s="337" t="s">
        <v>329</v>
      </c>
    </row>
    <row r="1159" spans="1:20" x14ac:dyDescent="0.25">
      <c r="B1159" s="4"/>
      <c r="F1159" s="4"/>
      <c r="G1159" s="4"/>
      <c r="H1159" s="4" t="s">
        <v>330</v>
      </c>
      <c r="I1159" s="4" t="s">
        <v>331</v>
      </c>
      <c r="J1159" s="4"/>
      <c r="K1159" s="4" t="s">
        <v>332</v>
      </c>
      <c r="L1159" s="4"/>
      <c r="M1159" s="4" t="s">
        <v>333</v>
      </c>
      <c r="N1159" s="4"/>
      <c r="O1159" s="4" t="s">
        <v>334</v>
      </c>
      <c r="Q1159" s="4" t="s">
        <v>335</v>
      </c>
      <c r="R1159" s="4"/>
      <c r="S1159" s="4" t="s">
        <v>336</v>
      </c>
      <c r="T1159" s="337" t="s">
        <v>337</v>
      </c>
    </row>
    <row r="1160" spans="1:20" x14ac:dyDescent="0.25">
      <c r="B1160" s="4" t="s">
        <v>112</v>
      </c>
      <c r="C1160" s="2" t="str">
        <f ca="1">IFERROR(VLOOKUP(B1160,MO_Matriz,2,0),"")</f>
        <v>Engenheiro de projetos júnior</v>
      </c>
      <c r="F1160" s="4" t="str">
        <f ca="1">IFERROR(VLOOKUP(B1160,MO_Matriz,3,0),"")</f>
        <v>S</v>
      </c>
      <c r="H1160" s="2">
        <v>1</v>
      </c>
      <c r="I1160" s="2">
        <v>1</v>
      </c>
      <c r="K1160" s="2">
        <f>Listas!$B$6</f>
        <v>7.333333333333333</v>
      </c>
      <c r="M1160" s="238">
        <f>$H$1155</f>
        <v>5</v>
      </c>
      <c r="O1160" s="2">
        <f>H1160*I1160*K1160*M1160</f>
        <v>36.666666666666664</v>
      </c>
      <c r="Q1160" s="2">
        <f>O1160/220</f>
        <v>0.16666666666666666</v>
      </c>
      <c r="S1160" s="315">
        <f ca="1">IFERROR(VLOOKUP(B1160,MO_Matriz,5,0),"")</f>
        <v>24288.81</v>
      </c>
      <c r="T1160" s="347">
        <f ca="1">Q1160*S1160</f>
        <v>4048.1350000000002</v>
      </c>
    </row>
    <row r="1161" spans="1:20" x14ac:dyDescent="0.25">
      <c r="B1161" s="4" t="s">
        <v>169</v>
      </c>
      <c r="C1161" s="2" t="str">
        <f ca="1">IFERROR(VLOOKUP(B1161,MO_Matriz,2,0),"")</f>
        <v>Técnico de obras</v>
      </c>
      <c r="F1161" s="4" t="str">
        <f ca="1">IFERROR(VLOOKUP(B1161,MO_Matriz,3,0),"")</f>
        <v>T</v>
      </c>
      <c r="H1161" s="2">
        <v>1</v>
      </c>
      <c r="I1161" s="2">
        <v>1</v>
      </c>
      <c r="K1161" s="2">
        <f>Listas!$B$6</f>
        <v>7.333333333333333</v>
      </c>
      <c r="M1161" s="238">
        <f>$H$1155</f>
        <v>5</v>
      </c>
      <c r="O1161" s="2">
        <f>H1161*I1161*K1161*M1161</f>
        <v>36.666666666666664</v>
      </c>
      <c r="Q1161" s="2">
        <f>O1161/220</f>
        <v>0.16666666666666666</v>
      </c>
      <c r="S1161" s="315">
        <f ca="1">IFERROR(VLOOKUP(B1161,MO_Matriz,5,0),"")</f>
        <v>7040.14</v>
      </c>
      <c r="T1161" s="347">
        <f ca="1">Q1161*S1161</f>
        <v>1173.3566666666666</v>
      </c>
    </row>
    <row r="1162" spans="1:20" x14ac:dyDescent="0.25">
      <c r="S1162" s="340" t="s">
        <v>329</v>
      </c>
      <c r="T1162" s="339">
        <f ca="1">SUM(T1160:T1161)</f>
        <v>5221.4916666666668</v>
      </c>
    </row>
    <row r="1164" spans="1:20" x14ac:dyDescent="0.25">
      <c r="A1164" s="337" t="s">
        <v>339</v>
      </c>
      <c r="B1164" s="2" t="s">
        <v>340</v>
      </c>
    </row>
    <row r="1165" spans="1:20" x14ac:dyDescent="0.25">
      <c r="B1165" s="2" t="s">
        <v>341</v>
      </c>
    </row>
    <row r="1167" spans="1:20" x14ac:dyDescent="0.25">
      <c r="A1167" s="4" t="s">
        <v>348</v>
      </c>
      <c r="B1167" s="2" t="s">
        <v>349</v>
      </c>
    </row>
    <row r="1168" spans="1:20" x14ac:dyDescent="0.25">
      <c r="A1168" s="4" t="s">
        <v>451</v>
      </c>
      <c r="B1168" s="2" t="s">
        <v>452</v>
      </c>
    </row>
    <row r="1169" spans="1:10" x14ac:dyDescent="0.25">
      <c r="B1169" s="4" t="s">
        <v>360</v>
      </c>
      <c r="C1169" s="2" t="s">
        <v>15</v>
      </c>
      <c r="F1169" s="4" t="s">
        <v>321</v>
      </c>
      <c r="G1169" s="4"/>
      <c r="H1169" s="4" t="s">
        <v>453</v>
      </c>
      <c r="I1169" s="4"/>
      <c r="J1169" s="4" t="s">
        <v>454</v>
      </c>
    </row>
    <row r="1170" spans="1:10" x14ac:dyDescent="0.25">
      <c r="B1170" s="4" t="str">
        <f>B1160</f>
        <v>P8065</v>
      </c>
      <c r="C1170" s="2" t="str">
        <f ca="1">IFERROR(VLOOKUP(B1170,MO_Matriz,2,0),"")</f>
        <v>Engenheiro de projetos júnior</v>
      </c>
      <c r="F1170" s="4" t="str">
        <f ca="1">IFERROR(VLOOKUP(B1170,MO_Matriz,3,0),"")</f>
        <v>S</v>
      </c>
      <c r="H1170" s="2" t="s">
        <v>455</v>
      </c>
      <c r="J1170" s="2">
        <v>1</v>
      </c>
    </row>
    <row r="1171" spans="1:10" x14ac:dyDescent="0.25">
      <c r="B1171" s="4" t="str">
        <f>B1161</f>
        <v>P8147</v>
      </c>
      <c r="C1171" s="2" t="str">
        <f ca="1">IFERROR(VLOOKUP(B1171,MO_Matriz,2,0),"")</f>
        <v>Técnico de obras</v>
      </c>
      <c r="F1171" s="4" t="str">
        <f ca="1">IFERROR(VLOOKUP(B1171,MO_Matriz,3,0),"")</f>
        <v>T</v>
      </c>
      <c r="H1171" s="2" t="s">
        <v>455</v>
      </c>
      <c r="J1171" s="2">
        <v>1</v>
      </c>
    </row>
    <row r="1172" spans="1:10" x14ac:dyDescent="0.25">
      <c r="I1172" s="340" t="s">
        <v>329</v>
      </c>
      <c r="J1172" s="340">
        <f>SUM(J1170:J1171)</f>
        <v>2</v>
      </c>
    </row>
    <row r="1174" spans="1:10" x14ac:dyDescent="0.25">
      <c r="A1174" s="4" t="s">
        <v>456</v>
      </c>
      <c r="B1174" s="2" t="s">
        <v>457</v>
      </c>
    </row>
    <row r="1175" spans="1:10" x14ac:dyDescent="0.25">
      <c r="A1175" s="4"/>
      <c r="B1175" s="2" t="s">
        <v>1033</v>
      </c>
    </row>
    <row r="1177" spans="1:10" x14ac:dyDescent="0.25">
      <c r="A1177" s="4" t="s">
        <v>350</v>
      </c>
      <c r="B1177" s="2" t="s">
        <v>351</v>
      </c>
    </row>
    <row r="1178" spans="1:10" x14ac:dyDescent="0.25">
      <c r="B1178" s="2" t="s">
        <v>344</v>
      </c>
    </row>
    <row r="1180" spans="1:10" x14ac:dyDescent="0.25">
      <c r="A1180" s="4" t="s">
        <v>197</v>
      </c>
      <c r="B1180" s="2" t="s">
        <v>352</v>
      </c>
    </row>
    <row r="1181" spans="1:10" x14ac:dyDescent="0.25">
      <c r="B1181" s="2" t="s">
        <v>346</v>
      </c>
    </row>
    <row r="1183" spans="1:10" x14ac:dyDescent="0.25">
      <c r="A1183" s="4" t="s">
        <v>353</v>
      </c>
      <c r="B1183" s="2" t="s">
        <v>354</v>
      </c>
    </row>
    <row r="1184" spans="1:10" x14ac:dyDescent="0.25">
      <c r="B1184" s="2" t="s">
        <v>347</v>
      </c>
    </row>
    <row r="1186" spans="1:16" x14ac:dyDescent="0.25">
      <c r="A1186" s="4" t="s">
        <v>355</v>
      </c>
      <c r="B1186" s="2" t="s">
        <v>356</v>
      </c>
    </row>
    <row r="1187" spans="1:16" x14ac:dyDescent="0.25">
      <c r="B1187" s="2" t="s">
        <v>15</v>
      </c>
      <c r="F1187" s="2" t="s">
        <v>357</v>
      </c>
    </row>
    <row r="1188" spans="1:16" x14ac:dyDescent="0.25">
      <c r="B1188" s="2" t="s">
        <v>317</v>
      </c>
      <c r="F1188" s="315">
        <f ca="1">T1162</f>
        <v>5221.4916666666668</v>
      </c>
    </row>
    <row r="1189" spans="1:16" x14ac:dyDescent="0.25">
      <c r="B1189" s="2" t="s">
        <v>276</v>
      </c>
      <c r="F1189" s="315">
        <v>0</v>
      </c>
    </row>
    <row r="1190" spans="1:16" x14ac:dyDescent="0.25">
      <c r="B1190" s="2" t="s">
        <v>342</v>
      </c>
      <c r="F1190" s="315">
        <v>0</v>
      </c>
    </row>
    <row r="1191" spans="1:16" x14ac:dyDescent="0.25">
      <c r="B1191" s="2" t="s">
        <v>343</v>
      </c>
      <c r="F1191" s="315">
        <v>0</v>
      </c>
    </row>
    <row r="1192" spans="1:16" x14ac:dyDescent="0.25">
      <c r="B1192" s="2" t="s">
        <v>345</v>
      </c>
      <c r="F1192" s="315">
        <v>0</v>
      </c>
    </row>
    <row r="1193" spans="1:16" x14ac:dyDescent="0.25">
      <c r="B1193" s="2" t="s">
        <v>516</v>
      </c>
      <c r="F1193" s="315">
        <v>0</v>
      </c>
      <c r="P1193" s="4"/>
    </row>
    <row r="1194" spans="1:16" x14ac:dyDescent="0.25">
      <c r="E1194" s="340" t="s">
        <v>329</v>
      </c>
      <c r="F1194" s="339">
        <f ca="1">SUM(F1188:F1193)</f>
        <v>5221.4916666666668</v>
      </c>
      <c r="P1194" s="4"/>
    </row>
    <row r="1196" spans="1:16" ht="17.25" x14ac:dyDescent="0.25">
      <c r="A1196" s="336" t="s">
        <v>930</v>
      </c>
      <c r="B1196" s="336" t="s">
        <v>611</v>
      </c>
      <c r="C1196" s="350"/>
      <c r="D1196" s="350"/>
    </row>
    <row r="1197" spans="1:16" x14ac:dyDescent="0.25">
      <c r="B1197" s="2" t="s">
        <v>15</v>
      </c>
      <c r="E1197" s="2" t="s">
        <v>225</v>
      </c>
      <c r="G1197" s="2" t="s">
        <v>325</v>
      </c>
    </row>
    <row r="1198" spans="1:16" x14ac:dyDescent="0.25">
      <c r="B1198" s="2" t="s">
        <v>612</v>
      </c>
      <c r="E1198" s="238">
        <f>'Histo esc'!G49</f>
        <v>152</v>
      </c>
      <c r="G1198" s="2">
        <f>E1198/Listas!E5</f>
        <v>130.28571428571428</v>
      </c>
      <c r="H1198" s="2" t="s">
        <v>472</v>
      </c>
    </row>
    <row r="1199" spans="1:16" x14ac:dyDescent="0.25">
      <c r="B1199" s="2" t="s">
        <v>613</v>
      </c>
      <c r="E1199" s="238">
        <f>'Histo esc'!G52</f>
        <v>5.8333333333333339</v>
      </c>
    </row>
    <row r="1200" spans="1:16" x14ac:dyDescent="0.25">
      <c r="B1200" s="2" t="s">
        <v>442</v>
      </c>
      <c r="E1200" s="2">
        <f>ROUNDUP(E1199/30,0)</f>
        <v>1</v>
      </c>
      <c r="F1200" s="2" t="s">
        <v>614</v>
      </c>
    </row>
    <row r="1202" spans="1:20" x14ac:dyDescent="0.25">
      <c r="B1202" s="2" t="s">
        <v>430</v>
      </c>
      <c r="D1202" s="2" t="s">
        <v>15</v>
      </c>
    </row>
    <row r="1203" spans="1:20" x14ac:dyDescent="0.25">
      <c r="B1203" s="2">
        <v>1</v>
      </c>
      <c r="D1203" s="2" t="s">
        <v>1031</v>
      </c>
    </row>
    <row r="1205" spans="1:20" x14ac:dyDescent="0.25">
      <c r="A1205" s="4" t="s">
        <v>61</v>
      </c>
      <c r="B1205" s="2" t="s">
        <v>338</v>
      </c>
    </row>
    <row r="1206" spans="1:20" x14ac:dyDescent="0.25">
      <c r="D1206" s="51" t="s">
        <v>615</v>
      </c>
      <c r="E1206" s="2">
        <f>Listas!B6/2</f>
        <v>3.6666666666666665</v>
      </c>
      <c r="F1206" s="2" t="s">
        <v>336</v>
      </c>
    </row>
    <row r="1208" spans="1:20" x14ac:dyDescent="0.25">
      <c r="B1208" s="4" t="s">
        <v>360</v>
      </c>
      <c r="C1208" s="2" t="s">
        <v>15</v>
      </c>
      <c r="F1208" s="4" t="s">
        <v>321</v>
      </c>
      <c r="G1208" s="4"/>
      <c r="H1208" s="4" t="s">
        <v>322</v>
      </c>
      <c r="I1208" s="4" t="s">
        <v>323</v>
      </c>
      <c r="J1208" s="4"/>
      <c r="K1208" s="4" t="s">
        <v>324</v>
      </c>
      <c r="L1208" s="4"/>
      <c r="M1208" s="4" t="s">
        <v>325</v>
      </c>
      <c r="N1208" s="4"/>
      <c r="O1208" s="4" t="s">
        <v>326</v>
      </c>
      <c r="Q1208" s="4" t="s">
        <v>327</v>
      </c>
      <c r="R1208" s="4"/>
      <c r="S1208" s="4" t="s">
        <v>328</v>
      </c>
      <c r="T1208" s="338" t="s">
        <v>329</v>
      </c>
    </row>
    <row r="1209" spans="1:20" x14ac:dyDescent="0.25">
      <c r="B1209" s="4"/>
      <c r="F1209" s="4"/>
      <c r="G1209" s="4"/>
      <c r="H1209" s="4" t="s">
        <v>330</v>
      </c>
      <c r="I1209" s="4" t="s">
        <v>331</v>
      </c>
      <c r="J1209" s="4"/>
      <c r="K1209" s="4" t="s">
        <v>332</v>
      </c>
      <c r="L1209" s="4"/>
      <c r="M1209" s="4" t="s">
        <v>333</v>
      </c>
      <c r="N1209" s="4"/>
      <c r="O1209" s="4" t="s">
        <v>334</v>
      </c>
      <c r="Q1209" s="4" t="s">
        <v>335</v>
      </c>
      <c r="R1209" s="4"/>
      <c r="S1209" s="4" t="s">
        <v>336</v>
      </c>
      <c r="T1209" s="338" t="s">
        <v>337</v>
      </c>
    </row>
    <row r="1210" spans="1:20" x14ac:dyDescent="0.25">
      <c r="B1210" s="4" t="s">
        <v>104</v>
      </c>
      <c r="C1210" s="2" t="str">
        <f ca="1">IFERROR(VLOOKUP(B1210,MO_Matriz,2,0),"")</f>
        <v>Engenheiro coordenador</v>
      </c>
      <c r="F1210" s="4" t="str">
        <f ca="1">IFERROR(VLOOKUP(B1210,MO_Matriz,3,0),"")</f>
        <v>S</v>
      </c>
      <c r="H1210" s="2">
        <v>1</v>
      </c>
      <c r="I1210" s="2">
        <v>1</v>
      </c>
      <c r="K1210" s="2">
        <f>E1206</f>
        <v>3.6666666666666665</v>
      </c>
      <c r="M1210" s="238">
        <f>G1198</f>
        <v>130.28571428571428</v>
      </c>
      <c r="O1210" s="2">
        <f>H1210*I1210*K1210*M1210</f>
        <v>477.71428571428567</v>
      </c>
      <c r="Q1210" s="2">
        <f>O1210/220</f>
        <v>2.1714285714285713</v>
      </c>
      <c r="S1210" s="315">
        <f ca="1">IFERROR(VLOOKUP(B1210,MO_Matriz,5,0),"")</f>
        <v>35173.129999999997</v>
      </c>
      <c r="T1210" s="339">
        <f ca="1">TRUNC(Q1210*S1210,2)</f>
        <v>76375.929999999993</v>
      </c>
    </row>
    <row r="1212" spans="1:20" x14ac:dyDescent="0.25">
      <c r="A1212" s="337" t="s">
        <v>339</v>
      </c>
      <c r="B1212" s="2" t="s">
        <v>340</v>
      </c>
    </row>
    <row r="1213" spans="1:20" x14ac:dyDescent="0.25">
      <c r="B1213" s="2" t="s">
        <v>341</v>
      </c>
    </row>
    <row r="1215" spans="1:20" x14ac:dyDescent="0.25">
      <c r="A1215" s="4" t="s">
        <v>348</v>
      </c>
      <c r="B1215" s="2" t="s">
        <v>349</v>
      </c>
    </row>
    <row r="1216" spans="1:20" x14ac:dyDescent="0.25">
      <c r="A1216" s="4" t="s">
        <v>451</v>
      </c>
      <c r="B1216" s="2" t="s">
        <v>452</v>
      </c>
    </row>
    <row r="1217" spans="1:10" x14ac:dyDescent="0.25">
      <c r="B1217" s="4" t="s">
        <v>360</v>
      </c>
      <c r="C1217" s="2" t="s">
        <v>15</v>
      </c>
      <c r="F1217" s="4" t="s">
        <v>321</v>
      </c>
      <c r="G1217" s="4"/>
      <c r="H1217" s="4" t="s">
        <v>453</v>
      </c>
      <c r="I1217" s="4"/>
      <c r="J1217" s="4" t="s">
        <v>454</v>
      </c>
    </row>
    <row r="1218" spans="1:10" x14ac:dyDescent="0.25">
      <c r="B1218" s="4" t="str">
        <f>B1210</f>
        <v>P8061</v>
      </c>
      <c r="C1218" s="2" t="str">
        <f ca="1">IFERROR(VLOOKUP(B1218,MO_Matriz,2,0),"")</f>
        <v>Engenheiro coordenador</v>
      </c>
      <c r="F1218" s="4" t="str">
        <f ca="1">IFERROR(VLOOKUP(B1218,MO_Matriz,3,0),"")</f>
        <v>S</v>
      </c>
      <c r="H1218" s="2" t="s">
        <v>455</v>
      </c>
      <c r="J1218" s="2">
        <v>1</v>
      </c>
    </row>
    <row r="1219" spans="1:10" x14ac:dyDescent="0.25">
      <c r="I1219" s="340" t="s">
        <v>329</v>
      </c>
      <c r="J1219" s="340">
        <f>SUM(J1218:J1218)</f>
        <v>1</v>
      </c>
    </row>
    <row r="1221" spans="1:10" x14ac:dyDescent="0.25">
      <c r="A1221" s="4" t="s">
        <v>456</v>
      </c>
      <c r="B1221" s="2" t="s">
        <v>457</v>
      </c>
    </row>
    <row r="1222" spans="1:10" x14ac:dyDescent="0.25">
      <c r="A1222" s="4"/>
      <c r="B1222" s="2" t="s">
        <v>1033</v>
      </c>
    </row>
    <row r="1223" spans="1:10" x14ac:dyDescent="0.25">
      <c r="A1223" s="4"/>
    </row>
    <row r="1224" spans="1:10" x14ac:dyDescent="0.25">
      <c r="A1224" s="4" t="s">
        <v>350</v>
      </c>
      <c r="B1224" s="2" t="s">
        <v>351</v>
      </c>
    </row>
    <row r="1225" spans="1:10" x14ac:dyDescent="0.25">
      <c r="B1225" s="2" t="s">
        <v>344</v>
      </c>
    </row>
    <row r="1227" spans="1:10" x14ac:dyDescent="0.25">
      <c r="A1227" s="4" t="s">
        <v>197</v>
      </c>
      <c r="B1227" s="2" t="s">
        <v>352</v>
      </c>
    </row>
    <row r="1228" spans="1:10" x14ac:dyDescent="0.25">
      <c r="A1228" s="4" t="s">
        <v>450</v>
      </c>
      <c r="B1228" s="2" t="s">
        <v>433</v>
      </c>
    </row>
    <row r="1229" spans="1:10" x14ac:dyDescent="0.25">
      <c r="B1229" s="2" t="str">
        <f>"Segundo Decreto nº 16.536, de 26 de dezembro de 2024, para "&amp;Listas!$D$17&amp;" :"</f>
        <v>Segundo Decreto nº 16.536, de 26 de dezembro de 2024, para Ribas do Rio Pardo :</v>
      </c>
    </row>
    <row r="1230" spans="1:10" x14ac:dyDescent="0.25">
      <c r="B1230" s="2" t="s">
        <v>15</v>
      </c>
      <c r="E1230" s="2" t="s">
        <v>357</v>
      </c>
      <c r="F1230" s="2" t="s">
        <v>202</v>
      </c>
    </row>
    <row r="1231" spans="1:10" x14ac:dyDescent="0.25">
      <c r="B1231" s="2" t="s">
        <v>248</v>
      </c>
      <c r="E1231" s="238">
        <f>Listas!$D$19</f>
        <v>200</v>
      </c>
    </row>
    <row r="1232" spans="1:10" x14ac:dyDescent="0.25">
      <c r="B1232" s="2" t="s">
        <v>252</v>
      </c>
      <c r="E1232" s="238">
        <f>E1231/2</f>
        <v>100</v>
      </c>
      <c r="F1232" s="2">
        <v>4</v>
      </c>
    </row>
    <row r="1233" spans="1:15" x14ac:dyDescent="0.25">
      <c r="B1233" s="2" t="s">
        <v>255</v>
      </c>
      <c r="E1233" s="238">
        <f>E1232</f>
        <v>100</v>
      </c>
      <c r="F1233" s="2">
        <f>F1232-1</f>
        <v>3</v>
      </c>
    </row>
    <row r="1235" spans="1:15" x14ac:dyDescent="0.25">
      <c r="B1235" s="4" t="s">
        <v>360</v>
      </c>
      <c r="C1235" s="2" t="s">
        <v>15</v>
      </c>
      <c r="D1235" s="4"/>
      <c r="E1235" s="4"/>
      <c r="F1235" s="4" t="s">
        <v>321</v>
      </c>
      <c r="G1235" s="4"/>
      <c r="H1235" s="4" t="s">
        <v>434</v>
      </c>
      <c r="I1235" s="4" t="s">
        <v>435</v>
      </c>
      <c r="J1235" s="338" t="s">
        <v>329</v>
      </c>
    </row>
    <row r="1236" spans="1:15" x14ac:dyDescent="0.25">
      <c r="B1236" s="4"/>
      <c r="C1236" s="4"/>
      <c r="D1236" s="4"/>
      <c r="E1236" s="4"/>
      <c r="F1236" s="4"/>
      <c r="G1236" s="4"/>
      <c r="H1236" s="4" t="s">
        <v>363</v>
      </c>
      <c r="I1236" s="4" t="s">
        <v>330</v>
      </c>
      <c r="J1236" s="338" t="s">
        <v>436</v>
      </c>
    </row>
    <row r="1237" spans="1:15" x14ac:dyDescent="0.25">
      <c r="B1237" s="4" t="s">
        <v>104</v>
      </c>
      <c r="C1237" s="2" t="str">
        <f ca="1">IFERROR(VLOOKUP(B1237,MO_Matriz,2,0),"")</f>
        <v>Engenheiro coordenador</v>
      </c>
      <c r="F1237" s="4" t="str">
        <f ca="1">IFERROR(VLOOKUP(B1237,MO_Matriz,3,0),"")</f>
        <v>S</v>
      </c>
      <c r="H1237" s="315">
        <f>E1232*F1232</f>
        <v>400</v>
      </c>
      <c r="I1237" s="315">
        <f>E1233*F1233</f>
        <v>300</v>
      </c>
      <c r="J1237" s="339">
        <f>H1237+I1237</f>
        <v>700</v>
      </c>
    </row>
    <row r="1239" spans="1:15" x14ac:dyDescent="0.25">
      <c r="A1239" s="4" t="s">
        <v>459</v>
      </c>
      <c r="B1239" s="2" t="s">
        <v>437</v>
      </c>
    </row>
    <row r="1240" spans="1:15" x14ac:dyDescent="0.25">
      <c r="B1240" s="2" t="s">
        <v>438</v>
      </c>
      <c r="H1240" s="315"/>
      <c r="I1240" s="4"/>
      <c r="J1240" s="354"/>
    </row>
    <row r="1243" spans="1:15" x14ac:dyDescent="0.25">
      <c r="A1243" s="4" t="s">
        <v>618</v>
      </c>
      <c r="B1243" s="2" t="s">
        <v>616</v>
      </c>
    </row>
    <row r="1244" spans="1:15" x14ac:dyDescent="0.25">
      <c r="B1244" s="2" t="s">
        <v>15</v>
      </c>
      <c r="D1244" s="2" t="s">
        <v>357</v>
      </c>
    </row>
    <row r="1245" spans="1:15" x14ac:dyDescent="0.25">
      <c r="B1245" s="2" t="s">
        <v>617</v>
      </c>
      <c r="D1245" s="315">
        <f>J1237</f>
        <v>700</v>
      </c>
    </row>
    <row r="1246" spans="1:15" x14ac:dyDescent="0.25">
      <c r="B1246" s="2" t="s">
        <v>437</v>
      </c>
      <c r="D1246" s="315">
        <v>0</v>
      </c>
    </row>
    <row r="1247" spans="1:15" s="334" customFormat="1" ht="21" x14ac:dyDescent="0.25">
      <c r="A1247" s="2"/>
      <c r="B1247" s="2"/>
      <c r="C1247" s="340" t="s">
        <v>329</v>
      </c>
      <c r="D1247" s="339">
        <f>SUM(D1245:D1246)</f>
        <v>700</v>
      </c>
      <c r="E1247" s="2"/>
      <c r="F1247" s="2"/>
      <c r="G1247" s="2"/>
      <c r="H1247" s="2"/>
      <c r="I1247" s="2"/>
      <c r="J1247" s="2"/>
      <c r="K1247" s="2"/>
      <c r="L1247" s="2"/>
      <c r="M1247" s="2"/>
      <c r="N1247" s="2"/>
      <c r="O1247" s="2"/>
    </row>
    <row r="1248" spans="1:15" s="334" customFormat="1" ht="21" x14ac:dyDescent="0.25">
      <c r="A1248" s="2"/>
      <c r="B1248" s="2"/>
      <c r="C1248" s="2"/>
      <c r="D1248" s="2"/>
      <c r="E1248" s="2"/>
      <c r="F1248" s="2"/>
      <c r="G1248" s="2"/>
      <c r="H1248" s="2"/>
      <c r="I1248" s="2"/>
      <c r="J1248" s="2"/>
      <c r="K1248" s="2"/>
      <c r="L1248" s="2"/>
      <c r="M1248" s="2"/>
      <c r="N1248" s="2"/>
      <c r="O1248" s="2"/>
    </row>
    <row r="1249" spans="1:15" s="28" customFormat="1" ht="17.25" x14ac:dyDescent="0.25">
      <c r="A1249" s="4" t="s">
        <v>353</v>
      </c>
      <c r="B1249" s="2" t="s">
        <v>354</v>
      </c>
      <c r="C1249" s="2"/>
      <c r="D1249" s="2"/>
      <c r="E1249" s="2"/>
      <c r="F1249" s="2"/>
      <c r="G1249" s="2"/>
      <c r="H1249" s="2"/>
      <c r="I1249" s="2"/>
      <c r="J1249" s="2"/>
      <c r="K1249" s="2"/>
      <c r="L1249" s="2"/>
      <c r="M1249" s="2"/>
      <c r="N1249" s="2"/>
      <c r="O1249" s="2"/>
    </row>
    <row r="1250" spans="1:15" x14ac:dyDescent="0.25">
      <c r="B1250" s="2" t="s">
        <v>347</v>
      </c>
    </row>
    <row r="1252" spans="1:15" x14ac:dyDescent="0.25">
      <c r="A1252" s="4" t="s">
        <v>355</v>
      </c>
      <c r="B1252" s="2" t="s">
        <v>356</v>
      </c>
    </row>
    <row r="1253" spans="1:15" x14ac:dyDescent="0.25">
      <c r="B1253" s="2" t="s">
        <v>15</v>
      </c>
      <c r="F1253" s="4" t="s">
        <v>357</v>
      </c>
    </row>
    <row r="1254" spans="1:15" s="28" customFormat="1" ht="17.25" x14ac:dyDescent="0.25">
      <c r="A1254" s="2"/>
      <c r="B1254" s="2" t="s">
        <v>317</v>
      </c>
      <c r="C1254" s="2"/>
      <c r="D1254" s="2"/>
      <c r="E1254" s="2"/>
      <c r="F1254" s="315">
        <f ca="1">T1210</f>
        <v>76375.929999999993</v>
      </c>
      <c r="G1254" s="2"/>
      <c r="H1254" s="2"/>
      <c r="I1254" s="2"/>
      <c r="J1254" s="2"/>
      <c r="K1254" s="2"/>
      <c r="L1254" s="2"/>
      <c r="M1254" s="2"/>
      <c r="N1254" s="2"/>
      <c r="O1254" s="2"/>
    </row>
    <row r="1255" spans="1:15" x14ac:dyDescent="0.25">
      <c r="B1255" s="2" t="s">
        <v>276</v>
      </c>
      <c r="F1255" s="315">
        <v>0</v>
      </c>
    </row>
    <row r="1256" spans="1:15" x14ac:dyDescent="0.25">
      <c r="B1256" s="2" t="s">
        <v>342</v>
      </c>
      <c r="F1256" s="315">
        <v>0</v>
      </c>
    </row>
    <row r="1257" spans="1:15" x14ac:dyDescent="0.25">
      <c r="B1257" s="2" t="s">
        <v>343</v>
      </c>
      <c r="F1257" s="315">
        <v>0</v>
      </c>
    </row>
    <row r="1258" spans="1:15" x14ac:dyDescent="0.25">
      <c r="B1258" s="2" t="s">
        <v>345</v>
      </c>
      <c r="F1258" s="315">
        <f>D1247</f>
        <v>700</v>
      </c>
    </row>
    <row r="1259" spans="1:15" x14ac:dyDescent="0.25">
      <c r="B1259" s="2" t="s">
        <v>516</v>
      </c>
      <c r="F1259" s="315">
        <v>0</v>
      </c>
    </row>
    <row r="1260" spans="1:15" x14ac:dyDescent="0.25">
      <c r="E1260" s="340" t="s">
        <v>329</v>
      </c>
      <c r="F1260" s="339">
        <f ca="1">SUM(F1254:F1259)</f>
        <v>77075.929999999993</v>
      </c>
    </row>
    <row r="1262" spans="1:15" ht="21" x14ac:dyDescent="0.25">
      <c r="A1262" s="335">
        <v>2</v>
      </c>
      <c r="B1262" s="335" t="s">
        <v>619</v>
      </c>
      <c r="C1262" s="335"/>
      <c r="D1262" s="335"/>
      <c r="E1262" s="334"/>
      <c r="G1262" s="334"/>
      <c r="H1262" s="334"/>
      <c r="I1262" s="334"/>
      <c r="J1262" s="334"/>
      <c r="K1262" s="334"/>
      <c r="L1262" s="334"/>
      <c r="M1262" s="334"/>
      <c r="N1262" s="334"/>
      <c r="O1262" s="334"/>
    </row>
    <row r="1263" spans="1:15" ht="21" x14ac:dyDescent="0.25">
      <c r="A1263" s="334" t="s">
        <v>620</v>
      </c>
      <c r="B1263" s="334" t="s">
        <v>593</v>
      </c>
      <c r="C1263" s="334"/>
      <c r="D1263" s="334"/>
      <c r="E1263" s="334"/>
      <c r="F1263" s="334"/>
      <c r="G1263" s="334"/>
      <c r="H1263" s="334"/>
      <c r="I1263" s="334"/>
      <c r="J1263" s="334"/>
      <c r="K1263" s="334"/>
      <c r="L1263" s="334"/>
      <c r="M1263" s="334"/>
      <c r="N1263" s="334"/>
      <c r="O1263" s="334"/>
    </row>
    <row r="1264" spans="1:15" ht="17.25" x14ac:dyDescent="0.25">
      <c r="A1264" s="28" t="s">
        <v>621</v>
      </c>
      <c r="B1264" s="28" t="s">
        <v>622</v>
      </c>
      <c r="C1264" s="28"/>
      <c r="D1264" s="28"/>
      <c r="E1264" s="28"/>
      <c r="F1264" s="28"/>
      <c r="G1264" s="28"/>
      <c r="H1264" s="28"/>
      <c r="I1264" s="28"/>
      <c r="J1264" s="28"/>
      <c r="K1264" s="28"/>
      <c r="L1264" s="28"/>
      <c r="M1264" s="28"/>
      <c r="N1264" s="28"/>
      <c r="O1264" s="28"/>
    </row>
    <row r="1265" spans="1:15" x14ac:dyDescent="0.25">
      <c r="B1265" s="4" t="s">
        <v>19</v>
      </c>
      <c r="C1265" s="4" t="s">
        <v>360</v>
      </c>
      <c r="D1265" s="2" t="s">
        <v>30</v>
      </c>
      <c r="H1265" s="4" t="s">
        <v>31</v>
      </c>
      <c r="I1265" s="4"/>
      <c r="J1265" s="4" t="s">
        <v>623</v>
      </c>
      <c r="K1265" s="4"/>
      <c r="L1265" s="4" t="s">
        <v>523</v>
      </c>
      <c r="M1265" s="4"/>
      <c r="N1265" s="4"/>
      <c r="O1265" s="4" t="s">
        <v>1041</v>
      </c>
    </row>
    <row r="1266" spans="1:15" x14ac:dyDescent="0.25">
      <c r="B1266" s="4"/>
      <c r="C1266" s="4"/>
      <c r="H1266" s="4"/>
      <c r="I1266" s="4"/>
      <c r="J1266" s="4" t="s">
        <v>363</v>
      </c>
      <c r="K1266" s="4"/>
      <c r="L1266" s="4" t="s">
        <v>330</v>
      </c>
      <c r="M1266" s="4"/>
      <c r="N1266" s="4"/>
      <c r="O1266" s="4" t="s">
        <v>331</v>
      </c>
    </row>
    <row r="1267" spans="1:15" x14ac:dyDescent="0.25">
      <c r="B1267" s="2" t="s">
        <v>277</v>
      </c>
      <c r="C1267" s="4" t="s">
        <v>280</v>
      </c>
      <c r="D1267" s="2" t="str">
        <f>VLOOKUP(C1267,'Imóveis-Mobiliários-Cestas-Dive'!$B$2:$F$13,3,0)</f>
        <v>Residencial (2,45% do CMCC - SINAPI)</v>
      </c>
      <c r="H1267" s="4" t="s">
        <v>279</v>
      </c>
      <c r="J1267" s="274">
        <f>VLOOKUP(C1267,'Imóveis-Mobiliários-Cestas-Dive'!$B$2:$F$13,5,0)</f>
        <v>47.46</v>
      </c>
      <c r="L1267" s="238">
        <f>M1210</f>
        <v>130.28571428571428</v>
      </c>
      <c r="O1267" s="2">
        <f>L1267/Listas!$D$4</f>
        <v>4.3428571428571425</v>
      </c>
    </row>
    <row r="1269" spans="1:15" ht="17.25" x14ac:dyDescent="0.25">
      <c r="A1269" s="28" t="s">
        <v>624</v>
      </c>
      <c r="B1269" s="28" t="s">
        <v>625</v>
      </c>
      <c r="C1269" s="28"/>
      <c r="D1269" s="28"/>
      <c r="E1269" s="28"/>
      <c r="F1269" s="28"/>
      <c r="G1269" s="28"/>
      <c r="H1269" s="28"/>
      <c r="I1269" s="28"/>
      <c r="J1269" s="28"/>
      <c r="K1269" s="28"/>
      <c r="L1269" s="28"/>
      <c r="M1269" s="28"/>
      <c r="N1269" s="28"/>
      <c r="O1269" s="28"/>
    </row>
    <row r="1270" spans="1:15" x14ac:dyDescent="0.25">
      <c r="A1270" s="4" t="s">
        <v>61</v>
      </c>
      <c r="B1270" s="2" t="s">
        <v>651</v>
      </c>
    </row>
    <row r="1271" spans="1:15" x14ac:dyDescent="0.25">
      <c r="F1271" s="51" t="s">
        <v>626</v>
      </c>
      <c r="G1271" s="2">
        <f>'Histo esc'!BQ12</f>
        <v>61</v>
      </c>
      <c r="H1271" s="2" t="s">
        <v>627</v>
      </c>
    </row>
    <row r="1272" spans="1:15" x14ac:dyDescent="0.25">
      <c r="F1272" s="51" t="s">
        <v>628</v>
      </c>
      <c r="G1272" s="2">
        <f>'Histo esc'!BQ49</f>
        <v>13</v>
      </c>
      <c r="H1272" s="2" t="s">
        <v>629</v>
      </c>
    </row>
    <row r="1273" spans="1:15" x14ac:dyDescent="0.25">
      <c r="F1273" s="51" t="s">
        <v>630</v>
      </c>
      <c r="G1273" s="2">
        <v>3</v>
      </c>
      <c r="H1273" s="2" t="s">
        <v>629</v>
      </c>
      <c r="I1273" s="360" t="s">
        <v>201</v>
      </c>
      <c r="J1273" s="361" t="s">
        <v>660</v>
      </c>
      <c r="L1273" s="2">
        <f>G1273</f>
        <v>3</v>
      </c>
    </row>
    <row r="1274" spans="1:15" x14ac:dyDescent="0.25">
      <c r="F1274" s="51" t="s">
        <v>631</v>
      </c>
      <c r="G1274" s="2">
        <v>3</v>
      </c>
      <c r="H1274" s="2" t="s">
        <v>629</v>
      </c>
    </row>
    <row r="1275" spans="1:15" x14ac:dyDescent="0.25">
      <c r="F1275" s="51" t="s">
        <v>632</v>
      </c>
      <c r="G1275" s="2">
        <v>2</v>
      </c>
      <c r="H1275" s="2" t="s">
        <v>629</v>
      </c>
    </row>
    <row r="1276" spans="1:15" s="84" customFormat="1" x14ac:dyDescent="0.25">
      <c r="A1276" s="2"/>
      <c r="B1276" s="2"/>
      <c r="C1276" s="2"/>
      <c r="D1276" s="2"/>
      <c r="E1276" s="2"/>
      <c r="F1276" s="51" t="s">
        <v>633</v>
      </c>
      <c r="G1276" s="2">
        <f>G1272</f>
        <v>13</v>
      </c>
      <c r="H1276" s="2" t="s">
        <v>629</v>
      </c>
      <c r="I1276" s="2"/>
      <c r="J1276" s="2"/>
      <c r="K1276" s="2"/>
      <c r="L1276" s="2"/>
      <c r="M1276" s="2"/>
      <c r="N1276" s="2"/>
      <c r="O1276" s="2"/>
    </row>
    <row r="1278" spans="1:15" x14ac:dyDescent="0.25">
      <c r="C1278" s="4" t="s">
        <v>634</v>
      </c>
      <c r="F1278" s="4" t="s">
        <v>635</v>
      </c>
      <c r="G1278" s="4"/>
      <c r="H1278" s="4"/>
      <c r="I1278" s="4" t="s">
        <v>636</v>
      </c>
      <c r="J1278" s="4"/>
      <c r="K1278" s="4" t="s">
        <v>224</v>
      </c>
      <c r="L1278" s="4" t="s">
        <v>361</v>
      </c>
      <c r="M1278" s="4"/>
      <c r="N1278" s="338" t="s">
        <v>637</v>
      </c>
    </row>
    <row r="1279" spans="1:15" x14ac:dyDescent="0.25">
      <c r="C1279" s="4" t="s">
        <v>332</v>
      </c>
      <c r="F1279" s="4" t="s">
        <v>333</v>
      </c>
      <c r="G1279" s="4"/>
      <c r="H1279" s="4"/>
      <c r="I1279" s="4" t="s">
        <v>650</v>
      </c>
      <c r="J1279" s="4"/>
      <c r="K1279" s="4" t="s">
        <v>497</v>
      </c>
      <c r="L1279" s="4" t="s">
        <v>498</v>
      </c>
      <c r="M1279" s="4"/>
      <c r="N1279" s="338" t="s">
        <v>654</v>
      </c>
    </row>
    <row r="1280" spans="1:15" x14ac:dyDescent="0.25">
      <c r="C1280" s="238">
        <f>Listas!AN3</f>
        <v>4.5</v>
      </c>
      <c r="F1280" s="2">
        <f>G1276</f>
        <v>13</v>
      </c>
      <c r="I1280" s="2">
        <f>(57.95/2)+(C1280*F1280)</f>
        <v>87.474999999999994</v>
      </c>
      <c r="K1280" s="238">
        <f>L1267</f>
        <v>130.28571428571428</v>
      </c>
      <c r="L1280" s="2">
        <f>K1280/30</f>
        <v>4.3428571428571425</v>
      </c>
      <c r="N1280" s="339">
        <f>TRUNC(J1267*I1280*L1280,2)</f>
        <v>18029.64</v>
      </c>
    </row>
    <row r="1282" spans="1:15" x14ac:dyDescent="0.25">
      <c r="A1282" s="4" t="s">
        <v>339</v>
      </c>
      <c r="B1282" s="2" t="s">
        <v>652</v>
      </c>
    </row>
    <row r="1283" spans="1:15" x14ac:dyDescent="0.25">
      <c r="F1283" s="51" t="s">
        <v>638</v>
      </c>
      <c r="G1283" s="2">
        <f>'Histo resid'!K12</f>
        <v>3</v>
      </c>
      <c r="H1283" s="2" t="s">
        <v>627</v>
      </c>
    </row>
    <row r="1284" spans="1:15" x14ac:dyDescent="0.25">
      <c r="F1284" s="51" t="s">
        <v>639</v>
      </c>
      <c r="G1284" s="2">
        <f>'Histo resid'!K13</f>
        <v>5</v>
      </c>
      <c r="H1284" s="2" t="s">
        <v>629</v>
      </c>
    </row>
    <row r="1287" spans="1:15" x14ac:dyDescent="0.25">
      <c r="C1287" s="4" t="s">
        <v>640</v>
      </c>
      <c r="D1287" s="4"/>
      <c r="E1287" s="4"/>
      <c r="F1287" s="4" t="s">
        <v>635</v>
      </c>
      <c r="G1287" s="4"/>
      <c r="H1287" s="4" t="s">
        <v>641</v>
      </c>
      <c r="I1287" s="4"/>
      <c r="J1287" s="4" t="s">
        <v>224</v>
      </c>
      <c r="K1287" s="4" t="s">
        <v>361</v>
      </c>
      <c r="L1287" s="4"/>
      <c r="M1287" s="338" t="s">
        <v>642</v>
      </c>
    </row>
    <row r="1288" spans="1:15" x14ac:dyDescent="0.25">
      <c r="C1288" s="4" t="s">
        <v>332</v>
      </c>
      <c r="D1288" s="4"/>
      <c r="E1288" s="4"/>
      <c r="F1288" s="4" t="s">
        <v>333</v>
      </c>
      <c r="G1288" s="4"/>
      <c r="H1288" s="4" t="s">
        <v>653</v>
      </c>
      <c r="I1288" s="4"/>
      <c r="J1288" s="4" t="s">
        <v>497</v>
      </c>
      <c r="K1288" s="4" t="s">
        <v>498</v>
      </c>
      <c r="L1288" s="4"/>
      <c r="M1288" s="338" t="s">
        <v>654</v>
      </c>
    </row>
    <row r="1289" spans="1:15" x14ac:dyDescent="0.25">
      <c r="C1289" s="238">
        <f>Listas!AN4</f>
        <v>12.41</v>
      </c>
      <c r="F1289" s="2">
        <f>G1284</f>
        <v>5</v>
      </c>
      <c r="H1289" s="2">
        <f>C1289*F1289</f>
        <v>62.05</v>
      </c>
      <c r="J1289" s="238">
        <f>'Histo esc'!G13</f>
        <v>5.8333333333333339</v>
      </c>
      <c r="K1289" s="2">
        <f>J1289/30</f>
        <v>0.19444444444444448</v>
      </c>
      <c r="M1289" s="352">
        <f>TRUNC(J1267*H1289*K1289,2)</f>
        <v>572.61</v>
      </c>
    </row>
    <row r="1291" spans="1:15" x14ac:dyDescent="0.25">
      <c r="A1291" s="337" t="s">
        <v>348</v>
      </c>
      <c r="B1291" s="84" t="s">
        <v>655</v>
      </c>
      <c r="C1291" s="84"/>
      <c r="D1291" s="84"/>
      <c r="E1291" s="84"/>
      <c r="F1291" s="84"/>
      <c r="G1291" s="84"/>
      <c r="H1291" s="84"/>
      <c r="I1291" s="84"/>
      <c r="J1291" s="84"/>
      <c r="K1291" s="84"/>
      <c r="L1291" s="84"/>
      <c r="M1291" s="84"/>
      <c r="N1291" s="84"/>
      <c r="O1291" s="84"/>
    </row>
    <row r="1292" spans="1:15" x14ac:dyDescent="0.25">
      <c r="D1292" s="4" t="s">
        <v>644</v>
      </c>
      <c r="E1292" s="4"/>
      <c r="F1292" s="4"/>
      <c r="G1292" s="4" t="s">
        <v>322</v>
      </c>
      <c r="H1292" s="4"/>
      <c r="I1292" s="4" t="s">
        <v>645</v>
      </c>
      <c r="J1292" s="4"/>
      <c r="K1292" s="4" t="s">
        <v>224</v>
      </c>
      <c r="L1292" s="4" t="s">
        <v>361</v>
      </c>
      <c r="M1292" s="4"/>
      <c r="N1292" s="4"/>
      <c r="O1292" s="338" t="s">
        <v>646</v>
      </c>
    </row>
    <row r="1293" spans="1:15" x14ac:dyDescent="0.25">
      <c r="D1293" s="4" t="s">
        <v>332</v>
      </c>
      <c r="E1293" s="4"/>
      <c r="F1293" s="4"/>
      <c r="G1293" s="4" t="s">
        <v>333</v>
      </c>
      <c r="H1293" s="4"/>
      <c r="I1293" s="4" t="s">
        <v>653</v>
      </c>
      <c r="J1293" s="4"/>
      <c r="K1293" s="4" t="s">
        <v>497</v>
      </c>
      <c r="L1293" s="4" t="s">
        <v>498</v>
      </c>
      <c r="M1293" s="4"/>
      <c r="N1293" s="4"/>
      <c r="O1293" s="338" t="s">
        <v>654</v>
      </c>
    </row>
    <row r="1294" spans="1:15" s="28" customFormat="1" ht="17.25" x14ac:dyDescent="0.25">
      <c r="A1294" s="2"/>
      <c r="B1294" s="2"/>
      <c r="C1294" s="2"/>
      <c r="D1294" s="238">
        <f>Listas!AN5</f>
        <v>14.77</v>
      </c>
      <c r="E1294" s="2"/>
      <c r="F1294" s="2"/>
      <c r="G1294" s="2">
        <f>C327</f>
        <v>1</v>
      </c>
      <c r="H1294" s="2"/>
      <c r="I1294" s="2">
        <f>D1294*G1294</f>
        <v>14.77</v>
      </c>
      <c r="J1294" s="2"/>
      <c r="K1294" s="2">
        <f>F328</f>
        <v>1</v>
      </c>
      <c r="L1294" s="2">
        <f>K1294/Listas!$D$4</f>
        <v>3.3333333333333333E-2</v>
      </c>
      <c r="M1294" s="2"/>
      <c r="N1294" s="2"/>
      <c r="O1294" s="352">
        <f>TRUNC(J1267*I1294*L1294,2)</f>
        <v>23.36</v>
      </c>
    </row>
    <row r="1296" spans="1:15" x14ac:dyDescent="0.25">
      <c r="A1296" s="4" t="s">
        <v>350</v>
      </c>
      <c r="B1296" s="2" t="s">
        <v>656</v>
      </c>
    </row>
    <row r="1297" spans="1:15" x14ac:dyDescent="0.25">
      <c r="D1297" s="4" t="s">
        <v>647</v>
      </c>
      <c r="E1297" s="4"/>
      <c r="F1297" s="4"/>
      <c r="G1297" s="4" t="s">
        <v>322</v>
      </c>
      <c r="H1297" s="4"/>
      <c r="I1297" s="4" t="s">
        <v>648</v>
      </c>
      <c r="J1297" s="4"/>
      <c r="K1297" s="4" t="s">
        <v>224</v>
      </c>
      <c r="L1297" s="4" t="s">
        <v>361</v>
      </c>
      <c r="M1297" s="4"/>
      <c r="N1297" s="4"/>
      <c r="O1297" s="338" t="s">
        <v>649</v>
      </c>
    </row>
    <row r="1298" spans="1:15" x14ac:dyDescent="0.25">
      <c r="D1298" s="4" t="s">
        <v>332</v>
      </c>
      <c r="E1298" s="4"/>
      <c r="F1298" s="4"/>
      <c r="G1298" s="4" t="s">
        <v>333</v>
      </c>
      <c r="H1298" s="4"/>
      <c r="I1298" s="4" t="s">
        <v>653</v>
      </c>
      <c r="J1298" s="4"/>
      <c r="K1298" s="4" t="s">
        <v>497</v>
      </c>
      <c r="L1298" s="4" t="s">
        <v>498</v>
      </c>
      <c r="M1298" s="4"/>
      <c r="N1298" s="4"/>
      <c r="O1298" s="338" t="s">
        <v>654</v>
      </c>
    </row>
    <row r="1299" spans="1:15" x14ac:dyDescent="0.25">
      <c r="D1299" s="238">
        <f>Listas!AN8</f>
        <v>11.17</v>
      </c>
      <c r="G1299" s="2">
        <f>C546</f>
        <v>1</v>
      </c>
      <c r="I1299" s="2">
        <f>D1299*G1299</f>
        <v>11.17</v>
      </c>
      <c r="K1299" s="2">
        <f>F547</f>
        <v>9</v>
      </c>
      <c r="L1299" s="2">
        <f>K1299/Listas!$D$4</f>
        <v>0.3</v>
      </c>
      <c r="O1299" s="339">
        <f>TRUNC(J1267*I1299*L1299,2)</f>
        <v>159.03</v>
      </c>
    </row>
    <row r="1301" spans="1:15" x14ac:dyDescent="0.25">
      <c r="A1301" s="4" t="s">
        <v>197</v>
      </c>
      <c r="B1301" s="2" t="s">
        <v>356</v>
      </c>
    </row>
    <row r="1302" spans="1:15" x14ac:dyDescent="0.25">
      <c r="B1302" s="2" t="s">
        <v>15</v>
      </c>
      <c r="E1302" s="4" t="s">
        <v>357</v>
      </c>
    </row>
    <row r="1303" spans="1:15" x14ac:dyDescent="0.25">
      <c r="B1303" s="2" t="s">
        <v>283</v>
      </c>
      <c r="E1303" s="315">
        <f>N1280</f>
        <v>18029.64</v>
      </c>
    </row>
    <row r="1304" spans="1:15" x14ac:dyDescent="0.25">
      <c r="B1304" s="2" t="s">
        <v>286</v>
      </c>
      <c r="E1304" s="315">
        <f>M1289</f>
        <v>572.61</v>
      </c>
    </row>
    <row r="1305" spans="1:15" s="334" customFormat="1" ht="21" x14ac:dyDescent="0.25">
      <c r="A1305" s="2"/>
      <c r="B1305" s="2" t="s">
        <v>643</v>
      </c>
      <c r="C1305" s="2"/>
      <c r="D1305" s="2"/>
      <c r="E1305" s="315">
        <f>O1294</f>
        <v>23.36</v>
      </c>
      <c r="F1305" s="2"/>
      <c r="G1305" s="2"/>
      <c r="H1305" s="2"/>
      <c r="I1305" s="2"/>
      <c r="J1305" s="2"/>
      <c r="K1305" s="2"/>
      <c r="L1305" s="2"/>
      <c r="M1305" s="2"/>
      <c r="N1305" s="2"/>
      <c r="O1305" s="2"/>
    </row>
    <row r="1306" spans="1:15" x14ac:dyDescent="0.25">
      <c r="B1306" s="2" t="s">
        <v>293</v>
      </c>
      <c r="E1306" s="315">
        <f>O1299</f>
        <v>159.03</v>
      </c>
    </row>
    <row r="1307" spans="1:15" x14ac:dyDescent="0.25">
      <c r="D1307" s="340" t="s">
        <v>329</v>
      </c>
      <c r="E1307" s="339">
        <f>SUM(E1303:E1306)</f>
        <v>18784.64</v>
      </c>
    </row>
    <row r="1309" spans="1:15" ht="17.25" x14ac:dyDescent="0.25">
      <c r="A1309" s="28" t="s">
        <v>657</v>
      </c>
      <c r="B1309" s="28" t="s">
        <v>281</v>
      </c>
      <c r="C1309" s="28"/>
      <c r="D1309" s="28"/>
      <c r="E1309" s="28"/>
      <c r="F1309" s="28"/>
      <c r="G1309" s="28"/>
      <c r="H1309" s="28"/>
      <c r="I1309" s="28"/>
      <c r="J1309" s="28"/>
      <c r="K1309" s="28"/>
      <c r="L1309" s="28"/>
      <c r="M1309" s="28"/>
      <c r="N1309" s="28"/>
      <c r="O1309" s="28"/>
    </row>
    <row r="1310" spans="1:15" x14ac:dyDescent="0.25">
      <c r="B1310" s="2" t="s">
        <v>658</v>
      </c>
    </row>
    <row r="1312" spans="1:15" x14ac:dyDescent="0.25">
      <c r="B1312" s="4" t="s">
        <v>320</v>
      </c>
      <c r="C1312" s="2" t="s">
        <v>30</v>
      </c>
      <c r="E1312" s="2" t="s">
        <v>15</v>
      </c>
      <c r="H1312" s="4" t="s">
        <v>659</v>
      </c>
      <c r="K1312" s="4" t="s">
        <v>635</v>
      </c>
      <c r="L1312" s="4" t="s">
        <v>224</v>
      </c>
      <c r="M1312" s="4" t="s">
        <v>361</v>
      </c>
      <c r="N1312" s="4"/>
      <c r="O1312" s="337" t="s">
        <v>661</v>
      </c>
    </row>
    <row r="1313" spans="1:15" x14ac:dyDescent="0.25">
      <c r="B1313" s="4"/>
      <c r="H1313" s="4" t="s">
        <v>363</v>
      </c>
      <c r="K1313" s="4" t="s">
        <v>330</v>
      </c>
      <c r="L1313" s="4" t="s">
        <v>331</v>
      </c>
      <c r="M1313" s="4" t="s">
        <v>682</v>
      </c>
      <c r="N1313" s="4"/>
      <c r="O1313" s="337" t="s">
        <v>667</v>
      </c>
    </row>
    <row r="1314" spans="1:15" x14ac:dyDescent="0.25">
      <c r="B1314" s="4" t="s">
        <v>282</v>
      </c>
      <c r="C1314" s="2" t="str">
        <f>VLOOKUP(B1314,'Imóveis-Mobiliários-Cestas-Dive'!$B$2:$F$13,3,0)</f>
        <v>Escritório</v>
      </c>
      <c r="E1314" s="2" t="s">
        <v>283</v>
      </c>
      <c r="H1314" s="2">
        <f>VLOOKUP(B1314,'Imóveis-Mobiliários-Cestas-Dive'!$B$2:$F$13,5,0)</f>
        <v>467.45</v>
      </c>
      <c r="K1314" s="2">
        <f>F1280</f>
        <v>13</v>
      </c>
      <c r="L1314" s="238">
        <f>$L$1267</f>
        <v>130.28571428571428</v>
      </c>
      <c r="M1314" s="2">
        <f>L1314/30</f>
        <v>4.3428571428571425</v>
      </c>
      <c r="O1314" s="362">
        <f>TRUNC(H1314*K1314*M1314,2)</f>
        <v>26390.89</v>
      </c>
    </row>
    <row r="1315" spans="1:15" x14ac:dyDescent="0.25">
      <c r="B1315" s="4" t="s">
        <v>282</v>
      </c>
      <c r="C1315" s="2" t="str">
        <f>VLOOKUP(B1315,'Imóveis-Mobiliários-Cestas-Dive'!$B$2:$F$13,3,0)</f>
        <v>Escritório</v>
      </c>
      <c r="E1315" s="2" t="s">
        <v>643</v>
      </c>
      <c r="H1315" s="2">
        <f>VLOOKUP(B1315,'Imóveis-Mobiliários-Cestas-Dive'!$B$2:$F$13,5,0)</f>
        <v>467.45</v>
      </c>
      <c r="K1315" s="2">
        <f>L1273</f>
        <v>3</v>
      </c>
      <c r="L1315" s="2">
        <f>K1294</f>
        <v>1</v>
      </c>
      <c r="M1315" s="2">
        <f>L1315/30</f>
        <v>3.3333333333333333E-2</v>
      </c>
      <c r="O1315" s="362">
        <f t="shared" ref="O1315:O1317" si="18">TRUNC(H1315*K1315*M1315,2)</f>
        <v>46.74</v>
      </c>
    </row>
    <row r="1316" spans="1:15" s="334" customFormat="1" ht="21" x14ac:dyDescent="0.25">
      <c r="A1316" s="2"/>
      <c r="B1316" s="4" t="s">
        <v>282</v>
      </c>
      <c r="C1316" s="2" t="str">
        <f>VLOOKUP(B1316,'Imóveis-Mobiliários-Cestas-Dive'!$B$2:$F$13,3,0)</f>
        <v>Escritório</v>
      </c>
      <c r="D1316" s="2"/>
      <c r="E1316" s="2" t="s">
        <v>293</v>
      </c>
      <c r="F1316" s="2"/>
      <c r="G1316" s="2"/>
      <c r="H1316" s="2">
        <f>VLOOKUP(B1316,'Imóveis-Mobiliários-Cestas-Dive'!$B$2:$F$13,5,0)</f>
        <v>467.45</v>
      </c>
      <c r="I1316" s="2"/>
      <c r="J1316" s="2"/>
      <c r="K1316" s="2">
        <f>G1275</f>
        <v>2</v>
      </c>
      <c r="L1316" s="2">
        <f>K1299</f>
        <v>9</v>
      </c>
      <c r="M1316" s="2">
        <f>L1316/30</f>
        <v>0.3</v>
      </c>
      <c r="N1316" s="2"/>
      <c r="O1316" s="362">
        <f t="shared" si="18"/>
        <v>280.47000000000003</v>
      </c>
    </row>
    <row r="1317" spans="1:15" s="84" customFormat="1" x14ac:dyDescent="0.25">
      <c r="A1317" s="2"/>
      <c r="B1317" s="4" t="s">
        <v>285</v>
      </c>
      <c r="C1317" s="2" t="str">
        <f>VLOOKUP(B1317,'Imóveis-Mobiliários-Cestas-Dive'!$B$2:$F$13,3,0)</f>
        <v>Residência</v>
      </c>
      <c r="D1317" s="2"/>
      <c r="E1317" s="2" t="s">
        <v>286</v>
      </c>
      <c r="F1317" s="2"/>
      <c r="G1317" s="2"/>
      <c r="H1317" s="2">
        <f>VLOOKUP(B1317,'Imóveis-Mobiliários-Cestas-Dive'!$B$2:$F$13,5,0)</f>
        <v>42.11</v>
      </c>
      <c r="I1317" s="2"/>
      <c r="J1317" s="2"/>
      <c r="K1317" s="2">
        <f>F1289</f>
        <v>5</v>
      </c>
      <c r="L1317" s="238">
        <f>J1289</f>
        <v>5.8333333333333339</v>
      </c>
      <c r="M1317" s="2">
        <f>L1317/30</f>
        <v>0.19444444444444448</v>
      </c>
      <c r="N1317" s="2"/>
      <c r="O1317" s="362">
        <f t="shared" si="18"/>
        <v>40.94</v>
      </c>
    </row>
    <row r="1318" spans="1:15" s="84" customFormat="1" x14ac:dyDescent="0.25">
      <c r="A1318" s="2"/>
      <c r="B1318" s="4"/>
      <c r="C1318" s="2"/>
      <c r="D1318" s="2"/>
      <c r="E1318" s="2"/>
      <c r="F1318" s="2"/>
      <c r="G1318" s="2"/>
      <c r="H1318" s="2"/>
      <c r="I1318" s="2"/>
      <c r="J1318" s="2"/>
      <c r="K1318" s="2"/>
      <c r="L1318" s="2"/>
      <c r="M1318" s="2"/>
      <c r="N1318" s="340" t="s">
        <v>329</v>
      </c>
      <c r="O1318" s="352">
        <f>SUM(O1314:O1317)</f>
        <v>26759.040000000001</v>
      </c>
    </row>
    <row r="1319" spans="1:15" x14ac:dyDescent="0.25">
      <c r="A1319" s="4"/>
    </row>
    <row r="1320" spans="1:15" ht="21" x14ac:dyDescent="0.25">
      <c r="A1320" s="334" t="s">
        <v>662</v>
      </c>
      <c r="B1320" s="334" t="s">
        <v>663</v>
      </c>
      <c r="C1320" s="334"/>
      <c r="D1320" s="334"/>
      <c r="E1320" s="334"/>
      <c r="F1320" s="332"/>
      <c r="G1320" s="334"/>
      <c r="H1320" s="334"/>
      <c r="I1320" s="332"/>
      <c r="J1320" s="332"/>
      <c r="K1320" s="332"/>
      <c r="L1320" s="332"/>
      <c r="M1320" s="363"/>
      <c r="N1320" s="334"/>
      <c r="O1320" s="334"/>
    </row>
    <row r="1321" spans="1:15" x14ac:dyDescent="0.25">
      <c r="B1321" s="2" t="s">
        <v>664</v>
      </c>
      <c r="F1321" s="4"/>
      <c r="I1321" s="4"/>
      <c r="J1321" s="4"/>
      <c r="K1321" s="4"/>
      <c r="L1321" s="4"/>
      <c r="M1321" s="338"/>
    </row>
    <row r="1322" spans="1:15" x14ac:dyDescent="0.25">
      <c r="B1322" s="4"/>
      <c r="M1322" s="352"/>
    </row>
    <row r="1323" spans="1:15" x14ac:dyDescent="0.25">
      <c r="B1323" s="4" t="s">
        <v>320</v>
      </c>
      <c r="C1323" s="2" t="s">
        <v>30</v>
      </c>
      <c r="E1323" s="2" t="s">
        <v>15</v>
      </c>
      <c r="H1323" s="4" t="s">
        <v>665</v>
      </c>
      <c r="I1323" s="4"/>
      <c r="J1323" s="4" t="s">
        <v>635</v>
      </c>
      <c r="K1323" s="4" t="s">
        <v>224</v>
      </c>
      <c r="L1323" s="4" t="s">
        <v>361</v>
      </c>
      <c r="M1323" s="4"/>
      <c r="N1323" s="4" t="s">
        <v>666</v>
      </c>
    </row>
    <row r="1324" spans="1:15" x14ac:dyDescent="0.25">
      <c r="B1324" s="4"/>
      <c r="H1324" s="4" t="s">
        <v>363</v>
      </c>
      <c r="I1324" s="4"/>
      <c r="J1324" s="4" t="s">
        <v>330</v>
      </c>
      <c r="K1324" s="4" t="s">
        <v>331</v>
      </c>
      <c r="L1324" s="4" t="s">
        <v>331</v>
      </c>
      <c r="M1324" s="4"/>
      <c r="N1324" s="337" t="s">
        <v>667</v>
      </c>
    </row>
    <row r="1325" spans="1:15" x14ac:dyDescent="0.25">
      <c r="B1325" s="4" t="s">
        <v>296</v>
      </c>
      <c r="C1325" s="2" t="str">
        <f>VLOOKUP(B1325,'Imóveis-Mobiliários-Cestas-Dive'!$B$2:$F$13,3,0)</f>
        <v>Escritório</v>
      </c>
      <c r="E1325" s="2" t="s">
        <v>283</v>
      </c>
      <c r="H1325" s="2">
        <f>VLOOKUP(B1325,'Imóveis-Mobiliários-Cestas-Dive'!$B$2:$F$13,5,0)</f>
        <v>137.55000000000001</v>
      </c>
      <c r="J1325" s="2">
        <f>K1314</f>
        <v>13</v>
      </c>
      <c r="K1325" s="238">
        <f t="shared" ref="K1325:K1328" si="19">L1314</f>
        <v>130.28571428571428</v>
      </c>
      <c r="L1325" s="2">
        <f>K1325/30</f>
        <v>4.3428571428571425</v>
      </c>
      <c r="N1325" s="362">
        <f>TRUNC(H1325*J1325*L1325,2)</f>
        <v>7765.68</v>
      </c>
    </row>
    <row r="1326" spans="1:15" x14ac:dyDescent="0.25">
      <c r="B1326" s="4" t="s">
        <v>296</v>
      </c>
      <c r="C1326" s="2" t="str">
        <f>VLOOKUP(B1326,'Imóveis-Mobiliários-Cestas-Dive'!$B$2:$F$13,3,0)</f>
        <v>Escritório</v>
      </c>
      <c r="E1326" s="2" t="s">
        <v>643</v>
      </c>
      <c r="H1326" s="2">
        <f>VLOOKUP(B1326,'Imóveis-Mobiliários-Cestas-Dive'!$B$2:$F$13,5,0)</f>
        <v>137.55000000000001</v>
      </c>
      <c r="J1326" s="2">
        <f>K1315</f>
        <v>3</v>
      </c>
      <c r="K1326" s="238">
        <f t="shared" si="19"/>
        <v>1</v>
      </c>
      <c r="L1326" s="2">
        <f>K1326/30</f>
        <v>3.3333333333333333E-2</v>
      </c>
      <c r="N1326" s="362">
        <f t="shared" ref="N1326:N1328" si="20">TRUNC(H1326*J1326*L1326,2)</f>
        <v>13.75</v>
      </c>
    </row>
    <row r="1327" spans="1:15" x14ac:dyDescent="0.25">
      <c r="B1327" s="4" t="s">
        <v>296</v>
      </c>
      <c r="C1327" s="2" t="str">
        <f>VLOOKUP(B1327,'Imóveis-Mobiliários-Cestas-Dive'!$B$2:$F$13,3,0)</f>
        <v>Escritório</v>
      </c>
      <c r="E1327" s="2" t="s">
        <v>293</v>
      </c>
      <c r="H1327" s="2">
        <f>VLOOKUP(B1327,'Imóveis-Mobiliários-Cestas-Dive'!$B$2:$F$13,5,0)</f>
        <v>137.55000000000001</v>
      </c>
      <c r="J1327" s="2">
        <f>K1316</f>
        <v>2</v>
      </c>
      <c r="K1327" s="238">
        <f t="shared" si="19"/>
        <v>9</v>
      </c>
      <c r="L1327" s="2">
        <f>K1327/30</f>
        <v>0.3</v>
      </c>
      <c r="N1327" s="362">
        <f t="shared" si="20"/>
        <v>82.53</v>
      </c>
    </row>
    <row r="1328" spans="1:15" x14ac:dyDescent="0.25">
      <c r="B1328" s="4" t="s">
        <v>297</v>
      </c>
      <c r="C1328" s="2" t="str">
        <f>VLOOKUP(B1328,'Imóveis-Mobiliários-Cestas-Dive'!$B$2:$F$13,3,0)</f>
        <v>Residência</v>
      </c>
      <c r="E1328" s="2" t="s">
        <v>286</v>
      </c>
      <c r="H1328" s="2">
        <f>VLOOKUP(B1328,'Imóveis-Mobiliários-Cestas-Dive'!$B$2:$F$13,5,0)</f>
        <v>204.08</v>
      </c>
      <c r="J1328" s="2">
        <f>K1317</f>
        <v>5</v>
      </c>
      <c r="K1328" s="238">
        <f t="shared" si="19"/>
        <v>5.8333333333333339</v>
      </c>
      <c r="L1328" s="2">
        <f>K1328/30</f>
        <v>0.19444444444444448</v>
      </c>
      <c r="N1328" s="362">
        <f t="shared" si="20"/>
        <v>198.41</v>
      </c>
    </row>
    <row r="1329" spans="1:15" x14ac:dyDescent="0.25">
      <c r="E1329" s="4"/>
      <c r="H1329" s="4"/>
      <c r="I1329" s="4"/>
      <c r="M1329" s="340" t="s">
        <v>329</v>
      </c>
      <c r="N1329" s="352">
        <f>SUM(N1325:N1328)</f>
        <v>8060.37</v>
      </c>
    </row>
    <row r="1331" spans="1:15" ht="21" hidden="1" x14ac:dyDescent="0.25">
      <c r="A1331" s="334">
        <v>3</v>
      </c>
      <c r="B1331" s="334" t="s">
        <v>668</v>
      </c>
      <c r="C1331" s="334"/>
      <c r="D1331" s="334"/>
      <c r="E1331" s="334"/>
      <c r="F1331" s="334"/>
      <c r="G1331" s="334"/>
      <c r="H1331" s="334"/>
      <c r="I1331" s="334"/>
      <c r="J1331" s="334"/>
      <c r="K1331" s="334"/>
      <c r="L1331" s="334"/>
      <c r="M1331" s="334"/>
      <c r="N1331" s="334"/>
      <c r="O1331" s="334"/>
    </row>
    <row r="1332" spans="1:15" hidden="1" x14ac:dyDescent="0.25">
      <c r="A1332" s="84"/>
      <c r="B1332" s="364" t="s">
        <v>784</v>
      </c>
      <c r="C1332" s="364"/>
      <c r="D1332" s="364"/>
      <c r="E1332" s="84"/>
      <c r="F1332" s="84"/>
      <c r="G1332" s="84"/>
      <c r="H1332" s="84"/>
      <c r="I1332" s="84"/>
      <c r="J1332" s="84"/>
      <c r="K1332" s="84"/>
      <c r="L1332" s="84"/>
      <c r="M1332" s="84"/>
      <c r="N1332" s="84"/>
      <c r="O1332" s="84"/>
    </row>
    <row r="1333" spans="1:15" hidden="1" x14ac:dyDescent="0.25">
      <c r="A1333" s="84"/>
      <c r="B1333" s="84"/>
      <c r="C1333" s="84"/>
      <c r="D1333" s="84"/>
      <c r="E1333" s="84"/>
      <c r="F1333" s="84"/>
      <c r="G1333" s="84"/>
      <c r="H1333" s="84"/>
      <c r="I1333" s="84"/>
      <c r="J1333" s="84"/>
      <c r="K1333" s="84"/>
      <c r="L1333" s="84"/>
      <c r="M1333" s="84"/>
      <c r="N1333" s="84"/>
      <c r="O1333" s="84"/>
    </row>
    <row r="1334" spans="1:15" hidden="1" x14ac:dyDescent="0.25">
      <c r="B1334" s="2" t="s">
        <v>15</v>
      </c>
      <c r="F1334" s="2" t="s">
        <v>368</v>
      </c>
      <c r="G1334" s="2" t="s">
        <v>357</v>
      </c>
    </row>
    <row r="1335" spans="1:15" hidden="1" x14ac:dyDescent="0.25">
      <c r="B1335" s="2" t="s">
        <v>369</v>
      </c>
      <c r="F1335" s="365">
        <v>45200</v>
      </c>
      <c r="G1335" s="2">
        <f>Listas!$V$3</f>
        <v>289.58300000000003</v>
      </c>
    </row>
    <row r="1336" spans="1:15" hidden="1" x14ac:dyDescent="0.25">
      <c r="B1336" s="2" t="s">
        <v>369</v>
      </c>
      <c r="F1336" s="365" t="str">
        <f>Listas!D20</f>
        <v>ABRIL/25</v>
      </c>
      <c r="G1336" s="2">
        <f>Listas!D22</f>
        <v>303.67500000000001</v>
      </c>
    </row>
    <row r="1337" spans="1:15" hidden="1" x14ac:dyDescent="0.25">
      <c r="B1337" s="2" t="s">
        <v>370</v>
      </c>
      <c r="F1337" s="4" t="s">
        <v>259</v>
      </c>
      <c r="G1337" s="345">
        <f>G1336/G1335-1</f>
        <v>4.8663077597787208E-2</v>
      </c>
    </row>
    <row r="1338" spans="1:15" hidden="1" x14ac:dyDescent="0.25"/>
    <row r="1339" spans="1:15" hidden="1" x14ac:dyDescent="0.25">
      <c r="B1339" s="2" t="s">
        <v>15</v>
      </c>
      <c r="E1339" s="4" t="s">
        <v>669</v>
      </c>
      <c r="F1339" s="4"/>
      <c r="G1339" s="4" t="s">
        <v>515</v>
      </c>
      <c r="H1339" s="4"/>
      <c r="I1339" s="4" t="s">
        <v>670</v>
      </c>
      <c r="K1339" s="4"/>
      <c r="L1339" s="4" t="s">
        <v>671</v>
      </c>
    </row>
    <row r="1340" spans="1:15" hidden="1" x14ac:dyDescent="0.25">
      <c r="E1340" s="4"/>
      <c r="F1340" s="4"/>
      <c r="G1340" s="4" t="s">
        <v>363</v>
      </c>
      <c r="H1340" s="4"/>
      <c r="I1340" s="4" t="s">
        <v>330</v>
      </c>
      <c r="K1340" s="4"/>
      <c r="L1340" s="4" t="s">
        <v>672</v>
      </c>
    </row>
    <row r="1341" spans="1:15" hidden="1" x14ac:dyDescent="0.25">
      <c r="B1341" s="2" t="s">
        <v>673</v>
      </c>
      <c r="E1341" s="2" t="s">
        <v>743</v>
      </c>
      <c r="G1341" s="21">
        <v>1.45</v>
      </c>
      <c r="I1341" s="366">
        <f t="shared" ref="I1341:I1346" si="21">$G$1337</f>
        <v>4.8663077597787208E-2</v>
      </c>
      <c r="L1341" s="274">
        <f t="shared" ref="L1341:L1346" si="22">G1341*(1+I1341)</f>
        <v>1.5205614625167914</v>
      </c>
    </row>
    <row r="1342" spans="1:15" hidden="1" x14ac:dyDescent="0.25">
      <c r="B1342" s="2" t="s">
        <v>673</v>
      </c>
      <c r="E1342" s="2" t="s">
        <v>675</v>
      </c>
      <c r="G1342" s="21">
        <v>0.9</v>
      </c>
      <c r="I1342" s="366">
        <f t="shared" si="21"/>
        <v>4.8663077597787208E-2</v>
      </c>
      <c r="L1342" s="274">
        <f t="shared" si="22"/>
        <v>0.94379676983800853</v>
      </c>
    </row>
    <row r="1343" spans="1:15" hidden="1" x14ac:dyDescent="0.25">
      <c r="B1343" s="2" t="s">
        <v>673</v>
      </c>
      <c r="E1343" s="2" t="s">
        <v>744</v>
      </c>
      <c r="G1343" s="21">
        <v>0.85</v>
      </c>
      <c r="I1343" s="366">
        <f t="shared" si="21"/>
        <v>4.8663077597787208E-2</v>
      </c>
      <c r="L1343" s="274">
        <f t="shared" si="22"/>
        <v>0.89136361595811908</v>
      </c>
    </row>
    <row r="1344" spans="1:15" hidden="1" x14ac:dyDescent="0.25">
      <c r="B1344" s="2" t="s">
        <v>674</v>
      </c>
      <c r="E1344" s="2" t="s">
        <v>743</v>
      </c>
      <c r="G1344" s="21">
        <v>2.06</v>
      </c>
      <c r="I1344" s="366">
        <f t="shared" si="21"/>
        <v>4.8663077597787208E-2</v>
      </c>
      <c r="L1344" s="274">
        <f t="shared" si="22"/>
        <v>2.1602459398514418</v>
      </c>
    </row>
    <row r="1345" spans="1:15" hidden="1" x14ac:dyDescent="0.25">
      <c r="B1345" s="2" t="s">
        <v>674</v>
      </c>
      <c r="E1345" s="2" t="s">
        <v>675</v>
      </c>
      <c r="G1345" s="21">
        <v>2</v>
      </c>
      <c r="I1345" s="366">
        <f t="shared" si="21"/>
        <v>4.8663077597787208E-2</v>
      </c>
      <c r="L1345" s="274">
        <f t="shared" si="22"/>
        <v>2.0973261551955744</v>
      </c>
    </row>
    <row r="1346" spans="1:15" hidden="1" x14ac:dyDescent="0.25">
      <c r="B1346" s="2" t="s">
        <v>674</v>
      </c>
      <c r="E1346" s="2" t="s">
        <v>744</v>
      </c>
      <c r="G1346" s="21">
        <v>2</v>
      </c>
      <c r="I1346" s="366">
        <f t="shared" si="21"/>
        <v>4.8663077597787208E-2</v>
      </c>
      <c r="L1346" s="274">
        <f t="shared" si="22"/>
        <v>2.0973261551955744</v>
      </c>
    </row>
    <row r="1347" spans="1:15" hidden="1" x14ac:dyDescent="0.25"/>
    <row r="1348" spans="1:15" hidden="1" x14ac:dyDescent="0.25">
      <c r="B1348" s="2" t="s">
        <v>359</v>
      </c>
    </row>
    <row r="1349" spans="1:15" hidden="1" x14ac:dyDescent="0.25">
      <c r="B1349" s="2" t="s">
        <v>15</v>
      </c>
      <c r="E1349" s="4" t="s">
        <v>745</v>
      </c>
    </row>
    <row r="1350" spans="1:15" hidden="1" x14ac:dyDescent="0.25">
      <c r="B1350" s="2" t="s">
        <v>673</v>
      </c>
      <c r="E1350" s="2">
        <f>SMALL(L1341:L1343,1)</f>
        <v>0.89136361595811908</v>
      </c>
    </row>
    <row r="1351" spans="1:15" hidden="1" x14ac:dyDescent="0.25">
      <c r="B1351" s="2" t="s">
        <v>674</v>
      </c>
      <c r="E1351" s="2">
        <f>SMALL(L1344:L1346,1)</f>
        <v>2.0973261551955744</v>
      </c>
    </row>
    <row r="1353" spans="1:15" ht="17.25" x14ac:dyDescent="0.25">
      <c r="A1353" s="336" t="s">
        <v>1178</v>
      </c>
      <c r="B1353" s="336" t="s">
        <v>1179</v>
      </c>
      <c r="C1353" s="350"/>
      <c r="D1353" s="350"/>
    </row>
    <row r="1354" spans="1:15" x14ac:dyDescent="0.25">
      <c r="A1354" s="2" t="s">
        <v>1006</v>
      </c>
      <c r="B1354" s="2" t="s">
        <v>1182</v>
      </c>
    </row>
    <row r="1355" spans="1:15" x14ac:dyDescent="0.25">
      <c r="A1355" s="4" t="s">
        <v>61</v>
      </c>
      <c r="B1355" s="2" t="s">
        <v>338</v>
      </c>
    </row>
    <row r="1356" spans="1:15" x14ac:dyDescent="0.25">
      <c r="A1356" s="4"/>
      <c r="B1356" s="2" t="s">
        <v>15</v>
      </c>
      <c r="F1356" s="4" t="s">
        <v>414</v>
      </c>
      <c r="H1356" s="4" t="s">
        <v>856</v>
      </c>
      <c r="J1356" s="4" t="s">
        <v>224</v>
      </c>
      <c r="K1356" s="2" t="s">
        <v>855</v>
      </c>
      <c r="M1356" s="2" t="s">
        <v>325</v>
      </c>
      <c r="O1356" s="2" t="s">
        <v>381</v>
      </c>
    </row>
    <row r="1357" spans="1:15" x14ac:dyDescent="0.25">
      <c r="A1357" s="4"/>
      <c r="B1357" s="2" t="s">
        <v>1183</v>
      </c>
      <c r="F1357" s="358">
        <v>1</v>
      </c>
      <c r="H1357" s="238">
        <v>1</v>
      </c>
      <c r="I1357" s="4"/>
      <c r="J1357" s="2">
        <f>1/H1357</f>
        <v>1</v>
      </c>
      <c r="K1357" s="238">
        <f>'Carac trecho'!C342</f>
        <v>0</v>
      </c>
      <c r="M1357" s="238">
        <v>3</v>
      </c>
      <c r="O1357" s="2">
        <f>ROUNDUP(M1357*Listas!$E$5,0)</f>
        <v>4</v>
      </c>
    </row>
    <row r="1358" spans="1:15" x14ac:dyDescent="0.25">
      <c r="A1358" s="4"/>
      <c r="B1358" s="2" t="s">
        <v>487</v>
      </c>
      <c r="F1358" s="358">
        <v>0</v>
      </c>
      <c r="H1358" s="359">
        <v>0</v>
      </c>
      <c r="I1358" s="4"/>
      <c r="J1358" s="359">
        <v>0</v>
      </c>
      <c r="K1358" s="359">
        <v>0</v>
      </c>
      <c r="M1358" s="238">
        <f>M1357*F1358</f>
        <v>0</v>
      </c>
      <c r="O1358" s="238">
        <f>ROUNDUP(O1357*F1358,0)</f>
        <v>0</v>
      </c>
    </row>
    <row r="1359" spans="1:15" x14ac:dyDescent="0.25">
      <c r="A1359" s="4"/>
      <c r="B1359" s="2" t="s">
        <v>592</v>
      </c>
      <c r="F1359" s="358">
        <v>1</v>
      </c>
      <c r="H1359" s="359">
        <v>0</v>
      </c>
      <c r="I1359" s="4"/>
      <c r="J1359" s="359">
        <v>0</v>
      </c>
      <c r="K1359" s="359">
        <v>0</v>
      </c>
      <c r="M1359" s="238">
        <f>M1357*F1359</f>
        <v>3</v>
      </c>
      <c r="O1359" s="238">
        <f>O1357-O1358</f>
        <v>4</v>
      </c>
    </row>
    <row r="1360" spans="1:15" x14ac:dyDescent="0.25">
      <c r="A1360" s="4"/>
      <c r="F1360" s="358"/>
      <c r="H1360" s="359"/>
      <c r="I1360" s="4"/>
      <c r="J1360" s="359"/>
      <c r="K1360" s="359"/>
      <c r="L1360" s="2" t="s">
        <v>329</v>
      </c>
      <c r="M1360" s="238">
        <f>SUM(M1358:M1359)</f>
        <v>3</v>
      </c>
      <c r="O1360" s="238"/>
    </row>
    <row r="1361" spans="1:20" x14ac:dyDescent="0.25">
      <c r="A1361" s="4"/>
    </row>
    <row r="1362" spans="1:20" x14ac:dyDescent="0.25">
      <c r="A1362" s="4"/>
      <c r="B1362" s="4" t="s">
        <v>360</v>
      </c>
      <c r="C1362" s="2" t="s">
        <v>15</v>
      </c>
      <c r="F1362" s="4" t="s">
        <v>321</v>
      </c>
      <c r="G1362" s="4"/>
      <c r="H1362" s="4" t="s">
        <v>322</v>
      </c>
      <c r="I1362" s="4" t="s">
        <v>323</v>
      </c>
      <c r="J1362" s="4"/>
      <c r="K1362" s="4" t="s">
        <v>324</v>
      </c>
      <c r="L1362" s="4"/>
      <c r="M1362" s="4" t="s">
        <v>325</v>
      </c>
      <c r="N1362" s="4"/>
      <c r="O1362" s="4" t="s">
        <v>326</v>
      </c>
      <c r="Q1362" s="4" t="s">
        <v>327</v>
      </c>
      <c r="R1362" s="4"/>
      <c r="S1362" s="4" t="s">
        <v>328</v>
      </c>
      <c r="T1362" s="337" t="s">
        <v>329</v>
      </c>
    </row>
    <row r="1363" spans="1:20" x14ac:dyDescent="0.25">
      <c r="A1363" s="4"/>
      <c r="B1363" s="4"/>
      <c r="F1363" s="4"/>
      <c r="G1363" s="4"/>
      <c r="H1363" s="4" t="s">
        <v>330</v>
      </c>
      <c r="I1363" s="4" t="s">
        <v>331</v>
      </c>
      <c r="J1363" s="4"/>
      <c r="K1363" s="4" t="s">
        <v>332</v>
      </c>
      <c r="L1363" s="4"/>
      <c r="M1363" s="4" t="s">
        <v>333</v>
      </c>
      <c r="N1363" s="4"/>
      <c r="O1363" s="4" t="s">
        <v>334</v>
      </c>
      <c r="Q1363" s="4" t="s">
        <v>335</v>
      </c>
      <c r="R1363" s="4"/>
      <c r="S1363" s="4" t="s">
        <v>336</v>
      </c>
      <c r="T1363" s="337" t="s">
        <v>337</v>
      </c>
    </row>
    <row r="1364" spans="1:20" x14ac:dyDescent="0.25">
      <c r="A1364" s="4"/>
      <c r="B1364" s="4" t="s">
        <v>98</v>
      </c>
      <c r="C1364" s="2" t="str">
        <f ca="1">IFERROR(VLOOKUP(B1364,MO_Matriz,2,0),"")</f>
        <v>Engenheiro ambiental pleno</v>
      </c>
      <c r="F1364" s="4" t="str">
        <f ca="1">IFERROR(VLOOKUP(B1364,MO_Matriz,3,0),"")</f>
        <v>S</v>
      </c>
      <c r="H1364" s="2">
        <v>1</v>
      </c>
      <c r="I1364" s="2">
        <v>1</v>
      </c>
      <c r="K1364" s="2">
        <f>Listas!$B$6</f>
        <v>7.333333333333333</v>
      </c>
      <c r="M1364" s="238">
        <f>$M$1357</f>
        <v>3</v>
      </c>
      <c r="O1364" s="2">
        <f>H1364*I1364*K1364*M1364</f>
        <v>22</v>
      </c>
      <c r="Q1364" s="2">
        <f>O1364/220</f>
        <v>0.1</v>
      </c>
      <c r="S1364" s="315">
        <f ca="1">IFERROR(VLOOKUP(B1364,MO_Matriz,5,0),"")</f>
        <v>26558.86</v>
      </c>
      <c r="T1364" s="347">
        <f ca="1">Q1364*S1364</f>
        <v>2655.8860000000004</v>
      </c>
    </row>
    <row r="1365" spans="1:20" x14ac:dyDescent="0.25">
      <c r="A1365" s="4"/>
      <c r="B1365" s="4" t="s">
        <v>167</v>
      </c>
      <c r="C1365" s="2" t="str">
        <f ca="1">IFERROR(VLOOKUP(B1365,MO_Matriz,2,0),"")</f>
        <v>Técnico ambiental</v>
      </c>
      <c r="F1365" s="4" t="str">
        <f ca="1">IFERROR(VLOOKUP(B1365,MO_Matriz,3,0),"")</f>
        <v>T</v>
      </c>
      <c r="H1365" s="2">
        <v>1</v>
      </c>
      <c r="I1365" s="2">
        <v>1</v>
      </c>
      <c r="K1365" s="2">
        <f>Listas!$B$6</f>
        <v>7.333333333333333</v>
      </c>
      <c r="M1365" s="238">
        <f>$M$1357/2</f>
        <v>1.5</v>
      </c>
      <c r="O1365" s="2">
        <f>H1365*I1365*K1365*M1365</f>
        <v>11</v>
      </c>
      <c r="Q1365" s="2">
        <f>O1365/220</f>
        <v>0.05</v>
      </c>
      <c r="S1365" s="315">
        <f ca="1">IFERROR(VLOOKUP(B1365,MO_Matriz,5,0),"")</f>
        <v>6565.04</v>
      </c>
      <c r="T1365" s="347">
        <f ca="1">Q1365*S1365</f>
        <v>328.25200000000001</v>
      </c>
    </row>
    <row r="1366" spans="1:20" x14ac:dyDescent="0.25">
      <c r="A1366" s="4"/>
      <c r="B1366" s="4" t="s">
        <v>70</v>
      </c>
      <c r="C1366" s="2" t="str">
        <f ca="1">IFERROR(VLOOKUP(B1366,MO_Matriz,2,0),"")</f>
        <v>Biólogo pleno</v>
      </c>
      <c r="F1366" s="4" t="str">
        <f ca="1">IFERROR(VLOOKUP(B1366,MO_Matriz,3,0),"")</f>
        <v>S</v>
      </c>
      <c r="H1366" s="2">
        <v>1</v>
      </c>
      <c r="I1366" s="2">
        <v>1</v>
      </c>
      <c r="K1366" s="2">
        <f>Listas!$B$6</f>
        <v>7.333333333333333</v>
      </c>
      <c r="M1366" s="238">
        <f>$M$1357/2</f>
        <v>1.5</v>
      </c>
      <c r="O1366" s="2">
        <f>H1366*I1366*K1366*M1366</f>
        <v>11</v>
      </c>
      <c r="Q1366" s="2">
        <f>O1366/220</f>
        <v>0.05</v>
      </c>
      <c r="S1366" s="315">
        <f ca="1">IFERROR(VLOOKUP(B1366,MO_Matriz,5,0),"")</f>
        <v>8820.85</v>
      </c>
      <c r="T1366" s="347">
        <f ca="1">Q1366*S1366</f>
        <v>441.04250000000002</v>
      </c>
    </row>
    <row r="1367" spans="1:20" x14ac:dyDescent="0.25">
      <c r="A1367" s="4"/>
      <c r="B1367" s="4" t="s">
        <v>59</v>
      </c>
      <c r="C1367" s="2" t="str">
        <f ca="1">IFERROR(VLOOKUP(B1367,MO_Matriz,2,0),"")</f>
        <v>Auxiliar</v>
      </c>
      <c r="F1367" s="4" t="str">
        <f ca="1">IFERROR(VLOOKUP(B1367,MO_Matriz,3,0),"")</f>
        <v>A</v>
      </c>
      <c r="H1367" s="2">
        <v>1</v>
      </c>
      <c r="I1367" s="2">
        <v>1</v>
      </c>
      <c r="K1367" s="2">
        <f>Listas!$B$6</f>
        <v>7.333333333333333</v>
      </c>
      <c r="M1367" s="238">
        <f>$M$1357/2</f>
        <v>1.5</v>
      </c>
      <c r="O1367" s="2">
        <f>H1367*I1367*K1367*M1367</f>
        <v>11</v>
      </c>
      <c r="Q1367" s="2">
        <f>O1367/220</f>
        <v>0.05</v>
      </c>
      <c r="S1367" s="315">
        <f ca="1">IFERROR(VLOOKUP(B1367,MO_Matriz,5,0),"")</f>
        <v>4276.41</v>
      </c>
      <c r="T1367" s="347">
        <f ca="1">Q1367*S1367</f>
        <v>213.82050000000001</v>
      </c>
    </row>
    <row r="1368" spans="1:20" x14ac:dyDescent="0.25">
      <c r="A1368" s="4"/>
      <c r="S1368" s="340" t="s">
        <v>329</v>
      </c>
      <c r="T1368" s="339">
        <f ca="1">SUM(T1364:T1367)</f>
        <v>3639.0010000000002</v>
      </c>
    </row>
    <row r="1369" spans="1:20" x14ac:dyDescent="0.25">
      <c r="A1369" s="4"/>
    </row>
    <row r="1370" spans="1:20" x14ac:dyDescent="0.25">
      <c r="A1370" s="337" t="s">
        <v>339</v>
      </c>
      <c r="B1370" s="2" t="s">
        <v>340</v>
      </c>
    </row>
    <row r="1371" spans="1:20" x14ac:dyDescent="0.25">
      <c r="B1371" s="2" t="s">
        <v>341</v>
      </c>
    </row>
    <row r="1373" spans="1:20" x14ac:dyDescent="0.25">
      <c r="A1373" s="4" t="s">
        <v>348</v>
      </c>
      <c r="B1373" s="2" t="s">
        <v>349</v>
      </c>
    </row>
    <row r="1374" spans="1:20" x14ac:dyDescent="0.25">
      <c r="A1374" s="4" t="s">
        <v>451</v>
      </c>
      <c r="B1374" s="2" t="s">
        <v>452</v>
      </c>
    </row>
    <row r="1375" spans="1:20" x14ac:dyDescent="0.25">
      <c r="B1375" s="4" t="s">
        <v>360</v>
      </c>
      <c r="C1375" s="2" t="s">
        <v>15</v>
      </c>
      <c r="F1375" s="4" t="s">
        <v>321</v>
      </c>
      <c r="G1375" s="4"/>
      <c r="H1375" s="4" t="s">
        <v>453</v>
      </c>
      <c r="I1375" s="4"/>
      <c r="J1375" s="4" t="s">
        <v>454</v>
      </c>
    </row>
    <row r="1376" spans="1:20" x14ac:dyDescent="0.25">
      <c r="B1376" s="4" t="str">
        <f>B1364</f>
        <v>P8058</v>
      </c>
      <c r="C1376" s="2" t="str">
        <f ca="1">IFERROR(VLOOKUP(B1376,MO_Matriz,2,0),"")</f>
        <v>Engenheiro ambiental pleno</v>
      </c>
      <c r="F1376" s="4" t="str">
        <f ca="1">IFERROR(VLOOKUP(B1376,MO_Matriz,3,0),"")</f>
        <v>S</v>
      </c>
      <c r="H1376" s="2" t="s">
        <v>455</v>
      </c>
      <c r="J1376" s="2">
        <v>1</v>
      </c>
    </row>
    <row r="1377" spans="1:10" x14ac:dyDescent="0.25">
      <c r="B1377" s="4" t="str">
        <f>B1365</f>
        <v>P8143</v>
      </c>
      <c r="C1377" s="2" t="str">
        <f ca="1">IFERROR(VLOOKUP(B1377,MO_Matriz,2,0),"")</f>
        <v>Técnico ambiental</v>
      </c>
      <c r="F1377" s="4" t="str">
        <f ca="1">IFERROR(VLOOKUP(B1377,MO_Matriz,3,0),"")</f>
        <v>T</v>
      </c>
      <c r="H1377" s="2" t="s">
        <v>455</v>
      </c>
      <c r="J1377" s="2">
        <v>1</v>
      </c>
    </row>
    <row r="1378" spans="1:10" x14ac:dyDescent="0.25">
      <c r="B1378" s="4" t="str">
        <f>B1366</f>
        <v>P8033</v>
      </c>
      <c r="C1378" s="2" t="str">
        <f ca="1">IFERROR(VLOOKUP(B1378,MO_Matriz,2,0),"")</f>
        <v>Biólogo pleno</v>
      </c>
      <c r="F1378" s="4" t="str">
        <f ca="1">IFERROR(VLOOKUP(B1378,MO_Matriz,3,0),"")</f>
        <v>S</v>
      </c>
      <c r="H1378" s="2" t="s">
        <v>455</v>
      </c>
      <c r="J1378" s="2">
        <v>1</v>
      </c>
    </row>
    <row r="1379" spans="1:10" x14ac:dyDescent="0.25">
      <c r="B1379" s="4" t="str">
        <f>B1367</f>
        <v>P8025</v>
      </c>
      <c r="C1379" s="2" t="str">
        <f ca="1">IFERROR(VLOOKUP(B1379,MO_Matriz,2,0),"")</f>
        <v>Auxiliar</v>
      </c>
      <c r="F1379" s="4" t="str">
        <f ca="1">IFERROR(VLOOKUP(B1379,MO_Matriz,3,0),"")</f>
        <v>A</v>
      </c>
      <c r="H1379" s="2" t="s">
        <v>455</v>
      </c>
      <c r="J1379" s="2">
        <v>1</v>
      </c>
    </row>
    <row r="1380" spans="1:10" x14ac:dyDescent="0.25">
      <c r="I1380" s="340" t="s">
        <v>329</v>
      </c>
      <c r="J1380" s="340">
        <f>SUM(J1376:J1379)</f>
        <v>4</v>
      </c>
    </row>
    <row r="1382" spans="1:10" x14ac:dyDescent="0.25">
      <c r="A1382" s="4" t="s">
        <v>456</v>
      </c>
      <c r="B1382" s="2" t="s">
        <v>457</v>
      </c>
    </row>
    <row r="1383" spans="1:10" x14ac:dyDescent="0.25">
      <c r="A1383" s="4"/>
      <c r="B1383" s="2" t="s">
        <v>1033</v>
      </c>
    </row>
    <row r="1384" spans="1:10" x14ac:dyDescent="0.25">
      <c r="A1384" s="4"/>
    </row>
    <row r="1385" spans="1:10" x14ac:dyDescent="0.25">
      <c r="A1385" s="4" t="s">
        <v>350</v>
      </c>
      <c r="B1385" s="2" t="s">
        <v>351</v>
      </c>
    </row>
    <row r="1386" spans="1:10" x14ac:dyDescent="0.25">
      <c r="B1386" s="2" t="s">
        <v>344</v>
      </c>
    </row>
    <row r="1388" spans="1:10" x14ac:dyDescent="0.25">
      <c r="A1388" s="4" t="s">
        <v>197</v>
      </c>
      <c r="B1388" s="2" t="s">
        <v>352</v>
      </c>
    </row>
    <row r="1389" spans="1:10" x14ac:dyDescent="0.25">
      <c r="B1389" s="2" t="s">
        <v>346</v>
      </c>
    </row>
    <row r="1391" spans="1:10" x14ac:dyDescent="0.25">
      <c r="A1391" s="4" t="s">
        <v>353</v>
      </c>
      <c r="B1391" s="2" t="s">
        <v>354</v>
      </c>
    </row>
    <row r="1392" spans="1:10" x14ac:dyDescent="0.25">
      <c r="B1392" s="2" t="s">
        <v>347</v>
      </c>
    </row>
    <row r="1394" spans="1:16" x14ac:dyDescent="0.25">
      <c r="A1394" s="4" t="s">
        <v>355</v>
      </c>
      <c r="B1394" s="2" t="s">
        <v>356</v>
      </c>
    </row>
    <row r="1395" spans="1:16" x14ac:dyDescent="0.25">
      <c r="B1395" s="2" t="s">
        <v>15</v>
      </c>
      <c r="F1395" s="2" t="s">
        <v>357</v>
      </c>
    </row>
    <row r="1396" spans="1:16" x14ac:dyDescent="0.25">
      <c r="B1396" s="2" t="s">
        <v>317</v>
      </c>
      <c r="F1396" s="315">
        <f ca="1">T1368</f>
        <v>3639.0010000000002</v>
      </c>
      <c r="P1396" s="4"/>
    </row>
    <row r="1397" spans="1:16" x14ac:dyDescent="0.25">
      <c r="B1397" s="2" t="s">
        <v>276</v>
      </c>
      <c r="F1397" s="315">
        <v>0</v>
      </c>
      <c r="P1397" s="4"/>
    </row>
    <row r="1398" spans="1:16" x14ac:dyDescent="0.25">
      <c r="B1398" s="2" t="s">
        <v>342</v>
      </c>
      <c r="F1398" s="315">
        <v>0</v>
      </c>
    </row>
    <row r="1399" spans="1:16" x14ac:dyDescent="0.25">
      <c r="B1399" s="2" t="s">
        <v>343</v>
      </c>
      <c r="F1399" s="315">
        <v>0</v>
      </c>
    </row>
    <row r="1400" spans="1:16" x14ac:dyDescent="0.25">
      <c r="B1400" s="2" t="s">
        <v>345</v>
      </c>
      <c r="F1400" s="315">
        <v>0</v>
      </c>
    </row>
    <row r="1401" spans="1:16" x14ac:dyDescent="0.25">
      <c r="B1401" s="2" t="s">
        <v>516</v>
      </c>
      <c r="F1401" s="315">
        <v>0</v>
      </c>
    </row>
    <row r="1402" spans="1:16" x14ac:dyDescent="0.25">
      <c r="E1402" s="340" t="s">
        <v>329</v>
      </c>
      <c r="F1402" s="339">
        <f ca="1">SUM(F1396:F1401)</f>
        <v>3639.0010000000002</v>
      </c>
    </row>
    <row r="1403" spans="1:16" x14ac:dyDescent="0.25">
      <c r="E1403" s="340"/>
      <c r="F1403" s="339"/>
    </row>
    <row r="1404" spans="1:16" x14ac:dyDescent="0.25">
      <c r="A1404" s="2" t="s">
        <v>1180</v>
      </c>
      <c r="B1404" s="2" t="s">
        <v>1209</v>
      </c>
    </row>
    <row r="1405" spans="1:16" x14ac:dyDescent="0.25">
      <c r="A1405" s="4" t="s">
        <v>61</v>
      </c>
      <c r="B1405" s="2" t="s">
        <v>338</v>
      </c>
    </row>
    <row r="1406" spans="1:16" x14ac:dyDescent="0.25">
      <c r="A1406" s="4"/>
      <c r="B1406" s="2" t="s">
        <v>15</v>
      </c>
      <c r="F1406" s="4" t="s">
        <v>414</v>
      </c>
      <c r="H1406" s="4" t="s">
        <v>856</v>
      </c>
      <c r="J1406" s="4" t="s">
        <v>224</v>
      </c>
      <c r="K1406" s="2" t="s">
        <v>855</v>
      </c>
      <c r="M1406" s="2" t="s">
        <v>325</v>
      </c>
      <c r="O1406" s="2" t="s">
        <v>381</v>
      </c>
    </row>
    <row r="1407" spans="1:16" x14ac:dyDescent="0.25">
      <c r="A1407" s="4"/>
      <c r="B1407" s="2" t="s">
        <v>1183</v>
      </c>
      <c r="F1407" s="358">
        <v>1</v>
      </c>
      <c r="H1407" s="238">
        <v>1</v>
      </c>
      <c r="I1407" s="4"/>
      <c r="J1407" s="2">
        <f>1/H1407</f>
        <v>1</v>
      </c>
      <c r="K1407" s="238">
        <f>'Carac trecho'!C392</f>
        <v>0</v>
      </c>
      <c r="M1407" s="238">
        <v>1</v>
      </c>
      <c r="O1407" s="2">
        <f>ROUNDUP(M1407*Listas!$E$5,0)</f>
        <v>2</v>
      </c>
    </row>
    <row r="1408" spans="1:16" x14ac:dyDescent="0.25">
      <c r="A1408" s="4"/>
      <c r="B1408" s="2" t="s">
        <v>487</v>
      </c>
      <c r="F1408" s="358">
        <v>0</v>
      </c>
      <c r="H1408" s="359">
        <v>0</v>
      </c>
      <c r="I1408" s="4"/>
      <c r="J1408" s="359">
        <v>0</v>
      </c>
      <c r="K1408" s="359">
        <v>0</v>
      </c>
      <c r="M1408" s="238">
        <f>M1407*F1408</f>
        <v>0</v>
      </c>
      <c r="O1408" s="238">
        <f>ROUNDUP(O1407*F1408,0)</f>
        <v>0</v>
      </c>
    </row>
    <row r="1409" spans="1:20" x14ac:dyDescent="0.25">
      <c r="A1409" s="4"/>
      <c r="B1409" s="2" t="s">
        <v>592</v>
      </c>
      <c r="F1409" s="358">
        <v>1</v>
      </c>
      <c r="H1409" s="359">
        <v>0</v>
      </c>
      <c r="I1409" s="4"/>
      <c r="J1409" s="359">
        <v>0</v>
      </c>
      <c r="K1409" s="359">
        <v>0</v>
      </c>
      <c r="M1409" s="238">
        <f>M1407*F1409</f>
        <v>1</v>
      </c>
      <c r="O1409" s="238">
        <f>O1407-O1408</f>
        <v>2</v>
      </c>
    </row>
    <row r="1410" spans="1:20" x14ac:dyDescent="0.25">
      <c r="A1410" s="4"/>
      <c r="F1410" s="358"/>
      <c r="H1410" s="359"/>
      <c r="I1410" s="4"/>
      <c r="J1410" s="359"/>
      <c r="K1410" s="359"/>
      <c r="L1410" s="2" t="s">
        <v>329</v>
      </c>
      <c r="M1410" s="238">
        <f>SUM(M1408:M1409)</f>
        <v>1</v>
      </c>
      <c r="O1410" s="238"/>
    </row>
    <row r="1411" spans="1:20" x14ac:dyDescent="0.25">
      <c r="A1411" s="4"/>
    </row>
    <row r="1412" spans="1:20" x14ac:dyDescent="0.25">
      <c r="A1412" s="4"/>
      <c r="B1412" s="4" t="s">
        <v>360</v>
      </c>
      <c r="C1412" s="2" t="s">
        <v>15</v>
      </c>
      <c r="F1412" s="4" t="s">
        <v>321</v>
      </c>
      <c r="G1412" s="4"/>
      <c r="H1412" s="4" t="s">
        <v>322</v>
      </c>
      <c r="I1412" s="4" t="s">
        <v>323</v>
      </c>
      <c r="J1412" s="4"/>
      <c r="K1412" s="4" t="s">
        <v>324</v>
      </c>
      <c r="L1412" s="4"/>
      <c r="M1412" s="4" t="s">
        <v>325</v>
      </c>
      <c r="N1412" s="4"/>
      <c r="O1412" s="4" t="s">
        <v>326</v>
      </c>
      <c r="Q1412" s="4" t="s">
        <v>327</v>
      </c>
      <c r="R1412" s="4"/>
      <c r="S1412" s="4" t="s">
        <v>328</v>
      </c>
      <c r="T1412" s="337" t="s">
        <v>329</v>
      </c>
    </row>
    <row r="1413" spans="1:20" x14ac:dyDescent="0.25">
      <c r="A1413" s="4"/>
      <c r="B1413" s="4"/>
      <c r="F1413" s="4"/>
      <c r="G1413" s="4"/>
      <c r="H1413" s="4" t="s">
        <v>330</v>
      </c>
      <c r="I1413" s="4" t="s">
        <v>331</v>
      </c>
      <c r="J1413" s="4"/>
      <c r="K1413" s="4" t="s">
        <v>332</v>
      </c>
      <c r="L1413" s="4"/>
      <c r="M1413" s="4" t="s">
        <v>333</v>
      </c>
      <c r="N1413" s="4"/>
      <c r="O1413" s="4" t="s">
        <v>334</v>
      </c>
      <c r="Q1413" s="4" t="s">
        <v>335</v>
      </c>
      <c r="R1413" s="4"/>
      <c r="S1413" s="4" t="s">
        <v>336</v>
      </c>
      <c r="T1413" s="337" t="s">
        <v>337</v>
      </c>
    </row>
    <row r="1414" spans="1:20" x14ac:dyDescent="0.25">
      <c r="A1414" s="4"/>
      <c r="B1414" s="4" t="s">
        <v>98</v>
      </c>
      <c r="C1414" s="2" t="str">
        <f ca="1">IFERROR(VLOOKUP(B1414,MO_Matriz,2,0),"")</f>
        <v>Engenheiro ambiental pleno</v>
      </c>
      <c r="F1414" s="4" t="str">
        <f ca="1">IFERROR(VLOOKUP(B1414,MO_Matriz,3,0),"")</f>
        <v>S</v>
      </c>
      <c r="H1414" s="2">
        <v>1</v>
      </c>
      <c r="I1414" s="2">
        <v>1</v>
      </c>
      <c r="K1414" s="2">
        <f>Listas!$B$6</f>
        <v>7.333333333333333</v>
      </c>
      <c r="M1414" s="238">
        <f>M1407</f>
        <v>1</v>
      </c>
      <c r="O1414" s="2">
        <f>H1414*I1414*K1414*M1414</f>
        <v>7.333333333333333</v>
      </c>
      <c r="Q1414" s="2">
        <f>O1414/220</f>
        <v>3.3333333333333333E-2</v>
      </c>
      <c r="S1414" s="315">
        <f ca="1">IFERROR(VLOOKUP(B1414,MO_Matriz,5,0),"")</f>
        <v>26558.86</v>
      </c>
      <c r="T1414" s="347">
        <f ca="1">Q1414*S1414</f>
        <v>885.29533333333336</v>
      </c>
    </row>
    <row r="1415" spans="1:20" x14ac:dyDescent="0.25">
      <c r="A1415" s="4"/>
      <c r="B1415" s="4" t="s">
        <v>59</v>
      </c>
      <c r="C1415" s="2" t="str">
        <f ca="1">IFERROR(VLOOKUP(B1415,MO_Matriz,2,0),"")</f>
        <v>Auxiliar</v>
      </c>
      <c r="F1415" s="4" t="str">
        <f ca="1">IFERROR(VLOOKUP(B1415,MO_Matriz,3,0),"")</f>
        <v>A</v>
      </c>
      <c r="H1415" s="2">
        <v>1</v>
      </c>
      <c r="I1415" s="2">
        <v>1</v>
      </c>
      <c r="K1415" s="2">
        <f>Listas!$B$6</f>
        <v>7.333333333333333</v>
      </c>
      <c r="M1415" s="238">
        <f>M1414</f>
        <v>1</v>
      </c>
      <c r="O1415" s="2">
        <f>H1415*I1415*K1415*M1415</f>
        <v>7.333333333333333</v>
      </c>
      <c r="Q1415" s="2">
        <f>O1415/220</f>
        <v>3.3333333333333333E-2</v>
      </c>
      <c r="S1415" s="315">
        <f ca="1">IFERROR(VLOOKUP(B1415,MO_Matriz,5,0),"")</f>
        <v>4276.41</v>
      </c>
      <c r="T1415" s="347">
        <f ca="1">Q1415*S1415</f>
        <v>142.547</v>
      </c>
    </row>
    <row r="1416" spans="1:20" x14ac:dyDescent="0.25">
      <c r="A1416" s="4"/>
      <c r="S1416" s="340" t="s">
        <v>329</v>
      </c>
      <c r="T1416" s="339">
        <f ca="1">SUM(T1414:T1415)</f>
        <v>1027.8423333333333</v>
      </c>
    </row>
    <row r="1417" spans="1:20" x14ac:dyDescent="0.25">
      <c r="A1417" s="4"/>
    </row>
    <row r="1418" spans="1:20" x14ac:dyDescent="0.25">
      <c r="A1418" s="337" t="s">
        <v>339</v>
      </c>
      <c r="B1418" s="2" t="s">
        <v>340</v>
      </c>
    </row>
    <row r="1419" spans="1:20" x14ac:dyDescent="0.25">
      <c r="B1419" s="2" t="s">
        <v>341</v>
      </c>
    </row>
    <row r="1421" spans="1:20" x14ac:dyDescent="0.25">
      <c r="A1421" s="4" t="s">
        <v>348</v>
      </c>
      <c r="B1421" s="2" t="s">
        <v>349</v>
      </c>
    </row>
    <row r="1422" spans="1:20" x14ac:dyDescent="0.25">
      <c r="A1422" s="4" t="s">
        <v>451</v>
      </c>
      <c r="B1422" s="2" t="s">
        <v>452</v>
      </c>
    </row>
    <row r="1423" spans="1:20" x14ac:dyDescent="0.25">
      <c r="B1423" s="4" t="s">
        <v>360</v>
      </c>
      <c r="C1423" s="2" t="s">
        <v>15</v>
      </c>
      <c r="F1423" s="4" t="s">
        <v>321</v>
      </c>
      <c r="G1423" s="4"/>
      <c r="H1423" s="4" t="s">
        <v>453</v>
      </c>
      <c r="I1423" s="4"/>
      <c r="J1423" s="4" t="s">
        <v>454</v>
      </c>
    </row>
    <row r="1424" spans="1:20" x14ac:dyDescent="0.25">
      <c r="B1424" s="4" t="str">
        <f>B1414</f>
        <v>P8058</v>
      </c>
      <c r="C1424" s="2" t="str">
        <f ca="1">IFERROR(VLOOKUP(B1424,MO_Matriz,2,0),"")</f>
        <v>Engenheiro ambiental pleno</v>
      </c>
      <c r="F1424" s="4" t="str">
        <f ca="1">IFERROR(VLOOKUP(B1424,MO_Matriz,3,0),"")</f>
        <v>S</v>
      </c>
      <c r="H1424" s="2" t="s">
        <v>455</v>
      </c>
      <c r="J1424" s="2">
        <v>1</v>
      </c>
    </row>
    <row r="1425" spans="1:10" x14ac:dyDescent="0.25">
      <c r="B1425" s="4" t="str">
        <f>B1415</f>
        <v>P8025</v>
      </c>
      <c r="C1425" s="2" t="str">
        <f ca="1">IFERROR(VLOOKUP(B1425,MO_Matriz,2,0),"")</f>
        <v>Auxiliar</v>
      </c>
      <c r="F1425" s="4" t="str">
        <f ca="1">IFERROR(VLOOKUP(B1425,MO_Matriz,3,0),"")</f>
        <v>A</v>
      </c>
      <c r="H1425" s="2" t="s">
        <v>455</v>
      </c>
      <c r="J1425" s="2">
        <v>1</v>
      </c>
    </row>
    <row r="1426" spans="1:10" x14ac:dyDescent="0.25">
      <c r="I1426" s="340" t="s">
        <v>329</v>
      </c>
      <c r="J1426" s="340">
        <f>SUM(J1424:J1425)</f>
        <v>2</v>
      </c>
    </row>
    <row r="1428" spans="1:10" x14ac:dyDescent="0.25">
      <c r="A1428" s="4" t="s">
        <v>456</v>
      </c>
      <c r="B1428" s="2" t="s">
        <v>457</v>
      </c>
    </row>
    <row r="1429" spans="1:10" x14ac:dyDescent="0.25">
      <c r="A1429" s="4"/>
      <c r="B1429" s="2" t="s">
        <v>1033</v>
      </c>
    </row>
    <row r="1430" spans="1:10" x14ac:dyDescent="0.25">
      <c r="A1430" s="4"/>
    </row>
    <row r="1431" spans="1:10" x14ac:dyDescent="0.25">
      <c r="A1431" s="4" t="s">
        <v>350</v>
      </c>
      <c r="B1431" s="2" t="s">
        <v>351</v>
      </c>
    </row>
    <row r="1432" spans="1:10" x14ac:dyDescent="0.25">
      <c r="B1432" s="2" t="s">
        <v>344</v>
      </c>
    </row>
    <row r="1434" spans="1:10" x14ac:dyDescent="0.25">
      <c r="A1434" s="4" t="s">
        <v>197</v>
      </c>
      <c r="B1434" s="2" t="s">
        <v>352</v>
      </c>
    </row>
    <row r="1435" spans="1:10" x14ac:dyDescent="0.25">
      <c r="B1435" s="2" t="s">
        <v>346</v>
      </c>
    </row>
    <row r="1437" spans="1:10" x14ac:dyDescent="0.25">
      <c r="A1437" s="4" t="s">
        <v>353</v>
      </c>
      <c r="B1437" s="2" t="s">
        <v>354</v>
      </c>
    </row>
    <row r="1438" spans="1:10" x14ac:dyDescent="0.25">
      <c r="B1438" s="2" t="s">
        <v>347</v>
      </c>
    </row>
    <row r="1440" spans="1:10" x14ac:dyDescent="0.25">
      <c r="A1440" s="4" t="s">
        <v>355</v>
      </c>
      <c r="B1440" s="2" t="s">
        <v>356</v>
      </c>
    </row>
    <row r="1441" spans="1:16" x14ac:dyDescent="0.25">
      <c r="B1441" s="2" t="s">
        <v>15</v>
      </c>
      <c r="F1441" s="2" t="s">
        <v>357</v>
      </c>
    </row>
    <row r="1442" spans="1:16" x14ac:dyDescent="0.25">
      <c r="B1442" s="2" t="s">
        <v>317</v>
      </c>
      <c r="F1442" s="315">
        <f ca="1">T1416</f>
        <v>1027.8423333333333</v>
      </c>
      <c r="P1442" s="4"/>
    </row>
    <row r="1443" spans="1:16" x14ac:dyDescent="0.25">
      <c r="B1443" s="2" t="s">
        <v>276</v>
      </c>
      <c r="F1443" s="315">
        <v>0</v>
      </c>
      <c r="P1443" s="4"/>
    </row>
    <row r="1444" spans="1:16" x14ac:dyDescent="0.25">
      <c r="B1444" s="2" t="s">
        <v>342</v>
      </c>
      <c r="F1444" s="315">
        <v>0</v>
      </c>
    </row>
    <row r="1445" spans="1:16" x14ac:dyDescent="0.25">
      <c r="B1445" s="2" t="s">
        <v>343</v>
      </c>
      <c r="F1445" s="315">
        <v>0</v>
      </c>
    </row>
    <row r="1446" spans="1:16" x14ac:dyDescent="0.25">
      <c r="B1446" s="2" t="s">
        <v>345</v>
      </c>
      <c r="F1446" s="315">
        <v>0</v>
      </c>
    </row>
    <row r="1447" spans="1:16" x14ac:dyDescent="0.25">
      <c r="B1447" s="2" t="s">
        <v>516</v>
      </c>
      <c r="F1447" s="315">
        <v>0</v>
      </c>
    </row>
    <row r="1448" spans="1:16" x14ac:dyDescent="0.25">
      <c r="E1448" s="340" t="s">
        <v>329</v>
      </c>
      <c r="F1448" s="339">
        <f ca="1">SUM(F1442:F1447)</f>
        <v>1027.8423333333333</v>
      </c>
    </row>
    <row r="1449" spans="1:16" x14ac:dyDescent="0.25">
      <c r="E1449" s="340"/>
      <c r="F1449" s="339"/>
    </row>
    <row r="1450" spans="1:16" x14ac:dyDescent="0.25">
      <c r="A1450" s="2" t="s">
        <v>1189</v>
      </c>
      <c r="B1450" s="2" t="s">
        <v>1181</v>
      </c>
    </row>
    <row r="1451" spans="1:16" x14ac:dyDescent="0.25">
      <c r="A1451" s="4" t="s">
        <v>61</v>
      </c>
      <c r="B1451" s="2" t="s">
        <v>338</v>
      </c>
    </row>
    <row r="1452" spans="1:16" x14ac:dyDescent="0.25">
      <c r="A1452" s="4"/>
      <c r="B1452" s="2" t="s">
        <v>15</v>
      </c>
      <c r="F1452" s="4" t="s">
        <v>414</v>
      </c>
      <c r="H1452" s="4" t="s">
        <v>856</v>
      </c>
      <c r="J1452" s="4" t="s">
        <v>224</v>
      </c>
      <c r="K1452" s="2" t="s">
        <v>855</v>
      </c>
      <c r="M1452" s="2" t="s">
        <v>325</v>
      </c>
      <c r="O1452" s="2" t="s">
        <v>381</v>
      </c>
    </row>
    <row r="1453" spans="1:16" x14ac:dyDescent="0.25">
      <c r="A1453" s="4"/>
      <c r="B1453" s="2" t="s">
        <v>1184</v>
      </c>
      <c r="F1453" s="358">
        <v>1</v>
      </c>
      <c r="H1453" s="238">
        <v>1</v>
      </c>
      <c r="I1453" s="4"/>
      <c r="J1453" s="2">
        <f>1/H1453</f>
        <v>1</v>
      </c>
      <c r="K1453" s="238">
        <f>'Carac trecho'!C390</f>
        <v>0</v>
      </c>
      <c r="M1453" s="238">
        <v>7</v>
      </c>
      <c r="O1453" s="2">
        <f>ROUNDUP(M1453*Listas!$E$5,0)</f>
        <v>9</v>
      </c>
    </row>
    <row r="1454" spans="1:16" x14ac:dyDescent="0.25">
      <c r="A1454" s="4"/>
      <c r="B1454" s="2" t="s">
        <v>487</v>
      </c>
      <c r="F1454" s="358">
        <v>0</v>
      </c>
      <c r="H1454" s="359">
        <v>0</v>
      </c>
      <c r="I1454" s="4"/>
      <c r="J1454" s="359">
        <v>0</v>
      </c>
      <c r="K1454" s="359">
        <v>0</v>
      </c>
      <c r="M1454" s="238">
        <f>F1454*M1453</f>
        <v>0</v>
      </c>
      <c r="O1454" s="238">
        <f>ROUNDUP(O1453*F1454,0)</f>
        <v>0</v>
      </c>
    </row>
    <row r="1455" spans="1:16" x14ac:dyDescent="0.25">
      <c r="A1455" s="4"/>
      <c r="B1455" s="2" t="s">
        <v>592</v>
      </c>
      <c r="F1455" s="358">
        <v>1</v>
      </c>
      <c r="H1455" s="359">
        <v>0</v>
      </c>
      <c r="I1455" s="4"/>
      <c r="J1455" s="359">
        <v>0</v>
      </c>
      <c r="K1455" s="359">
        <v>0</v>
      </c>
      <c r="M1455" s="238">
        <f>F1455*M1453</f>
        <v>7</v>
      </c>
      <c r="O1455" s="238">
        <f>O1453-O1454</f>
        <v>9</v>
      </c>
    </row>
    <row r="1456" spans="1:16" x14ac:dyDescent="0.25">
      <c r="A1456" s="4"/>
      <c r="F1456" s="358"/>
      <c r="H1456" s="359"/>
      <c r="I1456" s="4"/>
      <c r="J1456" s="359"/>
      <c r="K1456" s="359"/>
      <c r="L1456" s="2" t="s">
        <v>329</v>
      </c>
      <c r="M1456" s="238">
        <f>M1454+M1455</f>
        <v>7</v>
      </c>
      <c r="O1456" s="238"/>
    </row>
    <row r="1457" spans="1:20" x14ac:dyDescent="0.25">
      <c r="A1457" s="4"/>
    </row>
    <row r="1458" spans="1:20" x14ac:dyDescent="0.25">
      <c r="A1458" s="4"/>
      <c r="B1458" s="4" t="s">
        <v>360</v>
      </c>
      <c r="C1458" s="2" t="s">
        <v>15</v>
      </c>
      <c r="F1458" s="4" t="s">
        <v>321</v>
      </c>
      <c r="G1458" s="4"/>
      <c r="H1458" s="4" t="s">
        <v>322</v>
      </c>
      <c r="I1458" s="4" t="s">
        <v>323</v>
      </c>
      <c r="J1458" s="4"/>
      <c r="K1458" s="4" t="s">
        <v>324</v>
      </c>
      <c r="L1458" s="4"/>
      <c r="M1458" s="4" t="s">
        <v>325</v>
      </c>
      <c r="N1458" s="4"/>
      <c r="O1458" s="4" t="s">
        <v>326</v>
      </c>
      <c r="Q1458" s="4" t="s">
        <v>327</v>
      </c>
      <c r="R1458" s="4"/>
      <c r="S1458" s="4" t="s">
        <v>328</v>
      </c>
      <c r="T1458" s="337" t="s">
        <v>329</v>
      </c>
    </row>
    <row r="1459" spans="1:20" x14ac:dyDescent="0.25">
      <c r="A1459" s="4"/>
      <c r="B1459" s="4"/>
      <c r="F1459" s="4"/>
      <c r="G1459" s="4"/>
      <c r="H1459" s="4" t="s">
        <v>330</v>
      </c>
      <c r="I1459" s="4" t="s">
        <v>331</v>
      </c>
      <c r="J1459" s="4"/>
      <c r="K1459" s="4" t="s">
        <v>332</v>
      </c>
      <c r="L1459" s="4"/>
      <c r="M1459" s="4" t="s">
        <v>333</v>
      </c>
      <c r="N1459" s="4"/>
      <c r="O1459" s="4" t="s">
        <v>334</v>
      </c>
      <c r="Q1459" s="4" t="s">
        <v>335</v>
      </c>
      <c r="R1459" s="4"/>
      <c r="S1459" s="4" t="s">
        <v>336</v>
      </c>
      <c r="T1459" s="337" t="s">
        <v>337</v>
      </c>
    </row>
    <row r="1460" spans="1:20" x14ac:dyDescent="0.25">
      <c r="A1460" s="4"/>
      <c r="B1460" s="4" t="s">
        <v>98</v>
      </c>
      <c r="C1460" s="2" t="str">
        <f ca="1">IFERROR(VLOOKUP(B1460,MO_Matriz,2,0),"")</f>
        <v>Engenheiro ambiental pleno</v>
      </c>
      <c r="F1460" s="4" t="str">
        <f ca="1">IFERROR(VLOOKUP(B1460,MO_Matriz,3,0),"")</f>
        <v>S</v>
      </c>
      <c r="H1460" s="2">
        <v>1</v>
      </c>
      <c r="I1460" s="2">
        <v>1</v>
      </c>
      <c r="K1460" s="2">
        <f>Listas!$B$6</f>
        <v>7.333333333333333</v>
      </c>
      <c r="M1460" s="238">
        <f>$M$1453</f>
        <v>7</v>
      </c>
      <c r="O1460" s="2">
        <f>H1460*I1460*K1460*M1460</f>
        <v>51.333333333333329</v>
      </c>
      <c r="Q1460" s="2">
        <f>O1460/220</f>
        <v>0.23333333333333331</v>
      </c>
      <c r="S1460" s="315">
        <f ca="1">IFERROR(VLOOKUP(B1460,MO_Matriz,5,0),"")</f>
        <v>26558.86</v>
      </c>
      <c r="T1460" s="347">
        <f ca="1">Q1460*S1460</f>
        <v>6197.0673333333325</v>
      </c>
    </row>
    <row r="1461" spans="1:20" x14ac:dyDescent="0.25">
      <c r="A1461" s="4"/>
      <c r="B1461" s="4" t="s">
        <v>167</v>
      </c>
      <c r="C1461" s="2" t="str">
        <f ca="1">IFERROR(VLOOKUP(B1461,MO_Matriz,2,0),"")</f>
        <v>Técnico ambiental</v>
      </c>
      <c r="F1461" s="4" t="str">
        <f ca="1">IFERROR(VLOOKUP(B1461,MO_Matriz,3,0),"")</f>
        <v>T</v>
      </c>
      <c r="H1461" s="2">
        <v>1</v>
      </c>
      <c r="I1461" s="2">
        <v>1</v>
      </c>
      <c r="K1461" s="2">
        <f>Listas!$B$6</f>
        <v>7.333333333333333</v>
      </c>
      <c r="M1461" s="238">
        <f>$M$1453</f>
        <v>7</v>
      </c>
      <c r="O1461" s="2">
        <f>H1461*I1461*K1461*M1461</f>
        <v>51.333333333333329</v>
      </c>
      <c r="Q1461" s="2">
        <f>O1461/220</f>
        <v>0.23333333333333331</v>
      </c>
      <c r="S1461" s="315">
        <f ca="1">IFERROR(VLOOKUP(B1461,MO_Matriz,5,0),"")</f>
        <v>6565.04</v>
      </c>
      <c r="T1461" s="347">
        <f ca="1">Q1461*S1461</f>
        <v>1531.8426666666664</v>
      </c>
    </row>
    <row r="1462" spans="1:20" x14ac:dyDescent="0.25">
      <c r="A1462" s="4"/>
      <c r="B1462" s="4" t="s">
        <v>70</v>
      </c>
      <c r="C1462" s="2" t="str">
        <f ca="1">IFERROR(VLOOKUP(B1462,MO_Matriz,2,0),"")</f>
        <v>Biólogo pleno</v>
      </c>
      <c r="F1462" s="4" t="str">
        <f ca="1">IFERROR(VLOOKUP(B1462,MO_Matriz,3,0),"")</f>
        <v>S</v>
      </c>
      <c r="H1462" s="2">
        <v>1</v>
      </c>
      <c r="I1462" s="2">
        <v>1</v>
      </c>
      <c r="K1462" s="2">
        <f>Listas!$B$6</f>
        <v>7.333333333333333</v>
      </c>
      <c r="M1462" s="238">
        <f>$M$1453/2</f>
        <v>3.5</v>
      </c>
      <c r="O1462" s="2">
        <f>H1462*I1462*K1462*M1462</f>
        <v>25.666666666666664</v>
      </c>
      <c r="Q1462" s="2">
        <f>O1462/220</f>
        <v>0.11666666666666665</v>
      </c>
      <c r="S1462" s="315">
        <f ca="1">IFERROR(VLOOKUP(B1462,MO_Matriz,5,0),"")</f>
        <v>8820.85</v>
      </c>
      <c r="T1462" s="347">
        <f ca="1">Q1462*S1462</f>
        <v>1029.0991666666666</v>
      </c>
    </row>
    <row r="1463" spans="1:20" x14ac:dyDescent="0.25">
      <c r="A1463" s="4"/>
      <c r="B1463" s="4" t="s">
        <v>59</v>
      </c>
      <c r="C1463" s="2" t="str">
        <f ca="1">IFERROR(VLOOKUP(B1463,MO_Matriz,2,0),"")</f>
        <v>Auxiliar</v>
      </c>
      <c r="F1463" s="4" t="str">
        <f ca="1">IFERROR(VLOOKUP(B1463,MO_Matriz,3,0),"")</f>
        <v>A</v>
      </c>
      <c r="H1463" s="2">
        <v>1</v>
      </c>
      <c r="I1463" s="2">
        <v>1</v>
      </c>
      <c r="K1463" s="2">
        <f>Listas!$B$6</f>
        <v>7.333333333333333</v>
      </c>
      <c r="M1463" s="238">
        <f>$M$1453/2</f>
        <v>3.5</v>
      </c>
      <c r="O1463" s="2">
        <f>H1463*I1463*K1463*M1463</f>
        <v>25.666666666666664</v>
      </c>
      <c r="Q1463" s="2">
        <f>O1463/220</f>
        <v>0.11666666666666665</v>
      </c>
      <c r="S1463" s="315">
        <f ca="1">IFERROR(VLOOKUP(B1463,MO_Matriz,5,0),"")</f>
        <v>4276.41</v>
      </c>
      <c r="T1463" s="347">
        <f ca="1">Q1463*S1463</f>
        <v>498.91449999999992</v>
      </c>
    </row>
    <row r="1464" spans="1:20" x14ac:dyDescent="0.25">
      <c r="A1464" s="4"/>
      <c r="S1464" s="340" t="s">
        <v>329</v>
      </c>
      <c r="T1464" s="339">
        <f ca="1">SUM(T1460:T1463)</f>
        <v>9256.9236666666657</v>
      </c>
    </row>
    <row r="1465" spans="1:20" x14ac:dyDescent="0.25">
      <c r="A1465" s="4"/>
    </row>
    <row r="1466" spans="1:20" x14ac:dyDescent="0.25">
      <c r="A1466" s="337" t="s">
        <v>339</v>
      </c>
      <c r="B1466" s="2" t="s">
        <v>340</v>
      </c>
    </row>
    <row r="1467" spans="1:20" x14ac:dyDescent="0.25">
      <c r="B1467" s="2" t="s">
        <v>341</v>
      </c>
    </row>
    <row r="1469" spans="1:20" x14ac:dyDescent="0.25">
      <c r="A1469" s="4" t="s">
        <v>348</v>
      </c>
      <c r="B1469" s="2" t="s">
        <v>349</v>
      </c>
    </row>
    <row r="1470" spans="1:20" x14ac:dyDescent="0.25">
      <c r="A1470" s="4" t="s">
        <v>451</v>
      </c>
      <c r="B1470" s="2" t="s">
        <v>452</v>
      </c>
    </row>
    <row r="1471" spans="1:20" x14ac:dyDescent="0.25">
      <c r="B1471" s="4" t="s">
        <v>360</v>
      </c>
      <c r="C1471" s="2" t="s">
        <v>15</v>
      </c>
      <c r="F1471" s="4" t="s">
        <v>321</v>
      </c>
      <c r="G1471" s="4"/>
      <c r="H1471" s="4" t="s">
        <v>453</v>
      </c>
      <c r="I1471" s="4"/>
      <c r="J1471" s="4" t="s">
        <v>454</v>
      </c>
    </row>
    <row r="1472" spans="1:20" x14ac:dyDescent="0.25">
      <c r="B1472" s="4" t="str">
        <f>B1460</f>
        <v>P8058</v>
      </c>
      <c r="C1472" s="2" t="str">
        <f ca="1">IFERROR(VLOOKUP(B1472,MO_Matriz,2,0),"")</f>
        <v>Engenheiro ambiental pleno</v>
      </c>
      <c r="F1472" s="4" t="str">
        <f ca="1">IFERROR(VLOOKUP(B1472,MO_Matriz,3,0),"")</f>
        <v>S</v>
      </c>
      <c r="H1472" s="2" t="s">
        <v>455</v>
      </c>
      <c r="J1472" s="2">
        <v>1</v>
      </c>
    </row>
    <row r="1473" spans="1:10" x14ac:dyDescent="0.25">
      <c r="B1473" s="4" t="str">
        <f>B1461</f>
        <v>P8143</v>
      </c>
      <c r="C1473" s="2" t="str">
        <f ca="1">IFERROR(VLOOKUP(B1473,MO_Matriz,2,0),"")</f>
        <v>Técnico ambiental</v>
      </c>
      <c r="F1473" s="4" t="str">
        <f ca="1">IFERROR(VLOOKUP(B1473,MO_Matriz,3,0),"")</f>
        <v>T</v>
      </c>
      <c r="H1473" s="2" t="s">
        <v>455</v>
      </c>
      <c r="J1473" s="2">
        <v>1</v>
      </c>
    </row>
    <row r="1474" spans="1:10" x14ac:dyDescent="0.25">
      <c r="B1474" s="4" t="str">
        <f>B1462</f>
        <v>P8033</v>
      </c>
      <c r="C1474" s="2" t="str">
        <f ca="1">IFERROR(VLOOKUP(B1474,MO_Matriz,2,0),"")</f>
        <v>Biólogo pleno</v>
      </c>
      <c r="F1474" s="4" t="str">
        <f ca="1">IFERROR(VLOOKUP(B1474,MO_Matriz,3,0),"")</f>
        <v>S</v>
      </c>
      <c r="H1474" s="2" t="s">
        <v>455</v>
      </c>
      <c r="J1474" s="2">
        <v>1</v>
      </c>
    </row>
    <row r="1475" spans="1:10" x14ac:dyDescent="0.25">
      <c r="B1475" s="4" t="str">
        <f>B1463</f>
        <v>P8025</v>
      </c>
      <c r="C1475" s="2" t="str">
        <f ca="1">IFERROR(VLOOKUP(B1475,MO_Matriz,2,0),"")</f>
        <v>Auxiliar</v>
      </c>
      <c r="F1475" s="4" t="str">
        <f ca="1">IFERROR(VLOOKUP(B1475,MO_Matriz,3,0),"")</f>
        <v>A</v>
      </c>
      <c r="H1475" s="2" t="s">
        <v>455</v>
      </c>
      <c r="J1475" s="2">
        <v>1</v>
      </c>
    </row>
    <row r="1476" spans="1:10" x14ac:dyDescent="0.25">
      <c r="I1476" s="340" t="s">
        <v>329</v>
      </c>
      <c r="J1476" s="340">
        <f>SUM(J1472:J1475)</f>
        <v>4</v>
      </c>
    </row>
    <row r="1478" spans="1:10" x14ac:dyDescent="0.25">
      <c r="A1478" s="4" t="s">
        <v>456</v>
      </c>
      <c r="B1478" s="2" t="s">
        <v>457</v>
      </c>
    </row>
    <row r="1479" spans="1:10" x14ac:dyDescent="0.25">
      <c r="A1479" s="4"/>
      <c r="B1479" s="2" t="s">
        <v>1033</v>
      </c>
    </row>
    <row r="1480" spans="1:10" x14ac:dyDescent="0.25">
      <c r="A1480" s="4"/>
    </row>
    <row r="1481" spans="1:10" x14ac:dyDescent="0.25">
      <c r="A1481" s="4" t="s">
        <v>350</v>
      </c>
      <c r="B1481" s="2" t="s">
        <v>351</v>
      </c>
    </row>
    <row r="1482" spans="1:10" x14ac:dyDescent="0.25">
      <c r="B1482" s="2" t="s">
        <v>344</v>
      </c>
    </row>
    <row r="1484" spans="1:10" x14ac:dyDescent="0.25">
      <c r="A1484" s="4" t="s">
        <v>197</v>
      </c>
      <c r="B1484" s="2" t="s">
        <v>352</v>
      </c>
    </row>
    <row r="1485" spans="1:10" x14ac:dyDescent="0.25">
      <c r="B1485" s="2" t="s">
        <v>346</v>
      </c>
    </row>
    <row r="1487" spans="1:10" x14ac:dyDescent="0.25">
      <c r="A1487" s="4" t="s">
        <v>353</v>
      </c>
      <c r="B1487" s="2" t="s">
        <v>354</v>
      </c>
    </row>
    <row r="1488" spans="1:10" x14ac:dyDescent="0.25">
      <c r="B1488" s="2" t="s">
        <v>347</v>
      </c>
    </row>
    <row r="1490" spans="1:16" x14ac:dyDescent="0.25">
      <c r="A1490" s="4" t="s">
        <v>355</v>
      </c>
      <c r="B1490" s="2" t="s">
        <v>356</v>
      </c>
    </row>
    <row r="1491" spans="1:16" x14ac:dyDescent="0.25">
      <c r="B1491" s="2" t="s">
        <v>15</v>
      </c>
      <c r="F1491" s="2" t="s">
        <v>357</v>
      </c>
    </row>
    <row r="1492" spans="1:16" x14ac:dyDescent="0.25">
      <c r="B1492" s="2" t="s">
        <v>317</v>
      </c>
      <c r="F1492" s="315">
        <f ca="1">T1464</f>
        <v>9256.9236666666657</v>
      </c>
      <c r="P1492" s="4"/>
    </row>
    <row r="1493" spans="1:16" x14ac:dyDescent="0.25">
      <c r="B1493" s="2" t="s">
        <v>276</v>
      </c>
      <c r="F1493" s="315">
        <v>0</v>
      </c>
      <c r="P1493" s="4"/>
    </row>
    <row r="1494" spans="1:16" x14ac:dyDescent="0.25">
      <c r="B1494" s="2" t="s">
        <v>342</v>
      </c>
      <c r="F1494" s="315">
        <v>0</v>
      </c>
    </row>
    <row r="1495" spans="1:16" x14ac:dyDescent="0.25">
      <c r="B1495" s="2" t="s">
        <v>343</v>
      </c>
      <c r="F1495" s="315">
        <v>0</v>
      </c>
    </row>
    <row r="1496" spans="1:16" x14ac:dyDescent="0.25">
      <c r="B1496" s="2" t="s">
        <v>345</v>
      </c>
      <c r="F1496" s="315">
        <v>0</v>
      </c>
    </row>
    <row r="1497" spans="1:16" x14ac:dyDescent="0.25">
      <c r="B1497" s="2" t="s">
        <v>516</v>
      </c>
      <c r="F1497" s="315">
        <v>0</v>
      </c>
    </row>
    <row r="1498" spans="1:16" x14ac:dyDescent="0.25">
      <c r="E1498" s="340" t="s">
        <v>329</v>
      </c>
      <c r="F1498" s="339">
        <f ca="1">SUM(F1492:F1497)</f>
        <v>9256.9236666666657</v>
      </c>
    </row>
    <row r="1499" spans="1:16" x14ac:dyDescent="0.25">
      <c r="E1499" s="340"/>
      <c r="F1499" s="339"/>
    </row>
    <row r="1500" spans="1:16" x14ac:dyDescent="0.25">
      <c r="A1500" s="2" t="s">
        <v>1212</v>
      </c>
      <c r="B1500" s="2" t="s">
        <v>1201</v>
      </c>
    </row>
    <row r="1501" spans="1:16" x14ac:dyDescent="0.25">
      <c r="A1501" s="4" t="s">
        <v>61</v>
      </c>
      <c r="B1501" s="2" t="s">
        <v>338</v>
      </c>
    </row>
    <row r="1502" spans="1:16" x14ac:dyDescent="0.25">
      <c r="A1502" s="4"/>
      <c r="B1502" s="2" t="s">
        <v>15</v>
      </c>
      <c r="F1502" s="4" t="s">
        <v>414</v>
      </c>
      <c r="H1502" s="4" t="s">
        <v>856</v>
      </c>
      <c r="J1502" s="4" t="s">
        <v>224</v>
      </c>
      <c r="K1502" s="2" t="s">
        <v>855</v>
      </c>
      <c r="M1502" s="2" t="s">
        <v>325</v>
      </c>
      <c r="O1502" s="2" t="s">
        <v>381</v>
      </c>
    </row>
    <row r="1503" spans="1:16" x14ac:dyDescent="0.25">
      <c r="A1503" s="4"/>
      <c r="B1503" s="2" t="s">
        <v>1197</v>
      </c>
      <c r="F1503" s="358">
        <v>1</v>
      </c>
      <c r="H1503" s="238">
        <v>1</v>
      </c>
      <c r="I1503" s="4"/>
      <c r="J1503" s="2">
        <f>1/H1503</f>
        <v>1</v>
      </c>
      <c r="K1503" s="238">
        <f>'Carac trecho'!C440</f>
        <v>0</v>
      </c>
      <c r="M1503" s="238">
        <v>1</v>
      </c>
      <c r="O1503" s="2">
        <f>ROUNDUP(M1503*Listas!$E$5,0)</f>
        <v>2</v>
      </c>
    </row>
    <row r="1504" spans="1:16" x14ac:dyDescent="0.25">
      <c r="A1504" s="4"/>
      <c r="B1504" s="2" t="s">
        <v>487</v>
      </c>
      <c r="F1504" s="358">
        <v>0</v>
      </c>
      <c r="H1504" s="359">
        <v>0</v>
      </c>
      <c r="I1504" s="4"/>
      <c r="J1504" s="359">
        <v>0</v>
      </c>
      <c r="K1504" s="359">
        <v>0</v>
      </c>
      <c r="M1504" s="238">
        <f>F1504*M1503</f>
        <v>0</v>
      </c>
      <c r="O1504" s="238">
        <f>ROUNDUP(O1503*F1504,0)</f>
        <v>0</v>
      </c>
    </row>
    <row r="1505" spans="1:20" x14ac:dyDescent="0.25">
      <c r="A1505" s="4"/>
      <c r="B1505" s="2" t="s">
        <v>592</v>
      </c>
      <c r="F1505" s="358">
        <v>1</v>
      </c>
      <c r="H1505" s="359">
        <v>0</v>
      </c>
      <c r="I1505" s="4"/>
      <c r="J1505" s="359">
        <v>0</v>
      </c>
      <c r="K1505" s="359">
        <v>0</v>
      </c>
      <c r="M1505" s="238">
        <f>F1505*M1503</f>
        <v>1</v>
      </c>
      <c r="O1505" s="238">
        <f>O1503-O1504</f>
        <v>2</v>
      </c>
    </row>
    <row r="1506" spans="1:20" x14ac:dyDescent="0.25">
      <c r="A1506" s="4"/>
      <c r="F1506" s="358"/>
      <c r="H1506" s="359"/>
      <c r="I1506" s="4"/>
      <c r="J1506" s="359"/>
      <c r="K1506" s="359"/>
      <c r="L1506" s="2" t="s">
        <v>329</v>
      </c>
      <c r="M1506" s="238">
        <f>M1504+M1505</f>
        <v>1</v>
      </c>
      <c r="O1506" s="238"/>
    </row>
    <row r="1507" spans="1:20" x14ac:dyDescent="0.25">
      <c r="A1507" s="4"/>
    </row>
    <row r="1508" spans="1:20" x14ac:dyDescent="0.25">
      <c r="A1508" s="4"/>
      <c r="B1508" s="4" t="s">
        <v>360</v>
      </c>
      <c r="C1508" s="2" t="s">
        <v>15</v>
      </c>
      <c r="F1508" s="4" t="s">
        <v>321</v>
      </c>
      <c r="G1508" s="4"/>
      <c r="H1508" s="4" t="s">
        <v>322</v>
      </c>
      <c r="I1508" s="4" t="s">
        <v>323</v>
      </c>
      <c r="J1508" s="4"/>
      <c r="K1508" s="4" t="s">
        <v>324</v>
      </c>
      <c r="L1508" s="4"/>
      <c r="M1508" s="4" t="s">
        <v>325</v>
      </c>
      <c r="N1508" s="4"/>
      <c r="O1508" s="4" t="s">
        <v>326</v>
      </c>
      <c r="Q1508" s="4" t="s">
        <v>327</v>
      </c>
      <c r="R1508" s="4"/>
      <c r="S1508" s="4" t="s">
        <v>328</v>
      </c>
      <c r="T1508" s="337" t="s">
        <v>329</v>
      </c>
    </row>
    <row r="1509" spans="1:20" x14ac:dyDescent="0.25">
      <c r="A1509" s="4"/>
      <c r="B1509" s="4"/>
      <c r="F1509" s="4"/>
      <c r="G1509" s="4"/>
      <c r="H1509" s="4" t="s">
        <v>330</v>
      </c>
      <c r="I1509" s="4" t="s">
        <v>331</v>
      </c>
      <c r="J1509" s="4"/>
      <c r="K1509" s="4" t="s">
        <v>332</v>
      </c>
      <c r="L1509" s="4"/>
      <c r="M1509" s="4" t="s">
        <v>333</v>
      </c>
      <c r="N1509" s="4"/>
      <c r="O1509" s="4" t="s">
        <v>334</v>
      </c>
      <c r="Q1509" s="4" t="s">
        <v>335</v>
      </c>
      <c r="R1509" s="4"/>
      <c r="S1509" s="4" t="s">
        <v>336</v>
      </c>
      <c r="T1509" s="337" t="s">
        <v>337</v>
      </c>
    </row>
    <row r="1510" spans="1:20" x14ac:dyDescent="0.25">
      <c r="A1510" s="4"/>
      <c r="B1510" s="4" t="s">
        <v>98</v>
      </c>
      <c r="C1510" s="2" t="str">
        <f ca="1">IFERROR(VLOOKUP(B1510,MO_Matriz,2,0),"")</f>
        <v>Engenheiro ambiental pleno</v>
      </c>
      <c r="F1510" s="4" t="str">
        <f ca="1">IFERROR(VLOOKUP(B1510,MO_Matriz,3,0),"")</f>
        <v>S</v>
      </c>
      <c r="H1510" s="2">
        <v>1</v>
      </c>
      <c r="I1510" s="2">
        <v>1</v>
      </c>
      <c r="K1510" s="2">
        <f>Listas!$B$6</f>
        <v>7.333333333333333</v>
      </c>
      <c r="M1510" s="238">
        <f>M1506</f>
        <v>1</v>
      </c>
      <c r="O1510" s="2">
        <f>H1510*I1510*K1510*M1510</f>
        <v>7.333333333333333</v>
      </c>
      <c r="Q1510" s="2">
        <f>O1510/220</f>
        <v>3.3333333333333333E-2</v>
      </c>
      <c r="S1510" s="315">
        <f ca="1">IFERROR(VLOOKUP(B1510,MO_Matriz,5,0),"")</f>
        <v>26558.86</v>
      </c>
      <c r="T1510" s="347">
        <f ca="1">Q1510*S1510</f>
        <v>885.29533333333336</v>
      </c>
    </row>
    <row r="1511" spans="1:20" x14ac:dyDescent="0.25">
      <c r="A1511" s="4"/>
      <c r="S1511" s="340" t="s">
        <v>329</v>
      </c>
      <c r="T1511" s="339">
        <f ca="1">SUM(T1510:T1510)</f>
        <v>885.29533333333336</v>
      </c>
    </row>
    <row r="1512" spans="1:20" x14ac:dyDescent="0.25">
      <c r="A1512" s="4"/>
    </row>
    <row r="1513" spans="1:20" x14ac:dyDescent="0.25">
      <c r="A1513" s="337" t="s">
        <v>339</v>
      </c>
      <c r="B1513" s="2" t="s">
        <v>340</v>
      </c>
    </row>
    <row r="1514" spans="1:20" x14ac:dyDescent="0.25">
      <c r="B1514" s="2" t="s">
        <v>341</v>
      </c>
    </row>
    <row r="1516" spans="1:20" x14ac:dyDescent="0.25">
      <c r="A1516" s="4" t="s">
        <v>348</v>
      </c>
      <c r="B1516" s="2" t="s">
        <v>349</v>
      </c>
    </row>
    <row r="1517" spans="1:20" x14ac:dyDescent="0.25">
      <c r="A1517" s="4" t="s">
        <v>451</v>
      </c>
      <c r="B1517" s="2" t="s">
        <v>452</v>
      </c>
    </row>
    <row r="1518" spans="1:20" x14ac:dyDescent="0.25">
      <c r="B1518" s="4" t="s">
        <v>360</v>
      </c>
      <c r="C1518" s="2" t="s">
        <v>15</v>
      </c>
      <c r="F1518" s="4" t="s">
        <v>321</v>
      </c>
      <c r="G1518" s="4"/>
      <c r="H1518" s="4" t="s">
        <v>453</v>
      </c>
      <c r="I1518" s="4"/>
      <c r="J1518" s="4" t="s">
        <v>454</v>
      </c>
    </row>
    <row r="1519" spans="1:20" x14ac:dyDescent="0.25">
      <c r="B1519" s="4" t="str">
        <f>B1510</f>
        <v>P8058</v>
      </c>
      <c r="C1519" s="2" t="str">
        <f ca="1">IFERROR(VLOOKUP(B1519,MO_Matriz,2,0),"")</f>
        <v>Engenheiro ambiental pleno</v>
      </c>
      <c r="F1519" s="4" t="str">
        <f ca="1">IFERROR(VLOOKUP(B1519,MO_Matriz,3,0),"")</f>
        <v>S</v>
      </c>
      <c r="H1519" s="2" t="s">
        <v>455</v>
      </c>
      <c r="J1519" s="2">
        <v>1</v>
      </c>
    </row>
    <row r="1520" spans="1:20" x14ac:dyDescent="0.25">
      <c r="I1520" s="340" t="s">
        <v>329</v>
      </c>
      <c r="J1520" s="340">
        <f>SUM(J1519:J1519)</f>
        <v>1</v>
      </c>
    </row>
    <row r="1522" spans="1:16" x14ac:dyDescent="0.25">
      <c r="A1522" s="4" t="s">
        <v>456</v>
      </c>
      <c r="B1522" s="2" t="s">
        <v>457</v>
      </c>
    </row>
    <row r="1523" spans="1:16" x14ac:dyDescent="0.25">
      <c r="A1523" s="4"/>
      <c r="B1523" s="2" t="s">
        <v>1033</v>
      </c>
    </row>
    <row r="1524" spans="1:16" x14ac:dyDescent="0.25">
      <c r="A1524" s="4"/>
    </row>
    <row r="1525" spans="1:16" x14ac:dyDescent="0.25">
      <c r="A1525" s="4" t="s">
        <v>350</v>
      </c>
      <c r="B1525" s="2" t="s">
        <v>351</v>
      </c>
    </row>
    <row r="1526" spans="1:16" x14ac:dyDescent="0.25">
      <c r="B1526" s="2" t="s">
        <v>344</v>
      </c>
    </row>
    <row r="1528" spans="1:16" x14ac:dyDescent="0.25">
      <c r="A1528" s="4" t="s">
        <v>197</v>
      </c>
      <c r="B1528" s="2" t="s">
        <v>352</v>
      </c>
    </row>
    <row r="1529" spans="1:16" x14ac:dyDescent="0.25">
      <c r="B1529" s="2" t="s">
        <v>346</v>
      </c>
    </row>
    <row r="1531" spans="1:16" x14ac:dyDescent="0.25">
      <c r="A1531" s="4" t="s">
        <v>353</v>
      </c>
      <c r="B1531" s="2" t="s">
        <v>354</v>
      </c>
    </row>
    <row r="1532" spans="1:16" x14ac:dyDescent="0.25">
      <c r="B1532" s="2" t="s">
        <v>347</v>
      </c>
    </row>
    <row r="1534" spans="1:16" x14ac:dyDescent="0.25">
      <c r="A1534" s="4" t="s">
        <v>355</v>
      </c>
      <c r="B1534" s="2" t="s">
        <v>356</v>
      </c>
    </row>
    <row r="1535" spans="1:16" x14ac:dyDescent="0.25">
      <c r="B1535" s="2" t="s">
        <v>15</v>
      </c>
      <c r="F1535" s="2" t="s">
        <v>357</v>
      </c>
    </row>
    <row r="1536" spans="1:16" x14ac:dyDescent="0.25">
      <c r="B1536" s="2" t="s">
        <v>317</v>
      </c>
      <c r="F1536" s="315">
        <f ca="1">T1511</f>
        <v>885.29533333333336</v>
      </c>
      <c r="P1536" s="4"/>
    </row>
    <row r="1537" spans="1:20" x14ac:dyDescent="0.25">
      <c r="B1537" s="2" t="s">
        <v>276</v>
      </c>
      <c r="F1537" s="315">
        <v>0</v>
      </c>
      <c r="P1537" s="4"/>
    </row>
    <row r="1538" spans="1:20" x14ac:dyDescent="0.25">
      <c r="B1538" s="2" t="s">
        <v>342</v>
      </c>
      <c r="F1538" s="315">
        <v>0</v>
      </c>
    </row>
    <row r="1539" spans="1:20" x14ac:dyDescent="0.25">
      <c r="B1539" s="2" t="s">
        <v>343</v>
      </c>
      <c r="F1539" s="315">
        <v>0</v>
      </c>
    </row>
    <row r="1540" spans="1:20" x14ac:dyDescent="0.25">
      <c r="B1540" s="2" t="s">
        <v>345</v>
      </c>
      <c r="F1540" s="315">
        <v>0</v>
      </c>
    </row>
    <row r="1541" spans="1:20" x14ac:dyDescent="0.25">
      <c r="B1541" s="2" t="s">
        <v>516</v>
      </c>
      <c r="F1541" s="315">
        <v>0</v>
      </c>
    </row>
    <row r="1542" spans="1:20" x14ac:dyDescent="0.25">
      <c r="E1542" s="340" t="s">
        <v>329</v>
      </c>
      <c r="F1542" s="339">
        <f ca="1">SUM(F1536:F1541)</f>
        <v>885.29533333333336</v>
      </c>
    </row>
    <row r="1543" spans="1:20" x14ac:dyDescent="0.25">
      <c r="E1543" s="340"/>
      <c r="F1543" s="339"/>
    </row>
    <row r="1544" spans="1:20" ht="17.25" x14ac:dyDescent="0.25">
      <c r="A1544" s="336" t="s">
        <v>1185</v>
      </c>
      <c r="B1544" s="336" t="s">
        <v>1009</v>
      </c>
      <c r="C1544" s="336"/>
      <c r="D1544" s="336"/>
      <c r="E1544" s="28"/>
      <c r="F1544" s="28"/>
      <c r="G1544" s="28"/>
      <c r="H1544" s="28"/>
      <c r="I1544" s="28"/>
      <c r="J1544" s="28"/>
      <c r="K1544" s="28"/>
      <c r="L1544" s="28"/>
      <c r="M1544" s="28"/>
      <c r="N1544" s="28"/>
      <c r="O1544" s="28"/>
    </row>
    <row r="1545" spans="1:20" x14ac:dyDescent="0.25">
      <c r="A1545" s="4" t="s">
        <v>61</v>
      </c>
      <c r="B1545" s="2" t="s">
        <v>338</v>
      </c>
    </row>
    <row r="1546" spans="1:20" x14ac:dyDescent="0.25">
      <c r="A1546" s="4"/>
      <c r="B1546" s="2" t="s">
        <v>15</v>
      </c>
      <c r="F1546" s="4" t="s">
        <v>414</v>
      </c>
      <c r="H1546" s="4" t="s">
        <v>856</v>
      </c>
      <c r="J1546" s="4" t="s">
        <v>224</v>
      </c>
      <c r="K1546" s="2" t="s">
        <v>855</v>
      </c>
      <c r="M1546" s="2" t="s">
        <v>325</v>
      </c>
      <c r="O1546" s="2" t="s">
        <v>381</v>
      </c>
    </row>
    <row r="1547" spans="1:20" x14ac:dyDescent="0.25">
      <c r="A1547" s="4"/>
      <c r="B1547" s="2" t="s">
        <v>596</v>
      </c>
      <c r="F1547" s="358">
        <v>1</v>
      </c>
      <c r="H1547" s="238">
        <v>0.5</v>
      </c>
      <c r="I1547" s="4"/>
      <c r="J1547" s="2">
        <f>1.507615/H1547</f>
        <v>3.0152299999999999</v>
      </c>
      <c r="K1547" s="238">
        <f>'Carac trecho'!$C$59</f>
        <v>3</v>
      </c>
      <c r="M1547" s="238">
        <f>J1547+K1547</f>
        <v>6.0152299999999999</v>
      </c>
      <c r="O1547" s="2">
        <f>ROUNDUP(M1547*Listas!$E$5,0)</f>
        <v>8</v>
      </c>
    </row>
    <row r="1548" spans="1:20" x14ac:dyDescent="0.25">
      <c r="A1548" s="4"/>
      <c r="B1548" s="2" t="s">
        <v>487</v>
      </c>
      <c r="F1548" s="358">
        <v>0.6</v>
      </c>
      <c r="H1548" s="359">
        <v>0</v>
      </c>
      <c r="I1548" s="4"/>
      <c r="J1548" s="359">
        <v>0</v>
      </c>
      <c r="K1548" s="359">
        <v>0</v>
      </c>
      <c r="M1548" s="238">
        <f>M1547*F1548</f>
        <v>3.6091379999999997</v>
      </c>
      <c r="O1548" s="238">
        <f>ROUNDUP(O1547*F1548,0)</f>
        <v>5</v>
      </c>
    </row>
    <row r="1549" spans="1:20" x14ac:dyDescent="0.25">
      <c r="A1549" s="4"/>
      <c r="B1549" s="2" t="s">
        <v>592</v>
      </c>
      <c r="F1549" s="358">
        <v>0.4</v>
      </c>
      <c r="H1549" s="359">
        <v>0</v>
      </c>
      <c r="I1549" s="4"/>
      <c r="J1549" s="359">
        <v>0</v>
      </c>
      <c r="K1549" s="359">
        <v>0</v>
      </c>
      <c r="M1549" s="238">
        <f>M1547-M1548</f>
        <v>2.4060920000000001</v>
      </c>
      <c r="O1549" s="238">
        <f>O1547-O1548</f>
        <v>3</v>
      </c>
    </row>
    <row r="1550" spans="1:20" x14ac:dyDescent="0.25">
      <c r="A1550" s="4"/>
      <c r="F1550" s="358"/>
      <c r="H1550" s="359"/>
      <c r="I1550" s="4"/>
      <c r="J1550" s="359"/>
      <c r="K1550" s="359"/>
      <c r="L1550" s="2" t="s">
        <v>329</v>
      </c>
      <c r="M1550" s="238">
        <f>SUM(M1547:M1549)</f>
        <v>12.030460000000001</v>
      </c>
      <c r="O1550" s="238"/>
    </row>
    <row r="1551" spans="1:20" x14ac:dyDescent="0.25">
      <c r="A1551" s="4"/>
    </row>
    <row r="1552" spans="1:20" x14ac:dyDescent="0.25">
      <c r="A1552" s="4"/>
      <c r="B1552" s="4" t="s">
        <v>360</v>
      </c>
      <c r="C1552" s="2" t="s">
        <v>15</v>
      </c>
      <c r="F1552" s="4" t="s">
        <v>321</v>
      </c>
      <c r="G1552" s="4"/>
      <c r="H1552" s="4" t="s">
        <v>322</v>
      </c>
      <c r="I1552" s="4" t="s">
        <v>323</v>
      </c>
      <c r="J1552" s="4"/>
      <c r="K1552" s="4" t="s">
        <v>324</v>
      </c>
      <c r="L1552" s="4"/>
      <c r="M1552" s="4" t="s">
        <v>325</v>
      </c>
      <c r="N1552" s="4"/>
      <c r="O1552" s="4" t="s">
        <v>326</v>
      </c>
      <c r="Q1552" s="4" t="s">
        <v>327</v>
      </c>
      <c r="R1552" s="4"/>
      <c r="S1552" s="4" t="s">
        <v>328</v>
      </c>
      <c r="T1552" s="337" t="s">
        <v>329</v>
      </c>
    </row>
    <row r="1553" spans="1:20" x14ac:dyDescent="0.25">
      <c r="A1553" s="4"/>
      <c r="B1553" s="4"/>
      <c r="F1553" s="4"/>
      <c r="G1553" s="4"/>
      <c r="H1553" s="4" t="s">
        <v>330</v>
      </c>
      <c r="I1553" s="4" t="s">
        <v>331</v>
      </c>
      <c r="J1553" s="4"/>
      <c r="K1553" s="4" t="s">
        <v>332</v>
      </c>
      <c r="L1553" s="4"/>
      <c r="M1553" s="4" t="s">
        <v>333</v>
      </c>
      <c r="N1553" s="4"/>
      <c r="O1553" s="4" t="s">
        <v>334</v>
      </c>
      <c r="Q1553" s="4" t="s">
        <v>335</v>
      </c>
      <c r="R1553" s="4"/>
      <c r="S1553" s="4" t="s">
        <v>336</v>
      </c>
      <c r="T1553" s="337" t="s">
        <v>337</v>
      </c>
    </row>
    <row r="1554" spans="1:20" x14ac:dyDescent="0.25">
      <c r="A1554" s="4"/>
      <c r="B1554" s="4" t="s">
        <v>102</v>
      </c>
      <c r="C1554" s="2" t="str">
        <f ca="1">IFERROR(VLOOKUP(B1554,MO_Matriz,2,0),"")</f>
        <v>Engenheiro consultor especial</v>
      </c>
      <c r="F1554" s="4" t="str">
        <f ca="1">IFERROR(VLOOKUP(B1554,MO_Matriz,3,0),"")</f>
        <v>S</v>
      </c>
      <c r="H1554" s="2">
        <v>1</v>
      </c>
      <c r="I1554" s="2">
        <v>1</v>
      </c>
      <c r="K1554" s="2">
        <f>Listas!$B$6</f>
        <v>7.333333333333333</v>
      </c>
      <c r="M1554" s="238">
        <f>M1550</f>
        <v>12.030460000000001</v>
      </c>
      <c r="O1554" s="2">
        <f>H1554*I1554*K1554*M1554</f>
        <v>88.223373333333342</v>
      </c>
      <c r="Q1554" s="2">
        <f>O1554/220</f>
        <v>0.40101533333333339</v>
      </c>
      <c r="S1554" s="315">
        <f ca="1">IFERROR(VLOOKUP(B1554,MO_Matriz,5,0),"")</f>
        <v>41989.87</v>
      </c>
      <c r="T1554" s="347">
        <f ca="1">Q1554*S1554</f>
        <v>16838.581714673335</v>
      </c>
    </row>
    <row r="1555" spans="1:20" x14ac:dyDescent="0.25">
      <c r="A1555" s="4"/>
      <c r="B1555" s="4" t="s">
        <v>181</v>
      </c>
      <c r="C1555" s="2" t="str">
        <f ca="1">IFERROR(VLOOKUP(B1555,MO_Matriz,2,0),"")</f>
        <v>Desenhista</v>
      </c>
      <c r="F1555" s="4" t="str">
        <f ca="1">IFERROR(VLOOKUP(B1555,MO_Matriz,3,0),"")</f>
        <v>T</v>
      </c>
      <c r="H1555" s="2">
        <v>1</v>
      </c>
      <c r="I1555" s="2">
        <v>1</v>
      </c>
      <c r="K1555" s="2">
        <f>Listas!$B$6</f>
        <v>7.333333333333333</v>
      </c>
      <c r="M1555" s="238">
        <f>M1550</f>
        <v>12.030460000000001</v>
      </c>
      <c r="O1555" s="2">
        <f>H1555*I1555*K1555*M1555</f>
        <v>88.223373333333342</v>
      </c>
      <c r="Q1555" s="2">
        <f>O1555/220</f>
        <v>0.40101533333333339</v>
      </c>
      <c r="S1555" s="315">
        <f ca="1">IFERROR(VLOOKUP(B1555,MO_Matriz,5,0),"")</f>
        <v>7821.6815999999999</v>
      </c>
      <c r="T1555" s="347">
        <f ca="1">Q1555*S1555</f>
        <v>3136.6142540512005</v>
      </c>
    </row>
    <row r="1556" spans="1:20" x14ac:dyDescent="0.25">
      <c r="A1556" s="4"/>
      <c r="S1556" s="340" t="s">
        <v>329</v>
      </c>
      <c r="T1556" s="339">
        <f ca="1">SUM(T1554:T1555)</f>
        <v>19975.195968724536</v>
      </c>
    </row>
    <row r="1557" spans="1:20" x14ac:dyDescent="0.25">
      <c r="A1557" s="4"/>
    </row>
    <row r="1558" spans="1:20" x14ac:dyDescent="0.25">
      <c r="A1558" s="337" t="s">
        <v>339</v>
      </c>
      <c r="B1558" s="2" t="s">
        <v>340</v>
      </c>
    </row>
    <row r="1559" spans="1:20" x14ac:dyDescent="0.25">
      <c r="B1559" s="2" t="s">
        <v>341</v>
      </c>
    </row>
    <row r="1561" spans="1:20" x14ac:dyDescent="0.25">
      <c r="A1561" s="4" t="s">
        <v>348</v>
      </c>
      <c r="B1561" s="2" t="s">
        <v>349</v>
      </c>
    </row>
    <row r="1562" spans="1:20" x14ac:dyDescent="0.25">
      <c r="A1562" s="4" t="s">
        <v>451</v>
      </c>
      <c r="B1562" s="2" t="s">
        <v>452</v>
      </c>
    </row>
    <row r="1563" spans="1:20" x14ac:dyDescent="0.25">
      <c r="B1563" s="4" t="s">
        <v>360</v>
      </c>
      <c r="C1563" s="2" t="s">
        <v>15</v>
      </c>
      <c r="F1563" s="4" t="s">
        <v>321</v>
      </c>
      <c r="G1563" s="4"/>
      <c r="H1563" s="4" t="s">
        <v>453</v>
      </c>
      <c r="I1563" s="4"/>
      <c r="J1563" s="4" t="s">
        <v>454</v>
      </c>
    </row>
    <row r="1564" spans="1:20" x14ac:dyDescent="0.25">
      <c r="B1564" s="4" t="str">
        <f>B1554</f>
        <v>P8060</v>
      </c>
      <c r="C1564" s="2" t="str">
        <f ca="1">IFERROR(VLOOKUP(B1564,MO_Matriz,2,0),"")</f>
        <v>Engenheiro consultor especial</v>
      </c>
      <c r="F1564" s="4" t="str">
        <f ca="1">IFERROR(VLOOKUP(B1564,MO_Matriz,3,0),"")</f>
        <v>S</v>
      </c>
      <c r="H1564" s="2" t="s">
        <v>455</v>
      </c>
      <c r="J1564" s="2">
        <v>1</v>
      </c>
    </row>
    <row r="1565" spans="1:20" x14ac:dyDescent="0.25">
      <c r="B1565" s="4" t="str">
        <f>B1555</f>
        <v>P9848</v>
      </c>
      <c r="C1565" s="2" t="str">
        <f ca="1">IFERROR(VLOOKUP(B1565,MO_Matriz,2,0),"")</f>
        <v>Desenhista</v>
      </c>
      <c r="F1565" s="4" t="str">
        <f ca="1">IFERROR(VLOOKUP(B1565,MO_Matriz,3,0),"")</f>
        <v>T</v>
      </c>
      <c r="H1565" s="2" t="s">
        <v>455</v>
      </c>
      <c r="J1565" s="2">
        <v>1</v>
      </c>
    </row>
    <row r="1566" spans="1:20" x14ac:dyDescent="0.25">
      <c r="I1566" s="340" t="s">
        <v>329</v>
      </c>
      <c r="J1566" s="340">
        <f>SUM(J1564:J1565)</f>
        <v>2</v>
      </c>
    </row>
    <row r="1568" spans="1:20" x14ac:dyDescent="0.25">
      <c r="A1568" s="4" t="s">
        <v>456</v>
      </c>
      <c r="B1568" s="2" t="s">
        <v>457</v>
      </c>
    </row>
    <row r="1569" spans="1:20" x14ac:dyDescent="0.25">
      <c r="A1569" s="4"/>
      <c r="B1569" s="2" t="s">
        <v>1033</v>
      </c>
    </row>
    <row r="1571" spans="1:20" x14ac:dyDescent="0.25">
      <c r="A1571" s="4" t="s">
        <v>350</v>
      </c>
      <c r="B1571" s="2" t="s">
        <v>351</v>
      </c>
    </row>
    <row r="1572" spans="1:20" x14ac:dyDescent="0.25">
      <c r="B1572" s="2" t="s">
        <v>344</v>
      </c>
    </row>
    <row r="1574" spans="1:20" x14ac:dyDescent="0.25">
      <c r="A1574" s="4" t="s">
        <v>197</v>
      </c>
      <c r="B1574" s="2" t="s">
        <v>352</v>
      </c>
    </row>
    <row r="1575" spans="1:20" ht="17.25" x14ac:dyDescent="0.25">
      <c r="B1575" s="2" t="s">
        <v>346</v>
      </c>
      <c r="P1575" s="28"/>
      <c r="Q1575" s="28"/>
      <c r="R1575" s="28"/>
      <c r="S1575" s="28"/>
      <c r="T1575" s="28"/>
    </row>
    <row r="1577" spans="1:20" x14ac:dyDescent="0.25">
      <c r="A1577" s="4" t="s">
        <v>353</v>
      </c>
      <c r="B1577" s="2" t="s">
        <v>354</v>
      </c>
    </row>
    <row r="1578" spans="1:20" x14ac:dyDescent="0.25">
      <c r="B1578" s="2" t="s">
        <v>347</v>
      </c>
    </row>
    <row r="1580" spans="1:20" x14ac:dyDescent="0.25">
      <c r="A1580" s="4" t="s">
        <v>355</v>
      </c>
      <c r="B1580" s="2" t="s">
        <v>356</v>
      </c>
    </row>
    <row r="1581" spans="1:20" x14ac:dyDescent="0.25">
      <c r="B1581" s="2" t="s">
        <v>15</v>
      </c>
      <c r="F1581" s="2" t="s">
        <v>357</v>
      </c>
    </row>
    <row r="1582" spans="1:20" x14ac:dyDescent="0.25">
      <c r="B1582" s="2" t="s">
        <v>317</v>
      </c>
      <c r="F1582" s="315">
        <f ca="1">T1556</f>
        <v>19975.195968724536</v>
      </c>
    </row>
    <row r="1583" spans="1:20" x14ac:dyDescent="0.25">
      <c r="B1583" s="2" t="s">
        <v>276</v>
      </c>
      <c r="F1583" s="315">
        <v>0</v>
      </c>
      <c r="P1583" s="4"/>
    </row>
    <row r="1584" spans="1:20" x14ac:dyDescent="0.25">
      <c r="B1584" s="2" t="s">
        <v>342</v>
      </c>
      <c r="F1584" s="315">
        <v>0</v>
      </c>
      <c r="P1584" s="4"/>
    </row>
    <row r="1585" spans="2:6" x14ac:dyDescent="0.25">
      <c r="B1585" s="2" t="s">
        <v>343</v>
      </c>
      <c r="F1585" s="315">
        <v>0</v>
      </c>
    </row>
    <row r="1586" spans="2:6" x14ac:dyDescent="0.25">
      <c r="B1586" s="2" t="s">
        <v>345</v>
      </c>
      <c r="F1586" s="315">
        <v>0</v>
      </c>
    </row>
    <row r="1587" spans="2:6" x14ac:dyDescent="0.25">
      <c r="B1587" s="2" t="s">
        <v>516</v>
      </c>
      <c r="F1587" s="315">
        <v>0</v>
      </c>
    </row>
    <row r="1588" spans="2:6" x14ac:dyDescent="0.25">
      <c r="E1588" s="340" t="s">
        <v>329</v>
      </c>
      <c r="F1588" s="339">
        <f ca="1">SUM(F1582:F1587)</f>
        <v>19975.195968724536</v>
      </c>
    </row>
    <row r="1592" spans="2:6" ht="13.5" customHeight="1" x14ac:dyDescent="0.25"/>
  </sheetData>
  <pageMargins left="1.1811023622047245" right="0.78740157480314965" top="0.78740157480314965" bottom="0.78740157480314965" header="0.31496062992125984" footer="0.31496062992125984"/>
  <pageSetup paperSize="9" scale="26" fitToHeight="0" orientation="landscape" r:id="rId1"/>
  <rowBreaks count="13" manualBreakCount="13">
    <brk id="120" max="16383" man="1"/>
    <brk id="227" max="16383" man="1"/>
    <brk id="321" max="16383" man="1"/>
    <brk id="432" max="28" man="1"/>
    <brk id="535" max="16383" man="1"/>
    <brk id="646" max="28" man="1"/>
    <brk id="753" max="16383" man="1"/>
    <brk id="864" max="28" man="1"/>
    <brk id="974" max="16383" man="1"/>
    <brk id="1085" max="28" man="1"/>
    <brk id="1195" max="28" man="1"/>
    <brk id="1300" max="16383" man="1"/>
    <brk id="1477" max="28" man="1"/>
  </rowBreaks>
  <ignoredErrors>
    <ignoredError sqref="F732" evalError="1"/>
  </ignoredErrors>
  <drawing r:id="rId2"/>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Planilha18">
    <tabColor theme="9"/>
  </sheetPr>
  <dimension ref="B1:NH74"/>
  <sheetViews>
    <sheetView showGridLines="0" view="pageBreakPreview" zoomScale="70" zoomScaleNormal="10" zoomScaleSheetLayoutView="70" workbookViewId="0">
      <selection activeCell="C67" sqref="C67"/>
    </sheetView>
  </sheetViews>
  <sheetFormatPr defaultColWidth="9.140625" defaultRowHeight="15" customHeight="1" x14ac:dyDescent="0.25"/>
  <cols>
    <col min="1" max="1" width="1.7109375" style="2" customWidth="1"/>
    <col min="2" max="2" width="13.42578125" style="2" bestFit="1" customWidth="1"/>
    <col min="3" max="3" width="29.7109375" style="2" bestFit="1" customWidth="1"/>
    <col min="4" max="4" width="23.28515625" style="2" bestFit="1" customWidth="1"/>
    <col min="5" max="5" width="14.140625" style="2" bestFit="1" customWidth="1"/>
    <col min="6" max="6" width="18.28515625" style="2" bestFit="1" customWidth="1"/>
    <col min="7" max="7" width="12.28515625" style="2" bestFit="1" customWidth="1"/>
    <col min="8" max="16" width="3" style="2" bestFit="1" customWidth="1"/>
    <col min="17" max="106" width="4.28515625" style="2" customWidth="1"/>
    <col min="107" max="372" width="5.5703125" style="2" bestFit="1" customWidth="1"/>
    <col min="373" max="16384" width="9.140625" style="2"/>
  </cols>
  <sheetData>
    <row r="1" spans="2:372" ht="9" customHeight="1" x14ac:dyDescent="0.25"/>
    <row r="2" spans="2:372" ht="34.5" customHeight="1" x14ac:dyDescent="0.25"/>
    <row r="4" spans="2:372" ht="15" customHeight="1" x14ac:dyDescent="0.25">
      <c r="B4" s="23" t="s">
        <v>0</v>
      </c>
      <c r="C4" s="481" t="str">
        <f>'Qd abrang'!C4</f>
        <v>Contratação de Projeto Executivo de Engenharia para Implantação do Aeródromo no município de Ribas do Rio Pardo</v>
      </c>
      <c r="D4" s="481"/>
      <c r="E4" s="481"/>
      <c r="F4" s="481"/>
      <c r="G4" s="481"/>
      <c r="H4" s="481"/>
      <c r="I4" s="481"/>
      <c r="J4" s="481"/>
      <c r="K4" s="481"/>
    </row>
    <row r="5" spans="2:372" x14ac:dyDescent="0.25">
      <c r="B5" s="5" t="s">
        <v>862</v>
      </c>
      <c r="C5" s="1" t="str">
        <f>'Qd abrang'!C5</f>
        <v>Ribas do Rio Pardo/MS</v>
      </c>
    </row>
    <row r="6" spans="2:372" x14ac:dyDescent="0.25">
      <c r="B6" s="5" t="s">
        <v>863</v>
      </c>
      <c r="C6" s="1">
        <f>'Qd abrang'!C6</f>
        <v>0</v>
      </c>
    </row>
    <row r="7" spans="2:372" x14ac:dyDescent="0.25">
      <c r="B7" s="5" t="s">
        <v>1</v>
      </c>
      <c r="C7" s="96">
        <f>'Qd abrang'!C7</f>
        <v>1.3</v>
      </c>
      <c r="D7" s="2" t="s">
        <v>3</v>
      </c>
      <c r="E7" s="5" t="s">
        <v>16</v>
      </c>
      <c r="F7" s="6" t="str">
        <f>'Qd abrang'!N7</f>
        <v>79.009.850-2025</v>
      </c>
    </row>
    <row r="8" spans="2:372" x14ac:dyDescent="0.25">
      <c r="B8" s="5" t="s">
        <v>2</v>
      </c>
      <c r="C8" s="1">
        <f>'Qd abrang'!C8</f>
        <v>365</v>
      </c>
      <c r="D8" s="2" t="s">
        <v>4</v>
      </c>
      <c r="E8" s="69" t="s">
        <v>17</v>
      </c>
      <c r="F8" s="6">
        <f>'Qd abrang'!N8</f>
        <v>45748</v>
      </c>
    </row>
    <row r="10" spans="2:372" s="11" customFormat="1" ht="21" x14ac:dyDescent="0.25">
      <c r="B10" s="458" t="s">
        <v>728</v>
      </c>
      <c r="C10" s="458"/>
      <c r="D10" s="458"/>
      <c r="E10" s="458"/>
      <c r="F10" s="458"/>
      <c r="G10" s="458"/>
    </row>
    <row r="11" spans="2:372" ht="15" customHeight="1" x14ac:dyDescent="0.25">
      <c r="G11" s="54" t="s">
        <v>361</v>
      </c>
      <c r="H11" s="474">
        <v>1</v>
      </c>
      <c r="I11" s="474"/>
      <c r="J11" s="474"/>
      <c r="K11" s="474"/>
      <c r="L11" s="474"/>
      <c r="M11" s="474"/>
      <c r="N11" s="474"/>
      <c r="O11" s="474"/>
      <c r="P11" s="474"/>
      <c r="Q11" s="474"/>
      <c r="R11" s="474"/>
      <c r="S11" s="474"/>
      <c r="T11" s="474"/>
      <c r="U11" s="474"/>
      <c r="V11" s="474"/>
      <c r="W11" s="474"/>
      <c r="X11" s="474"/>
      <c r="Y11" s="474"/>
      <c r="Z11" s="474"/>
      <c r="AA11" s="474"/>
      <c r="AB11" s="474"/>
      <c r="AC11" s="474"/>
      <c r="AD11" s="474"/>
      <c r="AE11" s="474"/>
      <c r="AF11" s="474"/>
      <c r="AG11" s="474"/>
      <c r="AH11" s="474"/>
      <c r="AI11" s="474"/>
      <c r="AJ11" s="474"/>
      <c r="AK11" s="474"/>
      <c r="AL11" s="474">
        <v>2</v>
      </c>
      <c r="AM11" s="474"/>
      <c r="AN11" s="474"/>
      <c r="AO11" s="474"/>
      <c r="AP11" s="474"/>
      <c r="AQ11" s="474"/>
      <c r="AR11" s="474"/>
      <c r="AS11" s="474"/>
      <c r="AT11" s="474"/>
      <c r="AU11" s="474"/>
      <c r="AV11" s="474"/>
      <c r="AW11" s="474"/>
      <c r="AX11" s="474"/>
      <c r="AY11" s="474"/>
      <c r="AZ11" s="474"/>
      <c r="BA11" s="474"/>
      <c r="BB11" s="474"/>
      <c r="BC11" s="474"/>
      <c r="BD11" s="474"/>
      <c r="BE11" s="474"/>
      <c r="BF11" s="474"/>
      <c r="BG11" s="474"/>
      <c r="BH11" s="474"/>
      <c r="BI11" s="474"/>
      <c r="BJ11" s="474"/>
      <c r="BK11" s="474"/>
      <c r="BL11" s="474"/>
      <c r="BM11" s="474"/>
      <c r="BN11" s="474"/>
      <c r="BO11" s="474"/>
      <c r="BP11" s="474"/>
      <c r="BQ11" s="478">
        <v>3</v>
      </c>
      <c r="BR11" s="515"/>
      <c r="BS11" s="515"/>
      <c r="BT11" s="515"/>
      <c r="BU11" s="515"/>
      <c r="BV11" s="515"/>
      <c r="BW11" s="515"/>
      <c r="BX11" s="515"/>
      <c r="BY11" s="515"/>
      <c r="BZ11" s="515"/>
      <c r="CA11" s="515"/>
      <c r="CB11" s="515"/>
      <c r="CC11" s="515"/>
      <c r="CD11" s="515"/>
      <c r="CE11" s="515"/>
      <c r="CF11" s="515"/>
      <c r="CG11" s="515"/>
      <c r="CH11" s="515"/>
      <c r="CI11" s="515"/>
      <c r="CJ11" s="515"/>
      <c r="CK11" s="515"/>
      <c r="CL11" s="515"/>
      <c r="CM11" s="515"/>
      <c r="CN11" s="515"/>
      <c r="CO11" s="515"/>
      <c r="CP11" s="515"/>
      <c r="CQ11" s="515"/>
      <c r="CR11" s="515"/>
      <c r="CS11" s="515"/>
      <c r="CT11" s="515"/>
      <c r="CU11" s="479"/>
      <c r="CV11" s="478">
        <v>4</v>
      </c>
      <c r="CW11" s="515"/>
      <c r="CX11" s="515"/>
      <c r="CY11" s="515"/>
      <c r="CZ11" s="515"/>
      <c r="DA11" s="515"/>
      <c r="DB11" s="515"/>
      <c r="DC11" s="515"/>
      <c r="DD11" s="515"/>
      <c r="DE11" s="515"/>
      <c r="DF11" s="515"/>
      <c r="DG11" s="515"/>
      <c r="DH11" s="515"/>
      <c r="DI11" s="515"/>
      <c r="DJ11" s="515"/>
      <c r="DK11" s="515"/>
      <c r="DL11" s="515"/>
      <c r="DM11" s="515"/>
      <c r="DN11" s="515"/>
      <c r="DO11" s="515"/>
      <c r="DP11" s="515"/>
      <c r="DQ11" s="515"/>
      <c r="DR11" s="515"/>
      <c r="DS11" s="515"/>
      <c r="DT11" s="515"/>
      <c r="DU11" s="515"/>
      <c r="DV11" s="515"/>
      <c r="DW11" s="515"/>
      <c r="DX11" s="515"/>
      <c r="DY11" s="515"/>
      <c r="DZ11" s="479"/>
      <c r="EA11" s="478">
        <v>5</v>
      </c>
      <c r="EB11" s="515"/>
      <c r="EC11" s="515"/>
      <c r="ED11" s="515"/>
      <c r="EE11" s="515"/>
      <c r="EF11" s="515"/>
      <c r="EG11" s="515"/>
      <c r="EH11" s="515"/>
      <c r="EI11" s="515"/>
      <c r="EJ11" s="515"/>
      <c r="EK11" s="515"/>
      <c r="EL11" s="515"/>
      <c r="EM11" s="515"/>
      <c r="EN11" s="515"/>
      <c r="EO11" s="515"/>
      <c r="EP11" s="515"/>
      <c r="EQ11" s="515"/>
      <c r="ER11" s="515"/>
      <c r="ES11" s="515"/>
      <c r="ET11" s="515"/>
      <c r="EU11" s="515"/>
      <c r="EV11" s="515"/>
      <c r="EW11" s="515"/>
      <c r="EX11" s="515"/>
      <c r="EY11" s="515"/>
      <c r="EZ11" s="515"/>
      <c r="FA11" s="515"/>
      <c r="FB11" s="515"/>
      <c r="FC11" s="515"/>
      <c r="FD11" s="515"/>
      <c r="FE11" s="479"/>
      <c r="FF11" s="478">
        <v>6</v>
      </c>
      <c r="FG11" s="515"/>
      <c r="FH11" s="515"/>
      <c r="FI11" s="515"/>
      <c r="FJ11" s="515"/>
      <c r="FK11" s="515"/>
      <c r="FL11" s="515"/>
      <c r="FM11" s="515"/>
      <c r="FN11" s="515"/>
      <c r="FO11" s="515"/>
      <c r="FP11" s="515"/>
      <c r="FQ11" s="515"/>
      <c r="FR11" s="515"/>
      <c r="FS11" s="515"/>
      <c r="FT11" s="515"/>
      <c r="FU11" s="515"/>
      <c r="FV11" s="515"/>
      <c r="FW11" s="515"/>
      <c r="FX11" s="515"/>
      <c r="FY11" s="515"/>
      <c r="FZ11" s="515"/>
      <c r="GA11" s="515"/>
      <c r="GB11" s="515"/>
      <c r="GC11" s="515"/>
      <c r="GD11" s="515"/>
      <c r="GE11" s="515"/>
      <c r="GF11" s="515"/>
      <c r="GG11" s="515"/>
      <c r="GH11" s="515"/>
      <c r="GI11" s="515"/>
      <c r="GJ11" s="479"/>
      <c r="GK11" s="478">
        <v>7</v>
      </c>
      <c r="GL11" s="515"/>
      <c r="GM11" s="515"/>
      <c r="GN11" s="515"/>
      <c r="GO11" s="515"/>
      <c r="GP11" s="515"/>
      <c r="GQ11" s="515"/>
      <c r="GR11" s="515"/>
      <c r="GS11" s="515"/>
      <c r="GT11" s="515"/>
      <c r="GU11" s="515"/>
      <c r="GV11" s="515"/>
      <c r="GW11" s="515"/>
      <c r="GX11" s="515"/>
      <c r="GY11" s="515"/>
      <c r="GZ11" s="515"/>
      <c r="HA11" s="515"/>
      <c r="HB11" s="515"/>
      <c r="HC11" s="515"/>
      <c r="HD11" s="515"/>
      <c r="HE11" s="515"/>
      <c r="HF11" s="515"/>
      <c r="HG11" s="515"/>
      <c r="HH11" s="515"/>
      <c r="HI11" s="515"/>
      <c r="HJ11" s="515"/>
      <c r="HK11" s="515"/>
      <c r="HL11" s="515"/>
      <c r="HM11" s="515"/>
      <c r="HN11" s="515"/>
      <c r="HO11" s="479"/>
      <c r="HP11" s="478">
        <v>8</v>
      </c>
      <c r="HQ11" s="515"/>
      <c r="HR11" s="515"/>
      <c r="HS11" s="515"/>
      <c r="HT11" s="515"/>
      <c r="HU11" s="515"/>
      <c r="HV11" s="515"/>
      <c r="HW11" s="515"/>
      <c r="HX11" s="515"/>
      <c r="HY11" s="515"/>
      <c r="HZ11" s="515"/>
      <c r="IA11" s="515"/>
      <c r="IB11" s="515"/>
      <c r="IC11" s="515"/>
      <c r="ID11" s="515"/>
      <c r="IE11" s="515"/>
      <c r="IF11" s="515"/>
      <c r="IG11" s="515"/>
      <c r="IH11" s="515"/>
      <c r="II11" s="515"/>
      <c r="IJ11" s="515"/>
      <c r="IK11" s="515"/>
      <c r="IL11" s="515"/>
      <c r="IM11" s="515"/>
      <c r="IN11" s="515"/>
      <c r="IO11" s="515"/>
      <c r="IP11" s="515"/>
      <c r="IQ11" s="515"/>
      <c r="IR11" s="515"/>
      <c r="IS11" s="515"/>
      <c r="IT11" s="479"/>
      <c r="IU11" s="478">
        <v>9</v>
      </c>
      <c r="IV11" s="515"/>
      <c r="IW11" s="515"/>
      <c r="IX11" s="515"/>
      <c r="IY11" s="515"/>
      <c r="IZ11" s="515"/>
      <c r="JA11" s="515"/>
      <c r="JB11" s="515"/>
      <c r="JC11" s="515"/>
      <c r="JD11" s="515"/>
      <c r="JE11" s="515"/>
      <c r="JF11" s="515"/>
      <c r="JG11" s="515"/>
      <c r="JH11" s="515"/>
      <c r="JI11" s="515"/>
      <c r="JJ11" s="515"/>
      <c r="JK11" s="515"/>
      <c r="JL11" s="515"/>
      <c r="JM11" s="515"/>
      <c r="JN11" s="515"/>
      <c r="JO11" s="515"/>
      <c r="JP11" s="515"/>
      <c r="JQ11" s="515"/>
      <c r="JR11" s="515"/>
      <c r="JS11" s="515"/>
      <c r="JT11" s="515"/>
      <c r="JU11" s="515"/>
      <c r="JV11" s="515"/>
      <c r="JW11" s="515"/>
      <c r="JX11" s="515"/>
      <c r="JY11" s="479"/>
      <c r="JZ11" s="478">
        <v>10</v>
      </c>
      <c r="KA11" s="515"/>
      <c r="KB11" s="515"/>
      <c r="KC11" s="515"/>
      <c r="KD11" s="515"/>
      <c r="KE11" s="515"/>
      <c r="KF11" s="515"/>
      <c r="KG11" s="515"/>
      <c r="KH11" s="515"/>
      <c r="KI11" s="515"/>
      <c r="KJ11" s="515"/>
      <c r="KK11" s="515"/>
      <c r="KL11" s="515"/>
      <c r="KM11" s="515"/>
      <c r="KN11" s="515"/>
      <c r="KO11" s="515"/>
      <c r="KP11" s="515"/>
      <c r="KQ11" s="515"/>
      <c r="KR11" s="515"/>
      <c r="KS11" s="515"/>
      <c r="KT11" s="515"/>
      <c r="KU11" s="515"/>
      <c r="KV11" s="515"/>
      <c r="KW11" s="515"/>
      <c r="KX11" s="515"/>
      <c r="KY11" s="515"/>
      <c r="KZ11" s="515"/>
      <c r="LA11" s="515"/>
      <c r="LB11" s="515"/>
      <c r="LC11" s="515"/>
      <c r="LD11" s="479"/>
      <c r="LE11" s="478">
        <v>11</v>
      </c>
      <c r="LF11" s="515"/>
      <c r="LG11" s="515"/>
      <c r="LH11" s="515"/>
      <c r="LI11" s="515"/>
      <c r="LJ11" s="515"/>
      <c r="LK11" s="515"/>
      <c r="LL11" s="515"/>
      <c r="LM11" s="515"/>
      <c r="LN11" s="515"/>
      <c r="LO11" s="515"/>
      <c r="LP11" s="515"/>
      <c r="LQ11" s="515"/>
      <c r="LR11" s="515"/>
      <c r="LS11" s="515"/>
      <c r="LT11" s="515"/>
      <c r="LU11" s="515"/>
      <c r="LV11" s="515"/>
      <c r="LW11" s="515"/>
      <c r="LX11" s="515"/>
      <c r="LY11" s="515"/>
      <c r="LZ11" s="515"/>
      <c r="MA11" s="515"/>
      <c r="MB11" s="515"/>
      <c r="MC11" s="515"/>
      <c r="MD11" s="515"/>
      <c r="ME11" s="515"/>
      <c r="MF11" s="515"/>
      <c r="MG11" s="515"/>
      <c r="MH11" s="515"/>
      <c r="MI11" s="479"/>
      <c r="MJ11" s="474">
        <v>12</v>
      </c>
      <c r="MK11" s="474"/>
      <c r="ML11" s="474"/>
      <c r="MM11" s="474"/>
      <c r="MN11" s="474"/>
      <c r="MO11" s="474"/>
      <c r="MP11" s="474"/>
      <c r="MQ11" s="474"/>
      <c r="MR11" s="474"/>
      <c r="MS11" s="474"/>
      <c r="MT11" s="474"/>
      <c r="MU11" s="474"/>
      <c r="MV11" s="474"/>
      <c r="MW11" s="474"/>
      <c r="MX11" s="474"/>
      <c r="MY11" s="474"/>
      <c r="MZ11" s="474"/>
      <c r="NA11" s="474"/>
      <c r="NB11" s="474"/>
      <c r="NC11" s="474"/>
      <c r="ND11" s="474"/>
      <c r="NE11" s="474"/>
      <c r="NF11" s="474"/>
      <c r="NG11" s="474"/>
      <c r="NH11" s="474"/>
    </row>
    <row r="12" spans="2:372" ht="30" customHeight="1" x14ac:dyDescent="0.25">
      <c r="B12" s="54" t="s">
        <v>19</v>
      </c>
      <c r="C12" s="478" t="s">
        <v>15</v>
      </c>
      <c r="D12" s="479"/>
      <c r="E12" s="54" t="s">
        <v>10</v>
      </c>
      <c r="F12" s="54" t="s">
        <v>522</v>
      </c>
      <c r="G12" s="55" t="s">
        <v>523</v>
      </c>
      <c r="H12" s="100">
        <v>1</v>
      </c>
      <c r="I12" s="100">
        <v>2</v>
      </c>
      <c r="J12" s="100">
        <v>3</v>
      </c>
      <c r="K12" s="100">
        <v>4</v>
      </c>
      <c r="L12" s="100">
        <v>5</v>
      </c>
      <c r="M12" s="100">
        <v>6</v>
      </c>
      <c r="N12" s="100">
        <v>7</v>
      </c>
      <c r="O12" s="100">
        <v>8</v>
      </c>
      <c r="P12" s="100">
        <v>9</v>
      </c>
      <c r="Q12" s="100">
        <v>10</v>
      </c>
      <c r="R12" s="100">
        <v>11</v>
      </c>
      <c r="S12" s="100">
        <v>12</v>
      </c>
      <c r="T12" s="100">
        <v>13</v>
      </c>
      <c r="U12" s="100">
        <v>14</v>
      </c>
      <c r="V12" s="100">
        <v>15</v>
      </c>
      <c r="W12" s="100">
        <v>16</v>
      </c>
      <c r="X12" s="100">
        <v>17</v>
      </c>
      <c r="Y12" s="100">
        <v>18</v>
      </c>
      <c r="Z12" s="100">
        <v>19</v>
      </c>
      <c r="AA12" s="100">
        <v>20</v>
      </c>
      <c r="AB12" s="100">
        <v>21</v>
      </c>
      <c r="AC12" s="100">
        <v>22</v>
      </c>
      <c r="AD12" s="100">
        <v>23</v>
      </c>
      <c r="AE12" s="100">
        <v>24</v>
      </c>
      <c r="AF12" s="100">
        <v>25</v>
      </c>
      <c r="AG12" s="100">
        <v>26</v>
      </c>
      <c r="AH12" s="100">
        <v>27</v>
      </c>
      <c r="AI12" s="100">
        <v>28</v>
      </c>
      <c r="AJ12" s="100">
        <v>29</v>
      </c>
      <c r="AK12" s="100">
        <v>30</v>
      </c>
      <c r="AL12" s="100">
        <v>31</v>
      </c>
      <c r="AM12" s="100">
        <v>32</v>
      </c>
      <c r="AN12" s="100">
        <v>33</v>
      </c>
      <c r="AO12" s="100">
        <v>34</v>
      </c>
      <c r="AP12" s="100">
        <v>35</v>
      </c>
      <c r="AQ12" s="100">
        <v>36</v>
      </c>
      <c r="AR12" s="100">
        <v>37</v>
      </c>
      <c r="AS12" s="100">
        <v>38</v>
      </c>
      <c r="AT12" s="100">
        <v>39</v>
      </c>
      <c r="AU12" s="100">
        <v>40</v>
      </c>
      <c r="AV12" s="100">
        <v>41</v>
      </c>
      <c r="AW12" s="100">
        <v>42</v>
      </c>
      <c r="AX12" s="100">
        <v>43</v>
      </c>
      <c r="AY12" s="100">
        <v>44</v>
      </c>
      <c r="AZ12" s="100">
        <v>45</v>
      </c>
      <c r="BA12" s="100">
        <v>46</v>
      </c>
      <c r="BB12" s="100">
        <v>47</v>
      </c>
      <c r="BC12" s="100">
        <v>48</v>
      </c>
      <c r="BD12" s="100">
        <v>49</v>
      </c>
      <c r="BE12" s="100">
        <v>50</v>
      </c>
      <c r="BF12" s="100">
        <v>51</v>
      </c>
      <c r="BG12" s="100">
        <v>52</v>
      </c>
      <c r="BH12" s="100">
        <v>53</v>
      </c>
      <c r="BI12" s="100">
        <v>54</v>
      </c>
      <c r="BJ12" s="100">
        <v>55</v>
      </c>
      <c r="BK12" s="100">
        <v>56</v>
      </c>
      <c r="BL12" s="100">
        <v>57</v>
      </c>
      <c r="BM12" s="100">
        <v>58</v>
      </c>
      <c r="BN12" s="100">
        <v>59</v>
      </c>
      <c r="BO12" s="100">
        <v>60</v>
      </c>
      <c r="BP12" s="100">
        <v>61</v>
      </c>
      <c r="BQ12" s="100">
        <v>62</v>
      </c>
      <c r="BR12" s="100">
        <v>63</v>
      </c>
      <c r="BS12" s="100">
        <v>64</v>
      </c>
      <c r="BT12" s="100">
        <v>65</v>
      </c>
      <c r="BU12" s="100">
        <v>66</v>
      </c>
      <c r="BV12" s="100">
        <v>67</v>
      </c>
      <c r="BW12" s="100">
        <v>68</v>
      </c>
      <c r="BX12" s="100">
        <v>69</v>
      </c>
      <c r="BY12" s="100">
        <v>70</v>
      </c>
      <c r="BZ12" s="100">
        <v>71</v>
      </c>
      <c r="CA12" s="100">
        <v>72</v>
      </c>
      <c r="CB12" s="100">
        <v>73</v>
      </c>
      <c r="CC12" s="100">
        <v>74</v>
      </c>
      <c r="CD12" s="100">
        <v>75</v>
      </c>
      <c r="CE12" s="100">
        <v>76</v>
      </c>
      <c r="CF12" s="100">
        <v>77</v>
      </c>
      <c r="CG12" s="100">
        <v>78</v>
      </c>
      <c r="CH12" s="100">
        <v>79</v>
      </c>
      <c r="CI12" s="100">
        <v>80</v>
      </c>
      <c r="CJ12" s="100">
        <v>81</v>
      </c>
      <c r="CK12" s="100">
        <v>82</v>
      </c>
      <c r="CL12" s="100">
        <v>83</v>
      </c>
      <c r="CM12" s="100">
        <v>84</v>
      </c>
      <c r="CN12" s="100">
        <v>85</v>
      </c>
      <c r="CO12" s="100">
        <v>86</v>
      </c>
      <c r="CP12" s="100">
        <v>87</v>
      </c>
      <c r="CQ12" s="100">
        <v>88</v>
      </c>
      <c r="CR12" s="100">
        <v>89</v>
      </c>
      <c r="CS12" s="100">
        <v>90</v>
      </c>
      <c r="CT12" s="100">
        <v>91</v>
      </c>
      <c r="CU12" s="100">
        <v>92</v>
      </c>
      <c r="CV12" s="100">
        <v>93</v>
      </c>
      <c r="CW12" s="100">
        <v>94</v>
      </c>
      <c r="CX12" s="100">
        <v>95</v>
      </c>
      <c r="CY12" s="100">
        <v>96</v>
      </c>
      <c r="CZ12" s="100">
        <v>97</v>
      </c>
      <c r="DA12" s="100">
        <v>98</v>
      </c>
      <c r="DB12" s="100">
        <v>99</v>
      </c>
      <c r="DC12" s="100">
        <v>100</v>
      </c>
      <c r="DD12" s="100">
        <v>101</v>
      </c>
      <c r="DE12" s="100">
        <v>102</v>
      </c>
      <c r="DF12" s="100">
        <v>103</v>
      </c>
      <c r="DG12" s="100">
        <v>104</v>
      </c>
      <c r="DH12" s="100">
        <v>105</v>
      </c>
      <c r="DI12" s="100">
        <v>106</v>
      </c>
      <c r="DJ12" s="100">
        <v>107</v>
      </c>
      <c r="DK12" s="100">
        <v>108</v>
      </c>
      <c r="DL12" s="100">
        <v>109</v>
      </c>
      <c r="DM12" s="100">
        <v>110</v>
      </c>
      <c r="DN12" s="100">
        <v>111</v>
      </c>
      <c r="DO12" s="100">
        <v>112</v>
      </c>
      <c r="DP12" s="100">
        <v>113</v>
      </c>
      <c r="DQ12" s="100">
        <v>114</v>
      </c>
      <c r="DR12" s="100">
        <v>115</v>
      </c>
      <c r="DS12" s="100">
        <v>116</v>
      </c>
      <c r="DT12" s="100">
        <v>117</v>
      </c>
      <c r="DU12" s="100">
        <v>118</v>
      </c>
      <c r="DV12" s="100">
        <v>119</v>
      </c>
      <c r="DW12" s="100">
        <v>120</v>
      </c>
      <c r="DX12" s="300">
        <v>121</v>
      </c>
      <c r="DY12" s="300">
        <v>122</v>
      </c>
      <c r="DZ12" s="300">
        <v>123</v>
      </c>
      <c r="EA12" s="300">
        <v>124</v>
      </c>
      <c r="EB12" s="300">
        <v>125</v>
      </c>
      <c r="EC12" s="300">
        <v>126</v>
      </c>
      <c r="ED12" s="311">
        <v>127</v>
      </c>
      <c r="EE12" s="311">
        <v>128</v>
      </c>
      <c r="EF12" s="311">
        <v>129</v>
      </c>
      <c r="EG12" s="311">
        <v>130</v>
      </c>
      <c r="EH12" s="311">
        <v>131</v>
      </c>
      <c r="EI12" s="311">
        <v>132</v>
      </c>
      <c r="EJ12" s="311">
        <v>133</v>
      </c>
      <c r="EK12" s="311">
        <v>134</v>
      </c>
      <c r="EL12" s="311">
        <v>135</v>
      </c>
      <c r="EM12" s="311">
        <v>136</v>
      </c>
      <c r="EN12" s="311">
        <v>137</v>
      </c>
      <c r="EO12" s="311">
        <v>138</v>
      </c>
      <c r="EP12" s="311">
        <v>139</v>
      </c>
      <c r="EQ12" s="311">
        <v>140</v>
      </c>
      <c r="ER12" s="311">
        <v>141</v>
      </c>
      <c r="ES12" s="311">
        <v>142</v>
      </c>
      <c r="ET12" s="311">
        <v>143</v>
      </c>
      <c r="EU12" s="311">
        <v>144</v>
      </c>
      <c r="EV12" s="311">
        <v>145</v>
      </c>
      <c r="EW12" s="311">
        <v>146</v>
      </c>
      <c r="EX12" s="311">
        <v>147</v>
      </c>
      <c r="EY12" s="311">
        <v>148</v>
      </c>
      <c r="EZ12" s="311">
        <v>149</v>
      </c>
      <c r="FA12" s="311">
        <v>150</v>
      </c>
      <c r="FB12" s="311">
        <v>151</v>
      </c>
      <c r="FC12" s="311">
        <v>152</v>
      </c>
      <c r="FD12" s="311">
        <v>153</v>
      </c>
      <c r="FE12" s="311">
        <v>154</v>
      </c>
      <c r="FF12" s="311">
        <v>155</v>
      </c>
      <c r="FG12" s="311">
        <v>156</v>
      </c>
      <c r="FH12" s="311">
        <v>157</v>
      </c>
      <c r="FI12" s="311">
        <v>158</v>
      </c>
      <c r="FJ12" s="311">
        <v>159</v>
      </c>
      <c r="FK12" s="311">
        <v>160</v>
      </c>
      <c r="FL12" s="311">
        <v>161</v>
      </c>
      <c r="FM12" s="311">
        <v>162</v>
      </c>
      <c r="FN12" s="311">
        <v>163</v>
      </c>
      <c r="FO12" s="311">
        <v>164</v>
      </c>
      <c r="FP12" s="311">
        <v>165</v>
      </c>
      <c r="FQ12" s="311">
        <v>166</v>
      </c>
      <c r="FR12" s="311">
        <v>167</v>
      </c>
      <c r="FS12" s="311">
        <v>168</v>
      </c>
      <c r="FT12" s="311">
        <v>169</v>
      </c>
      <c r="FU12" s="311">
        <v>170</v>
      </c>
      <c r="FV12" s="311">
        <v>171</v>
      </c>
      <c r="FW12" s="311">
        <v>172</v>
      </c>
      <c r="FX12" s="311">
        <v>173</v>
      </c>
      <c r="FY12" s="311">
        <v>174</v>
      </c>
      <c r="FZ12" s="311">
        <v>175</v>
      </c>
      <c r="GA12" s="311">
        <v>176</v>
      </c>
      <c r="GB12" s="311">
        <v>177</v>
      </c>
      <c r="GC12" s="311">
        <v>178</v>
      </c>
      <c r="GD12" s="311">
        <v>179</v>
      </c>
      <c r="GE12" s="311">
        <v>180</v>
      </c>
      <c r="GF12" s="311">
        <v>181</v>
      </c>
      <c r="GG12" s="311">
        <v>182</v>
      </c>
      <c r="GH12" s="311">
        <v>183</v>
      </c>
      <c r="GI12" s="311">
        <v>184</v>
      </c>
      <c r="GJ12" s="311">
        <v>185</v>
      </c>
      <c r="GK12" s="311">
        <v>186</v>
      </c>
      <c r="GL12" s="311">
        <v>187</v>
      </c>
      <c r="GM12" s="311">
        <v>188</v>
      </c>
      <c r="GN12" s="311">
        <v>189</v>
      </c>
      <c r="GO12" s="311">
        <v>190</v>
      </c>
      <c r="GP12" s="311">
        <v>191</v>
      </c>
      <c r="GQ12" s="311">
        <v>192</v>
      </c>
      <c r="GR12" s="311">
        <v>193</v>
      </c>
      <c r="GS12" s="311">
        <v>194</v>
      </c>
      <c r="GT12" s="311">
        <v>195</v>
      </c>
      <c r="GU12" s="311">
        <v>196</v>
      </c>
      <c r="GV12" s="311">
        <v>197</v>
      </c>
      <c r="GW12" s="311">
        <v>198</v>
      </c>
      <c r="GX12" s="311">
        <v>199</v>
      </c>
      <c r="GY12" s="311">
        <v>200</v>
      </c>
      <c r="GZ12" s="311">
        <v>201</v>
      </c>
      <c r="HA12" s="311">
        <v>202</v>
      </c>
      <c r="HB12" s="311">
        <v>203</v>
      </c>
      <c r="HC12" s="311">
        <v>204</v>
      </c>
      <c r="HD12" s="311">
        <v>205</v>
      </c>
      <c r="HE12" s="311">
        <v>206</v>
      </c>
      <c r="HF12" s="311">
        <v>207</v>
      </c>
      <c r="HG12" s="311">
        <v>208</v>
      </c>
      <c r="HH12" s="311">
        <v>209</v>
      </c>
      <c r="HI12" s="311">
        <v>210</v>
      </c>
      <c r="HJ12" s="311">
        <v>211</v>
      </c>
      <c r="HK12" s="311">
        <v>212</v>
      </c>
      <c r="HL12" s="311">
        <v>213</v>
      </c>
      <c r="HM12" s="311">
        <v>214</v>
      </c>
      <c r="HN12" s="311">
        <v>215</v>
      </c>
      <c r="HO12" s="311">
        <v>216</v>
      </c>
      <c r="HP12" s="311">
        <v>217</v>
      </c>
      <c r="HQ12" s="311">
        <v>218</v>
      </c>
      <c r="HR12" s="311">
        <v>219</v>
      </c>
      <c r="HS12" s="311">
        <v>220</v>
      </c>
      <c r="HT12" s="311">
        <v>221</v>
      </c>
      <c r="HU12" s="311">
        <v>222</v>
      </c>
      <c r="HV12" s="311">
        <v>223</v>
      </c>
      <c r="HW12" s="311">
        <v>224</v>
      </c>
      <c r="HX12" s="311">
        <v>225</v>
      </c>
      <c r="HY12" s="311">
        <v>226</v>
      </c>
      <c r="HZ12" s="311">
        <v>227</v>
      </c>
      <c r="IA12" s="311">
        <v>228</v>
      </c>
      <c r="IB12" s="311">
        <v>229</v>
      </c>
      <c r="IC12" s="311">
        <v>230</v>
      </c>
      <c r="ID12" s="311">
        <v>231</v>
      </c>
      <c r="IE12" s="311">
        <v>232</v>
      </c>
      <c r="IF12" s="311">
        <v>233</v>
      </c>
      <c r="IG12" s="311">
        <v>234</v>
      </c>
      <c r="IH12" s="311">
        <v>235</v>
      </c>
      <c r="II12" s="311">
        <v>236</v>
      </c>
      <c r="IJ12" s="311">
        <v>237</v>
      </c>
      <c r="IK12" s="311">
        <v>238</v>
      </c>
      <c r="IL12" s="311">
        <v>239</v>
      </c>
      <c r="IM12" s="311">
        <v>240</v>
      </c>
      <c r="IN12" s="311">
        <v>241</v>
      </c>
      <c r="IO12" s="311">
        <v>242</v>
      </c>
      <c r="IP12" s="311">
        <v>243</v>
      </c>
      <c r="IQ12" s="311">
        <v>244</v>
      </c>
      <c r="IR12" s="311">
        <v>245</v>
      </c>
      <c r="IS12" s="311">
        <v>246</v>
      </c>
      <c r="IT12" s="311">
        <v>247</v>
      </c>
      <c r="IU12" s="311">
        <v>248</v>
      </c>
      <c r="IV12" s="311">
        <v>249</v>
      </c>
      <c r="IW12" s="311">
        <v>250</v>
      </c>
      <c r="IX12" s="311">
        <v>251</v>
      </c>
      <c r="IY12" s="311">
        <v>252</v>
      </c>
      <c r="IZ12" s="311">
        <v>253</v>
      </c>
      <c r="JA12" s="311">
        <v>254</v>
      </c>
      <c r="JB12" s="311">
        <v>255</v>
      </c>
      <c r="JC12" s="311">
        <v>256</v>
      </c>
      <c r="JD12" s="311">
        <v>257</v>
      </c>
      <c r="JE12" s="311">
        <v>258</v>
      </c>
      <c r="JF12" s="311">
        <v>259</v>
      </c>
      <c r="JG12" s="311">
        <v>260</v>
      </c>
      <c r="JH12" s="311">
        <v>261</v>
      </c>
      <c r="JI12" s="311">
        <v>262</v>
      </c>
      <c r="JJ12" s="311">
        <v>263</v>
      </c>
      <c r="JK12" s="311">
        <v>264</v>
      </c>
      <c r="JL12" s="311">
        <v>265</v>
      </c>
      <c r="JM12" s="311">
        <v>266</v>
      </c>
      <c r="JN12" s="311">
        <v>267</v>
      </c>
      <c r="JO12" s="311">
        <v>268</v>
      </c>
      <c r="JP12" s="311">
        <v>269</v>
      </c>
      <c r="JQ12" s="311">
        <v>270</v>
      </c>
      <c r="JR12" s="311">
        <v>271</v>
      </c>
      <c r="JS12" s="311">
        <v>272</v>
      </c>
      <c r="JT12" s="311">
        <v>273</v>
      </c>
      <c r="JU12" s="311">
        <v>274</v>
      </c>
      <c r="JV12" s="311">
        <v>275</v>
      </c>
      <c r="JW12" s="311">
        <v>276</v>
      </c>
      <c r="JX12" s="311">
        <v>277</v>
      </c>
      <c r="JY12" s="311">
        <v>278</v>
      </c>
      <c r="JZ12" s="311">
        <v>279</v>
      </c>
      <c r="KA12" s="311">
        <v>280</v>
      </c>
      <c r="KB12" s="311">
        <v>281</v>
      </c>
      <c r="KC12" s="311">
        <v>282</v>
      </c>
      <c r="KD12" s="311">
        <v>283</v>
      </c>
      <c r="KE12" s="311">
        <v>284</v>
      </c>
      <c r="KF12" s="311">
        <v>285</v>
      </c>
      <c r="KG12" s="311">
        <v>286</v>
      </c>
      <c r="KH12" s="311">
        <v>287</v>
      </c>
      <c r="KI12" s="311">
        <v>288</v>
      </c>
      <c r="KJ12" s="311">
        <v>289</v>
      </c>
      <c r="KK12" s="311">
        <v>290</v>
      </c>
      <c r="KL12" s="311">
        <v>291</v>
      </c>
      <c r="KM12" s="311">
        <v>292</v>
      </c>
      <c r="KN12" s="311">
        <v>293</v>
      </c>
      <c r="KO12" s="311">
        <v>294</v>
      </c>
      <c r="KP12" s="311">
        <v>295</v>
      </c>
      <c r="KQ12" s="311">
        <v>296</v>
      </c>
      <c r="KR12" s="311">
        <v>297</v>
      </c>
      <c r="KS12" s="311">
        <v>298</v>
      </c>
      <c r="KT12" s="311">
        <v>299</v>
      </c>
      <c r="KU12" s="311">
        <v>300</v>
      </c>
      <c r="KV12" s="311">
        <v>301</v>
      </c>
      <c r="KW12" s="311">
        <v>302</v>
      </c>
      <c r="KX12" s="311">
        <v>303</v>
      </c>
      <c r="KY12" s="311">
        <v>304</v>
      </c>
      <c r="KZ12" s="311">
        <v>305</v>
      </c>
      <c r="LA12" s="311">
        <v>306</v>
      </c>
      <c r="LB12" s="311">
        <v>307</v>
      </c>
      <c r="LC12" s="311">
        <v>308</v>
      </c>
      <c r="LD12" s="311">
        <v>309</v>
      </c>
      <c r="LE12" s="311">
        <v>310</v>
      </c>
      <c r="LF12" s="311">
        <v>311</v>
      </c>
      <c r="LG12" s="311">
        <v>312</v>
      </c>
      <c r="LH12" s="311">
        <v>313</v>
      </c>
      <c r="LI12" s="311">
        <v>314</v>
      </c>
      <c r="LJ12" s="311">
        <v>315</v>
      </c>
      <c r="LK12" s="311">
        <v>316</v>
      </c>
      <c r="LL12" s="311">
        <v>317</v>
      </c>
      <c r="LM12" s="311">
        <v>318</v>
      </c>
      <c r="LN12" s="311">
        <v>319</v>
      </c>
      <c r="LO12" s="311">
        <v>320</v>
      </c>
      <c r="LP12" s="311">
        <v>321</v>
      </c>
      <c r="LQ12" s="311">
        <v>322</v>
      </c>
      <c r="LR12" s="311">
        <v>323</v>
      </c>
      <c r="LS12" s="311">
        <v>324</v>
      </c>
      <c r="LT12" s="311">
        <v>325</v>
      </c>
      <c r="LU12" s="311">
        <v>326</v>
      </c>
      <c r="LV12" s="311">
        <v>327</v>
      </c>
      <c r="LW12" s="311">
        <v>328</v>
      </c>
      <c r="LX12" s="311">
        <v>329</v>
      </c>
      <c r="LY12" s="311">
        <v>330</v>
      </c>
      <c r="LZ12" s="311">
        <v>331</v>
      </c>
      <c r="MA12" s="311">
        <v>332</v>
      </c>
      <c r="MB12" s="311">
        <v>333</v>
      </c>
      <c r="MC12" s="311">
        <v>334</v>
      </c>
      <c r="MD12" s="311">
        <v>335</v>
      </c>
      <c r="ME12" s="311">
        <v>336</v>
      </c>
      <c r="MF12" s="311">
        <v>337</v>
      </c>
      <c r="MG12" s="311">
        <v>338</v>
      </c>
      <c r="MH12" s="311">
        <v>339</v>
      </c>
      <c r="MI12" s="311">
        <v>340</v>
      </c>
      <c r="MJ12" s="311">
        <v>341</v>
      </c>
      <c r="MK12" s="311">
        <v>342</v>
      </c>
      <c r="ML12" s="311">
        <v>343</v>
      </c>
      <c r="MM12" s="311">
        <v>344</v>
      </c>
      <c r="MN12" s="311">
        <v>345</v>
      </c>
      <c r="MO12" s="311">
        <v>346</v>
      </c>
      <c r="MP12" s="311">
        <v>347</v>
      </c>
      <c r="MQ12" s="311">
        <v>348</v>
      </c>
      <c r="MR12" s="311">
        <v>349</v>
      </c>
      <c r="MS12" s="311">
        <v>350</v>
      </c>
      <c r="MT12" s="311">
        <v>351</v>
      </c>
      <c r="MU12" s="311">
        <v>352</v>
      </c>
      <c r="MV12" s="311">
        <v>353</v>
      </c>
      <c r="MW12" s="311">
        <v>354</v>
      </c>
      <c r="MX12" s="311">
        <v>355</v>
      </c>
      <c r="MY12" s="311">
        <v>356</v>
      </c>
      <c r="MZ12" s="311">
        <v>357</v>
      </c>
      <c r="NA12" s="311">
        <v>358</v>
      </c>
      <c r="NB12" s="311">
        <v>359</v>
      </c>
      <c r="NC12" s="311">
        <v>360</v>
      </c>
      <c r="ND12" s="311">
        <v>361</v>
      </c>
      <c r="NE12" s="311">
        <v>362</v>
      </c>
      <c r="NF12" s="311">
        <v>363</v>
      </c>
      <c r="NG12" s="311">
        <v>364</v>
      </c>
      <c r="NH12" s="311">
        <v>365</v>
      </c>
    </row>
    <row r="13" spans="2:372" ht="15" customHeight="1" x14ac:dyDescent="0.25">
      <c r="B13" s="65">
        <v>1</v>
      </c>
      <c r="C13" s="520" t="s">
        <v>525</v>
      </c>
      <c r="D13" s="521"/>
      <c r="E13" s="66">
        <f>MIN(E14:F74)</f>
        <v>1</v>
      </c>
      <c r="F13" s="66">
        <f>MAX(E14:F74)</f>
        <v>366</v>
      </c>
      <c r="G13" s="66">
        <f>F13-E13+1</f>
        <v>366</v>
      </c>
    </row>
    <row r="14" spans="2:372" s="3" customFormat="1" ht="15" customHeight="1" x14ac:dyDescent="0.25">
      <c r="B14" s="10" t="s">
        <v>316</v>
      </c>
      <c r="C14" s="516" t="s">
        <v>528</v>
      </c>
      <c r="D14" s="517"/>
      <c r="E14" s="66">
        <f>MIN(E15:F28)</f>
        <v>1</v>
      </c>
      <c r="F14" s="66">
        <f>MAX(E15:F28)</f>
        <v>57</v>
      </c>
      <c r="G14" s="66">
        <f>F14-E14+1</f>
        <v>57</v>
      </c>
      <c r="H14" s="2"/>
      <c r="I14" s="2"/>
      <c r="J14" s="2"/>
      <c r="K14" s="2"/>
      <c r="L14" s="2"/>
      <c r="M14" s="2"/>
      <c r="N14" s="2"/>
      <c r="O14" s="2"/>
      <c r="P14" s="2"/>
      <c r="Q14" s="2"/>
      <c r="R14" s="2"/>
      <c r="S14" s="2"/>
      <c r="T14" s="2"/>
      <c r="U14" s="2"/>
      <c r="V14" s="2"/>
      <c r="W14" s="2"/>
      <c r="X14" s="2"/>
      <c r="Y14" s="2"/>
      <c r="Z14" s="2"/>
      <c r="AA14" s="2"/>
      <c r="AB14" s="2"/>
      <c r="AC14" s="2"/>
      <c r="AD14" s="2"/>
      <c r="AE14" s="2"/>
      <c r="AF14" s="2"/>
      <c r="AG14" s="2"/>
      <c r="AH14" s="2"/>
      <c r="AI14" s="2"/>
      <c r="AJ14" s="2"/>
      <c r="AK14" s="2"/>
      <c r="AL14" s="2"/>
      <c r="AM14" s="2"/>
      <c r="AN14" s="2"/>
      <c r="AO14" s="2"/>
      <c r="AP14" s="2"/>
      <c r="AQ14" s="2"/>
      <c r="AR14" s="2"/>
      <c r="AS14" s="2"/>
      <c r="AT14" s="2"/>
      <c r="AU14" s="2"/>
      <c r="AV14" s="2"/>
      <c r="AW14" s="2"/>
      <c r="AX14" s="2"/>
      <c r="AY14" s="2"/>
      <c r="AZ14" s="2"/>
      <c r="BA14" s="2"/>
      <c r="BB14" s="2"/>
      <c r="BC14" s="2"/>
      <c r="BD14" s="2"/>
      <c r="BE14" s="2"/>
      <c r="BF14" s="2"/>
      <c r="BG14" s="2"/>
      <c r="BH14" s="2"/>
      <c r="BI14" s="2"/>
      <c r="BJ14" s="2"/>
      <c r="BK14" s="2"/>
      <c r="BL14" s="2"/>
      <c r="BM14" s="2"/>
      <c r="BN14" s="2"/>
      <c r="BO14" s="2"/>
      <c r="BP14" s="2"/>
      <c r="BQ14" s="2"/>
      <c r="BR14" s="2"/>
      <c r="BS14" s="2"/>
      <c r="BT14" s="2"/>
      <c r="BU14" s="2"/>
      <c r="BV14" s="2"/>
      <c r="BW14" s="2"/>
      <c r="BX14" s="2"/>
      <c r="BY14" s="2"/>
      <c r="BZ14" s="2"/>
      <c r="CA14" s="2"/>
      <c r="CB14" s="2"/>
      <c r="CC14" s="2"/>
      <c r="CD14" s="2"/>
      <c r="CE14" s="2"/>
      <c r="CF14" s="2"/>
      <c r="CG14" s="2"/>
      <c r="CH14" s="2"/>
      <c r="CI14" s="2"/>
      <c r="CJ14" s="2"/>
      <c r="CK14" s="2"/>
      <c r="CL14" s="2"/>
      <c r="CM14" s="2"/>
      <c r="CN14" s="2"/>
      <c r="CO14" s="2"/>
      <c r="CP14" s="2"/>
      <c r="CQ14" s="2"/>
      <c r="CR14" s="2"/>
      <c r="CS14" s="2"/>
      <c r="CT14" s="2"/>
      <c r="CU14" s="2"/>
      <c r="CV14" s="2"/>
      <c r="CW14" s="2"/>
      <c r="CX14" s="2"/>
      <c r="CY14" s="2"/>
      <c r="CZ14" s="2"/>
      <c r="DA14" s="2"/>
      <c r="DB14" s="2"/>
      <c r="DC14" s="2"/>
      <c r="DD14" s="2"/>
      <c r="DE14" s="2"/>
      <c r="DF14" s="2"/>
      <c r="DG14" s="2"/>
      <c r="DH14" s="2"/>
      <c r="DI14" s="2"/>
      <c r="DJ14" s="2"/>
      <c r="DK14" s="2"/>
      <c r="DL14" s="2"/>
      <c r="DM14" s="2"/>
      <c r="DN14" s="2"/>
      <c r="DO14" s="2"/>
      <c r="DP14" s="2"/>
      <c r="DQ14" s="2"/>
      <c r="DR14" s="2"/>
      <c r="DS14" s="2"/>
      <c r="DT14" s="2"/>
      <c r="DU14" s="2"/>
      <c r="DV14" s="2"/>
      <c r="DW14" s="2"/>
      <c r="DX14" s="2"/>
      <c r="DY14" s="2"/>
      <c r="DZ14" s="2"/>
      <c r="EA14" s="2"/>
      <c r="EB14" s="2"/>
      <c r="EC14" s="2"/>
      <c r="ED14" s="2"/>
      <c r="EE14" s="2"/>
      <c r="EF14" s="2"/>
      <c r="EG14" s="2"/>
      <c r="EH14" s="2"/>
      <c r="EI14" s="2"/>
      <c r="EJ14" s="2"/>
      <c r="EK14" s="2"/>
      <c r="EL14" s="2"/>
      <c r="EM14" s="2"/>
      <c r="EN14" s="2"/>
      <c r="EO14" s="2"/>
      <c r="EP14" s="2"/>
      <c r="EQ14" s="2"/>
      <c r="ER14" s="2"/>
      <c r="ES14" s="2"/>
      <c r="ET14" s="2"/>
      <c r="EU14" s="2"/>
      <c r="EV14" s="2"/>
      <c r="EW14" s="2"/>
      <c r="EX14" s="2"/>
      <c r="EY14" s="2"/>
      <c r="EZ14" s="2"/>
      <c r="FA14" s="2"/>
      <c r="FB14" s="2"/>
      <c r="FC14" s="2"/>
      <c r="FD14" s="2"/>
      <c r="FE14" s="2"/>
      <c r="FF14" s="2"/>
      <c r="FG14" s="2"/>
      <c r="FH14" s="2"/>
      <c r="FI14" s="2"/>
      <c r="FJ14" s="2"/>
      <c r="FK14" s="2"/>
      <c r="FL14" s="2"/>
      <c r="FM14" s="2"/>
      <c r="FN14" s="2"/>
      <c r="FO14" s="2"/>
      <c r="FP14" s="2"/>
      <c r="FQ14" s="2"/>
      <c r="FR14" s="2"/>
      <c r="FS14" s="2"/>
      <c r="FT14" s="2"/>
      <c r="FU14" s="2"/>
      <c r="FV14" s="2"/>
      <c r="FW14" s="2"/>
      <c r="FX14" s="2"/>
      <c r="FY14" s="2"/>
      <c r="FZ14" s="2"/>
      <c r="GA14" s="2"/>
      <c r="GB14" s="2"/>
      <c r="GC14" s="2"/>
      <c r="GD14" s="2"/>
      <c r="GE14" s="2"/>
      <c r="GF14" s="2"/>
      <c r="GG14" s="2"/>
      <c r="GH14" s="2"/>
      <c r="GI14" s="2"/>
      <c r="GJ14" s="2"/>
      <c r="GK14" s="2"/>
      <c r="GL14" s="2"/>
      <c r="GM14" s="2"/>
      <c r="GN14" s="2"/>
      <c r="GO14" s="2"/>
      <c r="GP14" s="2"/>
      <c r="GQ14" s="2"/>
      <c r="GR14" s="2"/>
      <c r="GS14" s="2"/>
      <c r="GT14" s="2"/>
      <c r="GU14" s="2"/>
      <c r="GV14" s="2"/>
      <c r="GW14" s="2"/>
      <c r="GX14" s="2"/>
      <c r="GY14" s="2"/>
      <c r="GZ14" s="2"/>
      <c r="HA14" s="2"/>
      <c r="HB14" s="2"/>
      <c r="HC14" s="2"/>
      <c r="HD14" s="2"/>
      <c r="HE14" s="2"/>
      <c r="HF14" s="2"/>
      <c r="HG14" s="2"/>
      <c r="HH14" s="2"/>
      <c r="HI14" s="2"/>
      <c r="HJ14" s="2"/>
      <c r="HK14" s="2"/>
      <c r="HL14" s="2"/>
      <c r="HM14" s="2"/>
      <c r="HN14" s="2"/>
      <c r="HO14" s="2"/>
      <c r="HP14" s="2"/>
      <c r="HQ14" s="2"/>
      <c r="HR14" s="2"/>
      <c r="HS14" s="2"/>
      <c r="HT14" s="2"/>
      <c r="HU14" s="2"/>
      <c r="HV14" s="2"/>
      <c r="HW14" s="2"/>
      <c r="HX14" s="2"/>
      <c r="HY14" s="2"/>
      <c r="HZ14" s="2"/>
      <c r="IA14" s="2"/>
      <c r="IB14" s="2"/>
      <c r="IC14" s="2"/>
      <c r="ID14" s="2"/>
      <c r="IE14" s="2"/>
      <c r="IF14" s="2"/>
      <c r="IG14" s="2"/>
      <c r="IH14" s="2"/>
      <c r="II14" s="2"/>
      <c r="IJ14" s="2"/>
      <c r="IK14" s="2"/>
      <c r="IL14" s="2"/>
      <c r="IM14" s="2"/>
      <c r="IN14" s="2"/>
      <c r="IO14" s="2"/>
      <c r="IP14" s="2"/>
      <c r="IQ14" s="2"/>
      <c r="IR14" s="2"/>
      <c r="IS14" s="2"/>
      <c r="IT14" s="2"/>
      <c r="IU14" s="2"/>
      <c r="IV14" s="2"/>
      <c r="IW14" s="2"/>
      <c r="IX14" s="2"/>
      <c r="IY14" s="2"/>
      <c r="IZ14" s="2"/>
      <c r="JA14" s="2"/>
      <c r="JB14" s="2"/>
      <c r="JC14" s="2"/>
      <c r="JD14" s="2"/>
      <c r="JE14" s="2"/>
      <c r="JF14" s="2"/>
      <c r="JG14" s="2"/>
      <c r="JH14" s="2"/>
      <c r="JI14" s="2"/>
      <c r="JJ14" s="2"/>
      <c r="JK14" s="2"/>
      <c r="JL14" s="2"/>
      <c r="JM14" s="2"/>
      <c r="JN14" s="2"/>
      <c r="JO14" s="2"/>
      <c r="JP14" s="2"/>
      <c r="JQ14" s="2"/>
      <c r="JR14" s="2"/>
      <c r="JS14" s="2"/>
      <c r="JT14" s="2"/>
      <c r="JU14" s="2"/>
      <c r="JV14" s="2"/>
      <c r="JW14" s="2"/>
      <c r="JX14" s="2"/>
      <c r="JY14" s="2"/>
      <c r="JZ14" s="2"/>
      <c r="KA14" s="2"/>
      <c r="KB14" s="2"/>
      <c r="KC14" s="2"/>
      <c r="KD14" s="2"/>
      <c r="KE14" s="2"/>
      <c r="KF14" s="2"/>
      <c r="KG14" s="2"/>
      <c r="KH14" s="2"/>
      <c r="KI14" s="2"/>
      <c r="KJ14" s="2"/>
      <c r="KK14" s="2"/>
      <c r="KL14" s="2"/>
      <c r="KM14" s="2"/>
      <c r="KN14" s="2"/>
      <c r="KO14" s="2"/>
      <c r="KP14" s="2"/>
      <c r="KQ14" s="2"/>
      <c r="KR14" s="2"/>
      <c r="KS14" s="2"/>
      <c r="KT14" s="2"/>
      <c r="KU14" s="2"/>
      <c r="KV14" s="2"/>
      <c r="KW14" s="2"/>
      <c r="KX14" s="2"/>
      <c r="KY14" s="2"/>
      <c r="KZ14" s="2"/>
      <c r="LA14" s="2"/>
      <c r="LB14" s="2"/>
      <c r="LC14" s="2"/>
      <c r="LD14" s="2"/>
      <c r="LE14" s="2"/>
      <c r="LF14" s="2"/>
      <c r="LG14" s="2"/>
      <c r="LH14" s="2"/>
      <c r="LI14" s="2"/>
      <c r="LJ14" s="2"/>
      <c r="LK14" s="2"/>
      <c r="LL14" s="2"/>
      <c r="LM14" s="2"/>
      <c r="LN14" s="2"/>
      <c r="LO14" s="2"/>
      <c r="LP14" s="2"/>
      <c r="LQ14" s="2"/>
      <c r="LR14" s="2"/>
      <c r="LS14" s="2"/>
      <c r="LT14" s="2"/>
      <c r="LU14" s="2"/>
      <c r="LV14" s="2"/>
      <c r="LW14" s="2"/>
      <c r="LX14" s="2"/>
      <c r="LY14" s="2"/>
      <c r="LZ14" s="2"/>
      <c r="MA14" s="2"/>
      <c r="MB14" s="2"/>
      <c r="MC14" s="2"/>
      <c r="MD14" s="2"/>
      <c r="ME14" s="2"/>
      <c r="MF14" s="2"/>
      <c r="MG14" s="2"/>
      <c r="MH14" s="2"/>
      <c r="MI14" s="2"/>
      <c r="MJ14" s="2"/>
      <c r="MK14" s="2"/>
      <c r="ML14" s="2"/>
      <c r="MM14" s="2"/>
      <c r="MN14" s="2"/>
      <c r="MO14" s="2"/>
      <c r="MP14" s="2"/>
      <c r="MQ14" s="2"/>
      <c r="MR14" s="2"/>
      <c r="MS14" s="2"/>
      <c r="MT14" s="2"/>
      <c r="MU14" s="2"/>
      <c r="MV14" s="2"/>
      <c r="MW14" s="2"/>
      <c r="MX14" s="2"/>
      <c r="MY14" s="2"/>
      <c r="MZ14" s="2"/>
      <c r="NA14" s="2"/>
      <c r="NB14" s="2"/>
      <c r="NC14" s="2"/>
      <c r="ND14" s="2"/>
      <c r="NE14" s="2"/>
      <c r="NF14" s="2"/>
      <c r="NG14" s="2"/>
      <c r="NH14" s="2"/>
    </row>
    <row r="15" spans="2:372" s="3" customFormat="1" ht="15" customHeight="1" x14ac:dyDescent="0.25">
      <c r="B15" s="233" t="s">
        <v>482</v>
      </c>
      <c r="C15" s="497" t="s">
        <v>206</v>
      </c>
      <c r="D15" s="498"/>
      <c r="E15" s="56">
        <v>1</v>
      </c>
      <c r="F15" s="190">
        <f t="shared" ref="F15:F21" si="0">E15+G15-1</f>
        <v>2</v>
      </c>
      <c r="G15" s="56">
        <f>'Memo calc'!D25</f>
        <v>2</v>
      </c>
      <c r="H15" s="2"/>
      <c r="I15" s="2"/>
      <c r="J15" s="2"/>
      <c r="K15" s="2"/>
      <c r="L15" s="2"/>
      <c r="M15" s="2"/>
      <c r="N15" s="2"/>
      <c r="O15" s="2"/>
      <c r="P15" s="2"/>
      <c r="Q15" s="2"/>
      <c r="R15" s="2"/>
      <c r="S15" s="2"/>
      <c r="T15" s="2"/>
      <c r="U15" s="2"/>
      <c r="V15" s="2"/>
      <c r="W15" s="2"/>
      <c r="X15" s="2"/>
      <c r="Y15" s="2"/>
      <c r="Z15" s="2"/>
      <c r="AA15" s="2"/>
      <c r="AB15" s="2"/>
      <c r="AC15" s="2"/>
      <c r="AD15" s="2"/>
      <c r="AE15" s="2"/>
      <c r="AF15" s="2"/>
      <c r="AG15" s="2"/>
      <c r="AH15" s="2"/>
      <c r="AI15" s="2"/>
      <c r="AJ15" s="2"/>
      <c r="AK15" s="2"/>
      <c r="AL15" s="2"/>
      <c r="AM15" s="2"/>
      <c r="AN15" s="2"/>
      <c r="AO15" s="2"/>
      <c r="AP15" s="2"/>
      <c r="AQ15" s="2"/>
      <c r="AR15" s="2"/>
      <c r="AS15" s="2"/>
      <c r="AT15" s="2"/>
      <c r="AU15" s="2"/>
      <c r="AV15" s="2"/>
      <c r="AW15" s="2"/>
      <c r="AX15" s="2"/>
      <c r="AY15" s="2"/>
      <c r="AZ15" s="2"/>
      <c r="BA15" s="2"/>
      <c r="BB15" s="2"/>
      <c r="BC15" s="2"/>
      <c r="BD15" s="2"/>
      <c r="BE15" s="2"/>
      <c r="BF15" s="2"/>
      <c r="BG15" s="2"/>
      <c r="BH15" s="2"/>
      <c r="BI15" s="2"/>
      <c r="BJ15" s="2"/>
      <c r="BK15" s="2"/>
      <c r="BL15" s="2"/>
      <c r="BM15" s="2"/>
      <c r="BN15" s="2"/>
      <c r="BO15" s="2"/>
      <c r="BP15" s="2"/>
      <c r="BQ15" s="2"/>
      <c r="BR15" s="2"/>
      <c r="BS15" s="2"/>
      <c r="BT15" s="2"/>
      <c r="BU15" s="2"/>
      <c r="BV15" s="2"/>
      <c r="BW15" s="2"/>
      <c r="BX15" s="2"/>
      <c r="BY15" s="2"/>
      <c r="BZ15" s="2"/>
      <c r="CA15" s="2"/>
      <c r="CB15" s="2"/>
      <c r="CC15" s="2"/>
      <c r="CD15" s="2"/>
      <c r="CE15" s="2"/>
      <c r="CF15" s="2"/>
      <c r="CG15" s="2"/>
      <c r="CH15" s="2"/>
      <c r="CI15" s="2"/>
      <c r="CJ15" s="2"/>
      <c r="CK15" s="2"/>
      <c r="CL15" s="2"/>
      <c r="CM15" s="2"/>
      <c r="CN15" s="2"/>
      <c r="CO15" s="2"/>
      <c r="CP15" s="2"/>
      <c r="CQ15" s="2"/>
      <c r="CR15" s="2"/>
      <c r="CS15" s="2"/>
      <c r="CT15" s="2"/>
      <c r="CU15" s="2"/>
      <c r="CV15" s="2"/>
      <c r="CW15" s="2"/>
      <c r="CX15" s="2"/>
      <c r="CY15" s="2"/>
      <c r="CZ15" s="2"/>
      <c r="DA15" s="2"/>
      <c r="DB15" s="2"/>
      <c r="DC15" s="2"/>
      <c r="DD15" s="2"/>
      <c r="DE15" s="2"/>
      <c r="DF15" s="2"/>
      <c r="DG15" s="2"/>
      <c r="DH15" s="2"/>
      <c r="DI15" s="2"/>
      <c r="DJ15" s="2"/>
      <c r="DK15" s="2"/>
      <c r="DL15" s="2"/>
      <c r="DM15" s="2"/>
      <c r="DN15" s="2"/>
      <c r="DO15" s="2"/>
      <c r="DP15" s="2"/>
      <c r="DQ15" s="2"/>
      <c r="DR15" s="2"/>
      <c r="DS15" s="2"/>
      <c r="DT15" s="2"/>
      <c r="DU15" s="2"/>
      <c r="DV15" s="2"/>
      <c r="DW15" s="2"/>
      <c r="DX15" s="2"/>
      <c r="DY15" s="2"/>
      <c r="DZ15" s="2"/>
      <c r="EA15" s="2"/>
      <c r="EB15" s="2"/>
      <c r="EC15" s="2"/>
      <c r="ED15" s="2"/>
      <c r="EE15" s="2"/>
      <c r="EF15" s="2"/>
      <c r="EG15" s="2"/>
      <c r="EH15" s="2"/>
      <c r="EI15" s="2"/>
      <c r="EJ15" s="2"/>
      <c r="EK15" s="2"/>
      <c r="EL15" s="2"/>
      <c r="EM15" s="2"/>
      <c r="EN15" s="2"/>
      <c r="EO15" s="2"/>
      <c r="EP15" s="2"/>
      <c r="EQ15" s="2"/>
      <c r="ER15" s="2"/>
      <c r="ES15" s="2"/>
      <c r="ET15" s="2"/>
      <c r="EU15" s="2"/>
      <c r="EV15" s="2"/>
      <c r="EW15" s="2"/>
      <c r="EX15" s="2"/>
      <c r="EY15" s="2"/>
      <c r="EZ15" s="2"/>
      <c r="FA15" s="2"/>
      <c r="FB15" s="2"/>
      <c r="FC15" s="2"/>
      <c r="FD15" s="2"/>
      <c r="FE15" s="2"/>
      <c r="FF15" s="2"/>
      <c r="FG15" s="2"/>
      <c r="FH15" s="2"/>
      <c r="FI15" s="2"/>
      <c r="FJ15" s="2"/>
      <c r="FK15" s="2"/>
      <c r="FL15" s="2"/>
      <c r="FM15" s="2"/>
      <c r="FN15" s="2"/>
      <c r="FO15" s="2"/>
      <c r="FP15" s="2"/>
      <c r="FQ15" s="2"/>
      <c r="FR15" s="2"/>
      <c r="FS15" s="2"/>
      <c r="FT15" s="2"/>
      <c r="FU15" s="2"/>
      <c r="FV15" s="2"/>
      <c r="FW15" s="2"/>
      <c r="FX15" s="2"/>
      <c r="FY15" s="2"/>
      <c r="FZ15" s="2"/>
      <c r="GA15" s="2"/>
      <c r="GB15" s="2"/>
      <c r="GC15" s="2"/>
      <c r="GD15" s="2"/>
      <c r="GE15" s="2"/>
      <c r="GF15" s="2"/>
      <c r="GG15" s="2"/>
      <c r="GH15" s="2"/>
      <c r="GI15" s="2"/>
      <c r="GJ15" s="2"/>
      <c r="GK15" s="2"/>
      <c r="GL15" s="2"/>
      <c r="GM15" s="2"/>
      <c r="GN15" s="2"/>
      <c r="GO15" s="2"/>
      <c r="GP15" s="2"/>
      <c r="GQ15" s="2"/>
      <c r="GR15" s="2"/>
      <c r="GS15" s="2"/>
      <c r="GT15" s="2"/>
      <c r="GU15" s="2"/>
      <c r="GV15" s="2"/>
      <c r="GW15" s="2"/>
      <c r="GX15" s="2"/>
      <c r="GY15" s="2"/>
      <c r="GZ15" s="2"/>
      <c r="HA15" s="2"/>
      <c r="HB15" s="2"/>
      <c r="HC15" s="2"/>
      <c r="HD15" s="2"/>
      <c r="HE15" s="2"/>
      <c r="HF15" s="2"/>
      <c r="HG15" s="2"/>
      <c r="HH15" s="2"/>
      <c r="HI15" s="2"/>
      <c r="HJ15" s="2"/>
      <c r="HK15" s="2"/>
      <c r="HL15" s="2"/>
      <c r="HM15" s="2"/>
      <c r="HN15" s="2"/>
      <c r="HO15" s="2"/>
      <c r="HP15" s="2"/>
      <c r="HQ15" s="2"/>
      <c r="HR15" s="2"/>
      <c r="HS15" s="2"/>
      <c r="HT15" s="2"/>
      <c r="HU15" s="2"/>
      <c r="HV15" s="2"/>
      <c r="HW15" s="2"/>
      <c r="HX15" s="2"/>
      <c r="HY15" s="2"/>
      <c r="HZ15" s="2"/>
      <c r="IA15" s="2"/>
      <c r="IB15" s="2"/>
      <c r="IC15" s="2"/>
      <c r="ID15" s="2"/>
      <c r="IE15" s="2"/>
      <c r="IF15" s="2"/>
      <c r="IG15" s="2"/>
      <c r="IH15" s="2"/>
      <c r="II15" s="2"/>
      <c r="IJ15" s="2"/>
      <c r="IK15" s="2"/>
      <c r="IL15" s="2"/>
      <c r="IM15" s="2"/>
      <c r="IN15" s="2"/>
      <c r="IO15" s="2"/>
      <c r="IP15" s="2"/>
      <c r="IQ15" s="2"/>
      <c r="IR15" s="2"/>
      <c r="IS15" s="2"/>
      <c r="IT15" s="2"/>
      <c r="IU15" s="2"/>
      <c r="IV15" s="2"/>
      <c r="IW15" s="2"/>
      <c r="IX15" s="2"/>
      <c r="IY15" s="2"/>
      <c r="IZ15" s="2"/>
      <c r="JA15" s="2"/>
      <c r="JB15" s="2"/>
      <c r="JC15" s="2"/>
      <c r="JD15" s="2"/>
      <c r="JE15" s="2"/>
      <c r="JF15" s="2"/>
      <c r="JG15" s="2"/>
      <c r="JH15" s="2"/>
      <c r="JI15" s="2"/>
      <c r="JJ15" s="2"/>
      <c r="JK15" s="2"/>
      <c r="JL15" s="2"/>
      <c r="JM15" s="2"/>
      <c r="JN15" s="2"/>
      <c r="JO15" s="2"/>
      <c r="JP15" s="2"/>
      <c r="JQ15" s="2"/>
      <c r="JR15" s="2"/>
      <c r="JS15" s="2"/>
      <c r="JT15" s="2"/>
      <c r="JU15" s="2"/>
      <c r="JV15" s="2"/>
      <c r="JW15" s="2"/>
      <c r="JX15" s="2"/>
      <c r="JY15" s="2"/>
      <c r="JZ15" s="2"/>
      <c r="KA15" s="2"/>
      <c r="KB15" s="2"/>
      <c r="KC15" s="2"/>
      <c r="KD15" s="2"/>
      <c r="KE15" s="2"/>
      <c r="KF15" s="2"/>
      <c r="KG15" s="2"/>
      <c r="KH15" s="2"/>
      <c r="KI15" s="2"/>
      <c r="KJ15" s="2"/>
      <c r="KK15" s="2"/>
      <c r="KL15" s="2"/>
      <c r="KM15" s="2"/>
      <c r="KN15" s="2"/>
      <c r="KO15" s="2"/>
      <c r="KP15" s="2"/>
      <c r="KQ15" s="2"/>
      <c r="KR15" s="2"/>
      <c r="KS15" s="2"/>
      <c r="KT15" s="2"/>
      <c r="KU15" s="2"/>
      <c r="KV15" s="2"/>
      <c r="KW15" s="2"/>
      <c r="KX15" s="2"/>
      <c r="KY15" s="2"/>
      <c r="KZ15" s="2"/>
      <c r="LA15" s="2"/>
      <c r="LB15" s="2"/>
      <c r="LC15" s="2"/>
      <c r="LD15" s="2"/>
      <c r="LE15" s="2"/>
      <c r="LF15" s="2"/>
      <c r="LG15" s="2"/>
      <c r="LH15" s="2"/>
      <c r="LI15" s="2"/>
      <c r="LJ15" s="2"/>
      <c r="LK15" s="2"/>
      <c r="LL15" s="2"/>
      <c r="LM15" s="2"/>
      <c r="LN15" s="2"/>
      <c r="LO15" s="2"/>
      <c r="LP15" s="2"/>
      <c r="LQ15" s="2"/>
      <c r="LR15" s="2"/>
      <c r="LS15" s="2"/>
      <c r="LT15" s="2"/>
      <c r="LU15" s="2"/>
      <c r="LV15" s="2"/>
      <c r="LW15" s="2"/>
      <c r="LX15" s="2"/>
      <c r="LY15" s="2"/>
      <c r="LZ15" s="2"/>
      <c r="MA15" s="2"/>
      <c r="MB15" s="2"/>
      <c r="MC15" s="2"/>
      <c r="MD15" s="2"/>
      <c r="ME15" s="2"/>
      <c r="MF15" s="2"/>
      <c r="MG15" s="2"/>
      <c r="MH15" s="2"/>
      <c r="MI15" s="2"/>
      <c r="MJ15" s="2"/>
      <c r="MK15" s="2"/>
      <c r="ML15" s="2"/>
      <c r="MM15" s="2"/>
      <c r="MN15" s="2"/>
      <c r="MO15" s="2"/>
      <c r="MP15" s="2"/>
      <c r="MQ15" s="2"/>
      <c r="MR15" s="2"/>
      <c r="MS15" s="2"/>
      <c r="MT15" s="2"/>
      <c r="MU15" s="2"/>
      <c r="MV15" s="2"/>
      <c r="MW15" s="2"/>
      <c r="MX15" s="2"/>
      <c r="MY15" s="2"/>
      <c r="MZ15" s="2"/>
      <c r="NA15" s="2"/>
      <c r="NB15" s="2"/>
      <c r="NC15" s="2"/>
      <c r="ND15" s="2"/>
      <c r="NE15" s="2"/>
      <c r="NF15" s="2"/>
      <c r="NG15" s="2"/>
      <c r="NH15" s="2"/>
    </row>
    <row r="16" spans="2:372" s="3" customFormat="1" ht="15" customHeight="1" x14ac:dyDescent="0.25">
      <c r="B16" s="233" t="s">
        <v>428</v>
      </c>
      <c r="C16" s="497" t="s">
        <v>721</v>
      </c>
      <c r="D16" s="498"/>
      <c r="E16" s="102">
        <f>MIN(E17:F18)</f>
        <v>3</v>
      </c>
      <c r="F16" s="102">
        <f>MAX(E17:F18)</f>
        <v>8</v>
      </c>
      <c r="G16" s="102">
        <f>F16-E16+1</f>
        <v>6</v>
      </c>
      <c r="H16" s="2"/>
      <c r="I16" s="2"/>
      <c r="J16" s="2"/>
      <c r="K16" s="2"/>
      <c r="L16" s="2"/>
      <c r="M16" s="2"/>
      <c r="N16" s="2"/>
      <c r="O16" s="2"/>
      <c r="P16" s="2"/>
      <c r="Q16" s="2"/>
      <c r="R16" s="2"/>
      <c r="S16" s="2"/>
      <c r="T16" s="2"/>
      <c r="U16" s="2"/>
      <c r="V16" s="2"/>
      <c r="W16" s="2"/>
      <c r="X16" s="2"/>
      <c r="Y16" s="2"/>
      <c r="Z16" s="2"/>
      <c r="AA16" s="2"/>
      <c r="AB16" s="2"/>
      <c r="AC16" s="2"/>
      <c r="AD16" s="2"/>
      <c r="AE16" s="2"/>
      <c r="AF16" s="2"/>
      <c r="AG16" s="2"/>
      <c r="AH16" s="2"/>
      <c r="AI16" s="2"/>
      <c r="AJ16" s="2"/>
      <c r="AK16" s="2"/>
      <c r="AL16" s="2"/>
      <c r="AM16" s="2"/>
      <c r="AN16" s="2"/>
      <c r="AO16" s="2"/>
      <c r="AP16" s="2"/>
      <c r="AQ16" s="2"/>
      <c r="AR16" s="2"/>
      <c r="AS16" s="2"/>
      <c r="AT16" s="2"/>
      <c r="AU16" s="2"/>
      <c r="AV16" s="2"/>
      <c r="AW16" s="2"/>
      <c r="AX16" s="2"/>
      <c r="AY16" s="2"/>
      <c r="AZ16" s="2"/>
      <c r="BA16" s="2"/>
      <c r="BB16" s="2"/>
      <c r="BC16" s="2"/>
      <c r="BD16" s="2"/>
      <c r="BE16" s="2"/>
      <c r="BF16" s="2"/>
      <c r="BG16" s="2"/>
      <c r="BH16" s="2"/>
      <c r="BI16" s="2"/>
      <c r="BJ16" s="2"/>
      <c r="BK16" s="2"/>
      <c r="BL16" s="2"/>
      <c r="BM16" s="2"/>
      <c r="BN16" s="2"/>
      <c r="BO16" s="2"/>
      <c r="BP16" s="2"/>
      <c r="BQ16" s="2"/>
      <c r="BR16" s="2"/>
      <c r="BS16" s="2"/>
      <c r="BT16" s="2"/>
      <c r="BU16" s="2"/>
      <c r="BV16" s="2"/>
      <c r="BW16" s="2"/>
      <c r="BX16" s="2"/>
      <c r="BY16" s="2"/>
      <c r="BZ16" s="2"/>
      <c r="CA16" s="2"/>
      <c r="CB16" s="2"/>
      <c r="CC16" s="2"/>
      <c r="CD16" s="2"/>
      <c r="CE16" s="2"/>
      <c r="CF16" s="2"/>
      <c r="CG16" s="2"/>
      <c r="CH16" s="2"/>
      <c r="CI16" s="2"/>
      <c r="CJ16" s="2"/>
      <c r="CK16" s="2"/>
      <c r="CL16" s="2"/>
      <c r="CM16" s="2"/>
      <c r="CN16" s="2"/>
      <c r="CO16" s="2"/>
      <c r="CP16" s="2"/>
      <c r="CQ16" s="2"/>
      <c r="CR16" s="2"/>
      <c r="CS16" s="2"/>
      <c r="CT16" s="2"/>
      <c r="CU16" s="2"/>
      <c r="CV16" s="2"/>
      <c r="CW16" s="2"/>
      <c r="CX16" s="2"/>
      <c r="CY16" s="2"/>
      <c r="CZ16" s="2"/>
      <c r="DA16" s="2"/>
      <c r="DB16" s="2"/>
      <c r="DC16" s="2"/>
      <c r="DD16" s="2"/>
      <c r="DE16" s="2"/>
      <c r="DF16" s="2"/>
      <c r="DG16" s="2"/>
      <c r="DH16" s="2"/>
      <c r="DI16" s="2"/>
      <c r="DJ16" s="2"/>
      <c r="DK16" s="2"/>
      <c r="DL16" s="2"/>
      <c r="DM16" s="2"/>
      <c r="DN16" s="2"/>
      <c r="DO16" s="2"/>
      <c r="DP16" s="2"/>
      <c r="DQ16" s="2"/>
      <c r="DR16" s="2"/>
      <c r="DS16" s="2"/>
      <c r="DT16" s="2"/>
      <c r="DU16" s="2"/>
      <c r="DV16" s="2"/>
      <c r="DW16" s="2"/>
      <c r="DX16" s="2"/>
      <c r="DY16" s="2"/>
      <c r="DZ16" s="2"/>
      <c r="EA16" s="2"/>
      <c r="EB16" s="2"/>
      <c r="EC16" s="2"/>
      <c r="ED16" s="2"/>
      <c r="EE16" s="2"/>
      <c r="EF16" s="2"/>
      <c r="EG16" s="2"/>
      <c r="EH16" s="2"/>
      <c r="EI16" s="2"/>
      <c r="EJ16" s="2"/>
      <c r="EK16" s="2"/>
      <c r="EL16" s="2"/>
      <c r="EM16" s="2"/>
      <c r="EN16" s="2"/>
      <c r="EO16" s="2"/>
      <c r="EP16" s="2"/>
      <c r="EQ16" s="2"/>
      <c r="ER16" s="2"/>
      <c r="ES16" s="2"/>
      <c r="ET16" s="2"/>
      <c r="EU16" s="2"/>
      <c r="EV16" s="2"/>
      <c r="EW16" s="2"/>
      <c r="EX16" s="2"/>
      <c r="EY16" s="2"/>
      <c r="EZ16" s="2"/>
      <c r="FA16" s="2"/>
      <c r="FB16" s="2"/>
      <c r="FC16" s="2"/>
      <c r="FD16" s="2"/>
      <c r="FE16" s="2"/>
      <c r="FF16" s="2"/>
      <c r="FG16" s="2"/>
      <c r="FH16" s="2"/>
      <c r="FI16" s="2"/>
      <c r="FJ16" s="2"/>
      <c r="FK16" s="2"/>
      <c r="FL16" s="2"/>
      <c r="FM16" s="2"/>
      <c r="FN16" s="2"/>
      <c r="FO16" s="2"/>
      <c r="FP16" s="2"/>
      <c r="FQ16" s="2"/>
      <c r="FR16" s="2"/>
      <c r="FS16" s="2"/>
      <c r="FT16" s="2"/>
      <c r="FU16" s="2"/>
      <c r="FV16" s="2"/>
      <c r="FW16" s="2"/>
      <c r="FX16" s="2"/>
      <c r="FY16" s="2"/>
      <c r="FZ16" s="2"/>
      <c r="GA16" s="2"/>
      <c r="GB16" s="2"/>
      <c r="GC16" s="2"/>
      <c r="GD16" s="2"/>
      <c r="GE16" s="2"/>
      <c r="GF16" s="2"/>
      <c r="GG16" s="2"/>
      <c r="GH16" s="2"/>
      <c r="GI16" s="2"/>
      <c r="GJ16" s="2"/>
      <c r="GK16" s="2"/>
      <c r="GL16" s="2"/>
      <c r="GM16" s="2"/>
      <c r="GN16" s="2"/>
      <c r="GO16" s="2"/>
      <c r="GP16" s="2"/>
      <c r="GQ16" s="2"/>
      <c r="GR16" s="2"/>
      <c r="GS16" s="2"/>
      <c r="GT16" s="2"/>
      <c r="GU16" s="2"/>
      <c r="GV16" s="2"/>
      <c r="GW16" s="2"/>
      <c r="GX16" s="2"/>
      <c r="GY16" s="2"/>
      <c r="GZ16" s="2"/>
      <c r="HA16" s="2"/>
      <c r="HB16" s="2"/>
      <c r="HC16" s="2"/>
      <c r="HD16" s="2"/>
      <c r="HE16" s="2"/>
      <c r="HF16" s="2"/>
      <c r="HG16" s="2"/>
      <c r="HH16" s="2"/>
      <c r="HI16" s="2"/>
      <c r="HJ16" s="2"/>
      <c r="HK16" s="2"/>
      <c r="HL16" s="2"/>
      <c r="HM16" s="2"/>
      <c r="HN16" s="2"/>
      <c r="HO16" s="2"/>
      <c r="HP16" s="2"/>
      <c r="HQ16" s="2"/>
      <c r="HR16" s="2"/>
      <c r="HS16" s="2"/>
      <c r="HT16" s="2"/>
      <c r="HU16" s="2"/>
      <c r="HV16" s="2"/>
      <c r="HW16" s="2"/>
      <c r="HX16" s="2"/>
      <c r="HY16" s="2"/>
      <c r="HZ16" s="2"/>
      <c r="IA16" s="2"/>
      <c r="IB16" s="2"/>
      <c r="IC16" s="2"/>
      <c r="ID16" s="2"/>
      <c r="IE16" s="2"/>
      <c r="IF16" s="2"/>
      <c r="IG16" s="2"/>
      <c r="IH16" s="2"/>
      <c r="II16" s="2"/>
      <c r="IJ16" s="2"/>
      <c r="IK16" s="2"/>
      <c r="IL16" s="2"/>
      <c r="IM16" s="2"/>
      <c r="IN16" s="2"/>
      <c r="IO16" s="2"/>
      <c r="IP16" s="2"/>
      <c r="IQ16" s="2"/>
      <c r="IR16" s="2"/>
      <c r="IS16" s="2"/>
      <c r="IT16" s="2"/>
      <c r="IU16" s="2"/>
      <c r="IV16" s="2"/>
      <c r="IW16" s="2"/>
      <c r="IX16" s="2"/>
      <c r="IY16" s="2"/>
      <c r="IZ16" s="2"/>
      <c r="JA16" s="2"/>
      <c r="JB16" s="2"/>
      <c r="JC16" s="2"/>
      <c r="JD16" s="2"/>
      <c r="JE16" s="2"/>
      <c r="JF16" s="2"/>
      <c r="JG16" s="2"/>
      <c r="JH16" s="2"/>
      <c r="JI16" s="2"/>
      <c r="JJ16" s="2"/>
      <c r="JK16" s="2"/>
      <c r="JL16" s="2"/>
      <c r="JM16" s="2"/>
      <c r="JN16" s="2"/>
      <c r="JO16" s="2"/>
      <c r="JP16" s="2"/>
      <c r="JQ16" s="2"/>
      <c r="JR16" s="2"/>
      <c r="JS16" s="2"/>
      <c r="JT16" s="2"/>
      <c r="JU16" s="2"/>
      <c r="JV16" s="2"/>
      <c r="JW16" s="2"/>
      <c r="JX16" s="2"/>
      <c r="JY16" s="2"/>
      <c r="JZ16" s="2"/>
      <c r="KA16" s="2"/>
      <c r="KB16" s="2"/>
      <c r="KC16" s="2"/>
      <c r="KD16" s="2"/>
      <c r="KE16" s="2"/>
      <c r="KF16" s="2"/>
      <c r="KG16" s="2"/>
      <c r="KH16" s="2"/>
      <c r="KI16" s="2"/>
      <c r="KJ16" s="2"/>
      <c r="KK16" s="2"/>
      <c r="KL16" s="2"/>
      <c r="KM16" s="2"/>
      <c r="KN16" s="2"/>
      <c r="KO16" s="2"/>
      <c r="KP16" s="2"/>
      <c r="KQ16" s="2"/>
      <c r="KR16" s="2"/>
      <c r="KS16" s="2"/>
      <c r="KT16" s="2"/>
      <c r="KU16" s="2"/>
      <c r="KV16" s="2"/>
      <c r="KW16" s="2"/>
      <c r="KX16" s="2"/>
      <c r="KY16" s="2"/>
      <c r="KZ16" s="2"/>
      <c r="LA16" s="2"/>
      <c r="LB16" s="2"/>
      <c r="LC16" s="2"/>
      <c r="LD16" s="2"/>
      <c r="LE16" s="2"/>
      <c r="LF16" s="2"/>
      <c r="LG16" s="2"/>
      <c r="LH16" s="2"/>
      <c r="LI16" s="2"/>
      <c r="LJ16" s="2"/>
      <c r="LK16" s="2"/>
      <c r="LL16" s="2"/>
      <c r="LM16" s="2"/>
      <c r="LN16" s="2"/>
      <c r="LO16" s="2"/>
      <c r="LP16" s="2"/>
      <c r="LQ16" s="2"/>
      <c r="LR16" s="2"/>
      <c r="LS16" s="2"/>
      <c r="LT16" s="2"/>
      <c r="LU16" s="2"/>
      <c r="LV16" s="2"/>
      <c r="LW16" s="2"/>
      <c r="LX16" s="2"/>
      <c r="LY16" s="2"/>
      <c r="LZ16" s="2"/>
      <c r="MA16" s="2"/>
      <c r="MB16" s="2"/>
      <c r="MC16" s="2"/>
      <c r="MD16" s="2"/>
      <c r="ME16" s="2"/>
      <c r="MF16" s="2"/>
      <c r="MG16" s="2"/>
      <c r="MH16" s="2"/>
      <c r="MI16" s="2"/>
      <c r="MJ16" s="2"/>
      <c r="MK16" s="2"/>
      <c r="ML16" s="2"/>
      <c r="MM16" s="2"/>
      <c r="MN16" s="2"/>
      <c r="MO16" s="2"/>
      <c r="MP16" s="2"/>
      <c r="MQ16" s="2"/>
      <c r="MR16" s="2"/>
      <c r="MS16" s="2"/>
      <c r="MT16" s="2"/>
      <c r="MU16" s="2"/>
      <c r="MV16" s="2"/>
      <c r="MW16" s="2"/>
      <c r="MX16" s="2"/>
      <c r="MY16" s="2"/>
      <c r="MZ16" s="2"/>
      <c r="NA16" s="2"/>
      <c r="NB16" s="2"/>
      <c r="NC16" s="2"/>
      <c r="ND16" s="2"/>
      <c r="NE16" s="2"/>
      <c r="NF16" s="2"/>
      <c r="NG16" s="2"/>
      <c r="NH16" s="2"/>
    </row>
    <row r="17" spans="2:372" s="3" customFormat="1" ht="15" customHeight="1" x14ac:dyDescent="0.25">
      <c r="B17" s="234" t="s">
        <v>429</v>
      </c>
      <c r="C17" s="518" t="s">
        <v>780</v>
      </c>
      <c r="D17" s="519"/>
      <c r="E17" s="67">
        <v>3</v>
      </c>
      <c r="F17" s="67">
        <f>E17+G17-1</f>
        <v>5</v>
      </c>
      <c r="G17" s="67">
        <f>'Memo calc'!K70</f>
        <v>3</v>
      </c>
      <c r="H17" s="2"/>
      <c r="I17" s="2"/>
      <c r="J17" s="2"/>
      <c r="K17" s="2"/>
      <c r="L17" s="2"/>
      <c r="M17" s="2"/>
      <c r="N17" s="2"/>
      <c r="O17" s="2"/>
      <c r="P17" s="2"/>
      <c r="Q17" s="2"/>
      <c r="R17" s="2"/>
      <c r="S17" s="2"/>
      <c r="T17" s="2"/>
      <c r="U17" s="2"/>
      <c r="V17" s="2"/>
      <c r="W17" s="2"/>
      <c r="X17" s="2"/>
      <c r="Y17" s="2"/>
      <c r="Z17" s="2"/>
      <c r="AA17" s="2"/>
      <c r="AB17" s="2"/>
      <c r="AC17" s="2"/>
      <c r="AD17" s="2"/>
      <c r="AE17" s="2"/>
      <c r="AF17" s="2"/>
      <c r="AG17" s="2"/>
      <c r="AH17" s="2"/>
      <c r="AI17" s="2"/>
      <c r="AJ17" s="2"/>
      <c r="AK17" s="2"/>
      <c r="AL17" s="2"/>
      <c r="AM17" s="2"/>
      <c r="AN17" s="2"/>
      <c r="AO17" s="2"/>
      <c r="AP17" s="2"/>
      <c r="AQ17" s="2"/>
      <c r="AR17" s="2"/>
      <c r="AS17" s="2"/>
      <c r="AT17" s="2"/>
      <c r="AU17" s="2"/>
      <c r="AV17" s="2"/>
      <c r="AW17" s="2"/>
      <c r="AX17" s="2"/>
      <c r="AY17" s="2"/>
      <c r="AZ17" s="2"/>
      <c r="BA17" s="2"/>
      <c r="BB17" s="2"/>
      <c r="BC17" s="2"/>
      <c r="BD17" s="2"/>
      <c r="BE17" s="2"/>
      <c r="BF17" s="2"/>
      <c r="BG17" s="2"/>
      <c r="BH17" s="2"/>
      <c r="BI17" s="2"/>
      <c r="BJ17" s="2"/>
      <c r="BK17" s="2"/>
      <c r="BL17" s="2"/>
      <c r="BM17" s="2"/>
      <c r="BN17" s="2"/>
      <c r="BO17" s="2"/>
      <c r="BP17" s="2"/>
      <c r="BQ17" s="2"/>
      <c r="BR17" s="2"/>
      <c r="BS17" s="2"/>
      <c r="BT17" s="2"/>
      <c r="BU17" s="2"/>
      <c r="BV17" s="2"/>
      <c r="BW17" s="2"/>
      <c r="BX17" s="2"/>
      <c r="BY17" s="2"/>
      <c r="BZ17" s="2"/>
      <c r="CA17" s="2"/>
      <c r="CB17" s="2"/>
      <c r="CC17" s="2"/>
      <c r="CD17" s="2"/>
      <c r="CE17" s="2"/>
      <c r="CF17" s="2"/>
      <c r="CG17" s="2"/>
      <c r="CH17" s="2"/>
      <c r="CI17" s="2"/>
      <c r="CJ17" s="2"/>
      <c r="CK17" s="2"/>
      <c r="CL17" s="2"/>
      <c r="CM17" s="2"/>
      <c r="CN17" s="2"/>
      <c r="CO17" s="2"/>
      <c r="CP17" s="2"/>
      <c r="CQ17" s="2"/>
      <c r="CR17" s="2"/>
      <c r="CS17" s="2"/>
      <c r="CT17" s="2"/>
      <c r="CU17" s="2"/>
      <c r="CV17" s="2"/>
      <c r="CW17" s="2"/>
      <c r="CX17" s="2"/>
      <c r="CY17" s="2"/>
      <c r="CZ17" s="2"/>
      <c r="DA17" s="2"/>
      <c r="DB17" s="2"/>
      <c r="DC17" s="2"/>
      <c r="DD17" s="2"/>
      <c r="DE17" s="2"/>
      <c r="DF17" s="2"/>
      <c r="DG17" s="2"/>
      <c r="DH17" s="2"/>
      <c r="DI17" s="2"/>
      <c r="DJ17" s="2"/>
      <c r="DK17" s="2"/>
      <c r="DL17" s="2"/>
      <c r="DM17" s="2"/>
      <c r="DN17" s="2"/>
      <c r="DO17" s="2"/>
      <c r="DP17" s="2"/>
      <c r="DQ17" s="2"/>
      <c r="DR17" s="2"/>
      <c r="DS17" s="2"/>
      <c r="DT17" s="2"/>
      <c r="DU17" s="2"/>
      <c r="DV17" s="2"/>
      <c r="DW17" s="2"/>
      <c r="DX17" s="2"/>
      <c r="DY17" s="2"/>
      <c r="DZ17" s="2"/>
      <c r="EA17" s="2"/>
      <c r="EB17" s="2"/>
      <c r="EC17" s="2"/>
      <c r="ED17" s="2"/>
      <c r="EE17" s="2"/>
      <c r="EF17" s="2"/>
      <c r="EG17" s="2"/>
      <c r="EH17" s="2"/>
      <c r="EI17" s="2"/>
      <c r="EJ17" s="2"/>
      <c r="EK17" s="2"/>
      <c r="EL17" s="2"/>
      <c r="EM17" s="2"/>
      <c r="EN17" s="2"/>
      <c r="EO17" s="2"/>
      <c r="EP17" s="2"/>
      <c r="EQ17" s="2"/>
      <c r="ER17" s="2"/>
      <c r="ES17" s="2"/>
      <c r="ET17" s="2"/>
      <c r="EU17" s="2"/>
      <c r="EV17" s="2"/>
      <c r="EW17" s="2"/>
      <c r="EX17" s="2"/>
      <c r="EY17" s="2"/>
      <c r="EZ17" s="2"/>
      <c r="FA17" s="2"/>
      <c r="FB17" s="2"/>
      <c r="FC17" s="2"/>
      <c r="FD17" s="2"/>
      <c r="FE17" s="2"/>
      <c r="FF17" s="2"/>
      <c r="FG17" s="2"/>
      <c r="FH17" s="2"/>
      <c r="FI17" s="2"/>
      <c r="FJ17" s="2"/>
      <c r="FK17" s="2"/>
      <c r="FL17" s="2"/>
      <c r="FM17" s="2"/>
      <c r="FN17" s="2"/>
      <c r="FO17" s="2"/>
      <c r="FP17" s="2"/>
      <c r="FQ17" s="2"/>
      <c r="FR17" s="2"/>
      <c r="FS17" s="2"/>
      <c r="FT17" s="2"/>
      <c r="FU17" s="2"/>
      <c r="FV17" s="2"/>
      <c r="FW17" s="2"/>
      <c r="FX17" s="2"/>
      <c r="FY17" s="2"/>
      <c r="FZ17" s="2"/>
      <c r="GA17" s="2"/>
      <c r="GB17" s="2"/>
      <c r="GC17" s="2"/>
      <c r="GD17" s="2"/>
      <c r="GE17" s="2"/>
      <c r="GF17" s="2"/>
      <c r="GG17" s="2"/>
      <c r="GH17" s="2"/>
      <c r="GI17" s="2"/>
      <c r="GJ17" s="2"/>
      <c r="GK17" s="2"/>
      <c r="GL17" s="2"/>
      <c r="GM17" s="2"/>
      <c r="GN17" s="2"/>
      <c r="GO17" s="2"/>
      <c r="GP17" s="2"/>
      <c r="GQ17" s="2"/>
      <c r="GR17" s="2"/>
      <c r="GS17" s="2"/>
      <c r="GT17" s="2"/>
      <c r="GU17" s="2"/>
      <c r="GV17" s="2"/>
      <c r="GW17" s="2"/>
      <c r="GX17" s="2"/>
      <c r="GY17" s="2"/>
      <c r="GZ17" s="2"/>
      <c r="HA17" s="2"/>
      <c r="HB17" s="2"/>
      <c r="HC17" s="2"/>
      <c r="HD17" s="2"/>
      <c r="HE17" s="2"/>
      <c r="HF17" s="2"/>
      <c r="HG17" s="2"/>
      <c r="HH17" s="2"/>
      <c r="HI17" s="2"/>
      <c r="HJ17" s="2"/>
      <c r="HK17" s="2"/>
      <c r="HL17" s="2"/>
      <c r="HM17" s="2"/>
      <c r="HN17" s="2"/>
      <c r="HO17" s="2"/>
      <c r="HP17" s="2"/>
      <c r="HQ17" s="2"/>
      <c r="HR17" s="2"/>
      <c r="HS17" s="2"/>
      <c r="HT17" s="2"/>
      <c r="HU17" s="2"/>
      <c r="HV17" s="2"/>
      <c r="HW17" s="2"/>
      <c r="HX17" s="2"/>
      <c r="HY17" s="2"/>
      <c r="HZ17" s="2"/>
      <c r="IA17" s="2"/>
      <c r="IB17" s="2"/>
      <c r="IC17" s="2"/>
      <c r="ID17" s="2"/>
      <c r="IE17" s="2"/>
      <c r="IF17" s="2"/>
      <c r="IG17" s="2"/>
      <c r="IH17" s="2"/>
      <c r="II17" s="2"/>
      <c r="IJ17" s="2"/>
      <c r="IK17" s="2"/>
      <c r="IL17" s="2"/>
      <c r="IM17" s="2"/>
      <c r="IN17" s="2"/>
      <c r="IO17" s="2"/>
      <c r="IP17" s="2"/>
      <c r="IQ17" s="2"/>
      <c r="IR17" s="2"/>
      <c r="IS17" s="2"/>
      <c r="IT17" s="2"/>
      <c r="IU17" s="2"/>
      <c r="IV17" s="2"/>
      <c r="IW17" s="2"/>
      <c r="IX17" s="2"/>
      <c r="IY17" s="2"/>
      <c r="IZ17" s="2"/>
      <c r="JA17" s="2"/>
      <c r="JB17" s="2"/>
      <c r="JC17" s="2"/>
      <c r="JD17" s="2"/>
      <c r="JE17" s="2"/>
      <c r="JF17" s="2"/>
      <c r="JG17" s="2"/>
      <c r="JH17" s="2"/>
      <c r="JI17" s="2"/>
      <c r="JJ17" s="2"/>
      <c r="JK17" s="2"/>
      <c r="JL17" s="2"/>
      <c r="JM17" s="2"/>
      <c r="JN17" s="2"/>
      <c r="JO17" s="2"/>
      <c r="JP17" s="2"/>
      <c r="JQ17" s="2"/>
      <c r="JR17" s="2"/>
      <c r="JS17" s="2"/>
      <c r="JT17" s="2"/>
      <c r="JU17" s="2"/>
      <c r="JV17" s="2"/>
      <c r="JW17" s="2"/>
      <c r="JX17" s="2"/>
      <c r="JY17" s="2"/>
      <c r="JZ17" s="2"/>
      <c r="KA17" s="2"/>
      <c r="KB17" s="2"/>
      <c r="KC17" s="2"/>
      <c r="KD17" s="2"/>
      <c r="KE17" s="2"/>
      <c r="KF17" s="2"/>
      <c r="KG17" s="2"/>
      <c r="KH17" s="2"/>
      <c r="KI17" s="2"/>
      <c r="KJ17" s="2"/>
      <c r="KK17" s="2"/>
      <c r="KL17" s="2"/>
      <c r="KM17" s="2"/>
      <c r="KN17" s="2"/>
      <c r="KO17" s="2"/>
      <c r="KP17" s="2"/>
      <c r="KQ17" s="2"/>
      <c r="KR17" s="2"/>
      <c r="KS17" s="2"/>
      <c r="KT17" s="2"/>
      <c r="KU17" s="2"/>
      <c r="KV17" s="2"/>
      <c r="KW17" s="2"/>
      <c r="KX17" s="2"/>
      <c r="KY17" s="2"/>
      <c r="KZ17" s="2"/>
      <c r="LA17" s="2"/>
      <c r="LB17" s="2"/>
      <c r="LC17" s="2"/>
      <c r="LD17" s="2"/>
      <c r="LE17" s="2"/>
      <c r="LF17" s="2"/>
      <c r="LG17" s="2"/>
      <c r="LH17" s="2"/>
      <c r="LI17" s="2"/>
      <c r="LJ17" s="2"/>
      <c r="LK17" s="2"/>
      <c r="LL17" s="2"/>
      <c r="LM17" s="2"/>
      <c r="LN17" s="2"/>
      <c r="LO17" s="2"/>
      <c r="LP17" s="2"/>
      <c r="LQ17" s="2"/>
      <c r="LR17" s="2"/>
      <c r="LS17" s="2"/>
      <c r="LT17" s="2"/>
      <c r="LU17" s="2"/>
      <c r="LV17" s="2"/>
      <c r="LW17" s="2"/>
      <c r="LX17" s="2"/>
      <c r="LY17" s="2"/>
      <c r="LZ17" s="2"/>
      <c r="MA17" s="2"/>
      <c r="MB17" s="2"/>
      <c r="MC17" s="2"/>
      <c r="MD17" s="2"/>
      <c r="ME17" s="2"/>
      <c r="MF17" s="2"/>
      <c r="MG17" s="2"/>
      <c r="MH17" s="2"/>
      <c r="MI17" s="2"/>
      <c r="MJ17" s="2"/>
      <c r="MK17" s="2"/>
      <c r="ML17" s="2"/>
      <c r="MM17" s="2"/>
      <c r="MN17" s="2"/>
      <c r="MO17" s="2"/>
      <c r="MP17" s="2"/>
      <c r="MQ17" s="2"/>
      <c r="MR17" s="2"/>
      <c r="MS17" s="2"/>
      <c r="MT17" s="2"/>
      <c r="MU17" s="2"/>
      <c r="MV17" s="2"/>
      <c r="MW17" s="2"/>
      <c r="MX17" s="2"/>
      <c r="MY17" s="2"/>
      <c r="MZ17" s="2"/>
      <c r="NA17" s="2"/>
      <c r="NB17" s="2"/>
      <c r="NC17" s="2"/>
      <c r="ND17" s="2"/>
      <c r="NE17" s="2"/>
      <c r="NF17" s="2"/>
      <c r="NG17" s="2"/>
      <c r="NH17" s="2"/>
    </row>
    <row r="18" spans="2:372" s="3" customFormat="1" ht="15" customHeight="1" x14ac:dyDescent="0.25">
      <c r="B18" s="234" t="s">
        <v>440</v>
      </c>
      <c r="C18" s="518" t="s">
        <v>781</v>
      </c>
      <c r="D18" s="519"/>
      <c r="E18" s="67">
        <f>F17+1</f>
        <v>6</v>
      </c>
      <c r="F18" s="67">
        <f>E18+G18-1</f>
        <v>8</v>
      </c>
      <c r="G18" s="67">
        <f>'Memo calc'!L152</f>
        <v>3</v>
      </c>
      <c r="H18" s="2"/>
      <c r="I18" s="2"/>
      <c r="J18" s="2"/>
      <c r="K18" s="2"/>
      <c r="L18" s="2"/>
      <c r="M18" s="2"/>
      <c r="N18" s="2"/>
      <c r="O18" s="2"/>
      <c r="P18" s="2"/>
      <c r="Q18" s="2"/>
      <c r="R18" s="2"/>
      <c r="S18" s="2"/>
      <c r="T18" s="2"/>
      <c r="U18" s="2"/>
      <c r="V18" s="2"/>
      <c r="W18" s="2"/>
      <c r="X18" s="2"/>
      <c r="Y18" s="2"/>
      <c r="Z18" s="2"/>
      <c r="AA18" s="2"/>
      <c r="AB18" s="2"/>
      <c r="AC18" s="2"/>
      <c r="AD18" s="2"/>
      <c r="AE18" s="2"/>
      <c r="AF18" s="2"/>
      <c r="AG18" s="2"/>
      <c r="AH18" s="2"/>
      <c r="AI18" s="2"/>
      <c r="AJ18" s="2"/>
      <c r="AK18" s="2"/>
      <c r="AL18" s="2"/>
      <c r="AM18" s="2"/>
      <c r="AN18" s="2"/>
      <c r="AO18" s="2"/>
      <c r="AP18" s="2"/>
      <c r="AQ18" s="2"/>
      <c r="AR18" s="2"/>
      <c r="AS18" s="2"/>
      <c r="AT18" s="2"/>
      <c r="AU18" s="2"/>
      <c r="AV18" s="2"/>
      <c r="AW18" s="2"/>
      <c r="AX18" s="2"/>
      <c r="AY18" s="2"/>
      <c r="AZ18" s="2"/>
      <c r="BA18" s="2"/>
      <c r="BB18" s="2"/>
      <c r="BC18" s="2"/>
      <c r="BD18" s="2"/>
      <c r="BE18" s="2"/>
      <c r="BF18" s="2"/>
      <c r="BG18" s="2"/>
      <c r="BH18" s="2"/>
      <c r="BI18" s="2"/>
      <c r="BJ18" s="2"/>
      <c r="BK18" s="2"/>
      <c r="BL18" s="2"/>
      <c r="BM18" s="2"/>
      <c r="BN18" s="2"/>
      <c r="BO18" s="2"/>
      <c r="BP18" s="2"/>
      <c r="BQ18" s="2"/>
      <c r="BR18" s="2"/>
      <c r="BS18" s="2"/>
      <c r="BT18" s="2"/>
      <c r="BU18" s="2"/>
      <c r="BV18" s="2"/>
      <c r="BW18" s="2"/>
      <c r="BX18" s="2"/>
      <c r="BY18" s="2"/>
      <c r="BZ18" s="2"/>
      <c r="CA18" s="2"/>
      <c r="CB18" s="2"/>
      <c r="CC18" s="2"/>
      <c r="CD18" s="2"/>
      <c r="CE18" s="2"/>
      <c r="CF18" s="2"/>
      <c r="CG18" s="2"/>
      <c r="CH18" s="2"/>
      <c r="CI18" s="2"/>
      <c r="CJ18" s="2"/>
      <c r="CK18" s="2"/>
      <c r="CL18" s="2"/>
      <c r="CM18" s="2"/>
      <c r="CN18" s="2"/>
      <c r="CO18" s="2"/>
      <c r="CP18" s="2"/>
      <c r="CQ18" s="2"/>
      <c r="CR18" s="2"/>
      <c r="CS18" s="2"/>
      <c r="CT18" s="2"/>
      <c r="CU18" s="2"/>
      <c r="CV18" s="2"/>
      <c r="CW18" s="2"/>
      <c r="CX18" s="2"/>
      <c r="CY18" s="2"/>
      <c r="CZ18" s="2"/>
      <c r="DA18" s="2"/>
      <c r="DB18" s="2"/>
      <c r="DC18" s="2"/>
      <c r="DD18" s="2"/>
      <c r="DE18" s="2"/>
      <c r="DF18" s="2"/>
      <c r="DG18" s="2"/>
      <c r="DH18" s="2"/>
      <c r="DI18" s="2"/>
      <c r="DJ18" s="2"/>
      <c r="DK18" s="2"/>
      <c r="DL18" s="2"/>
      <c r="DM18" s="2"/>
      <c r="DN18" s="2"/>
      <c r="DO18" s="2"/>
      <c r="DP18" s="2"/>
      <c r="DQ18" s="2"/>
      <c r="DR18" s="2"/>
      <c r="DS18" s="2"/>
      <c r="DT18" s="2"/>
      <c r="DU18" s="2"/>
      <c r="DV18" s="2"/>
      <c r="DW18" s="2"/>
      <c r="DX18" s="2"/>
      <c r="DY18" s="2"/>
      <c r="DZ18" s="2"/>
      <c r="EA18" s="2"/>
      <c r="EB18" s="2"/>
      <c r="EC18" s="2"/>
      <c r="ED18" s="2"/>
      <c r="EE18" s="2"/>
      <c r="EF18" s="2"/>
      <c r="EG18" s="2"/>
      <c r="EH18" s="2"/>
      <c r="EI18" s="2"/>
      <c r="EJ18" s="2"/>
      <c r="EK18" s="2"/>
      <c r="EL18" s="2"/>
      <c r="EM18" s="2"/>
      <c r="EN18" s="2"/>
      <c r="EO18" s="2"/>
      <c r="EP18" s="2"/>
      <c r="EQ18" s="2"/>
      <c r="ER18" s="2"/>
      <c r="ES18" s="2"/>
      <c r="ET18" s="2"/>
      <c r="EU18" s="2"/>
      <c r="EV18" s="2"/>
      <c r="EW18" s="2"/>
      <c r="EX18" s="2"/>
      <c r="EY18" s="2"/>
      <c r="EZ18" s="2"/>
      <c r="FA18" s="2"/>
      <c r="FB18" s="2"/>
      <c r="FC18" s="2"/>
      <c r="FD18" s="2"/>
      <c r="FE18" s="2"/>
      <c r="FF18" s="2"/>
      <c r="FG18" s="2"/>
      <c r="FH18" s="2"/>
      <c r="FI18" s="2"/>
      <c r="FJ18" s="2"/>
      <c r="FK18" s="2"/>
      <c r="FL18" s="2"/>
      <c r="FM18" s="2"/>
      <c r="FN18" s="2"/>
      <c r="FO18" s="2"/>
      <c r="FP18" s="2"/>
      <c r="FQ18" s="2"/>
      <c r="FR18" s="2"/>
      <c r="FS18" s="2"/>
      <c r="FT18" s="2"/>
      <c r="FU18" s="2"/>
      <c r="FV18" s="2"/>
      <c r="FW18" s="2"/>
      <c r="FX18" s="2"/>
      <c r="FY18" s="2"/>
      <c r="FZ18" s="2"/>
      <c r="GA18" s="2"/>
      <c r="GB18" s="2"/>
      <c r="GC18" s="2"/>
      <c r="GD18" s="2"/>
      <c r="GE18" s="2"/>
      <c r="GF18" s="2"/>
      <c r="GG18" s="2"/>
      <c r="GH18" s="2"/>
      <c r="GI18" s="2"/>
      <c r="GJ18" s="2"/>
      <c r="GK18" s="2"/>
      <c r="GL18" s="2"/>
      <c r="GM18" s="2"/>
      <c r="GN18" s="2"/>
      <c r="GO18" s="2"/>
      <c r="GP18" s="2"/>
      <c r="GQ18" s="2"/>
      <c r="GR18" s="2"/>
      <c r="GS18" s="2"/>
      <c r="GT18" s="2"/>
      <c r="GU18" s="2"/>
      <c r="GV18" s="2"/>
      <c r="GW18" s="2"/>
      <c r="GX18" s="2"/>
      <c r="GY18" s="2"/>
      <c r="GZ18" s="2"/>
      <c r="HA18" s="2"/>
      <c r="HB18" s="2"/>
      <c r="HC18" s="2"/>
      <c r="HD18" s="2"/>
      <c r="HE18" s="2"/>
      <c r="HF18" s="2"/>
      <c r="HG18" s="2"/>
      <c r="HH18" s="2"/>
      <c r="HI18" s="2"/>
      <c r="HJ18" s="2"/>
      <c r="HK18" s="2"/>
      <c r="HL18" s="2"/>
      <c r="HM18" s="2"/>
      <c r="HN18" s="2"/>
      <c r="HO18" s="2"/>
      <c r="HP18" s="2"/>
      <c r="HQ18" s="2"/>
      <c r="HR18" s="2"/>
      <c r="HS18" s="2"/>
      <c r="HT18" s="2"/>
      <c r="HU18" s="2"/>
      <c r="HV18" s="2"/>
      <c r="HW18" s="2"/>
      <c r="HX18" s="2"/>
      <c r="HY18" s="2"/>
      <c r="HZ18" s="2"/>
      <c r="IA18" s="2"/>
      <c r="IB18" s="2"/>
      <c r="IC18" s="2"/>
      <c r="ID18" s="2"/>
      <c r="IE18" s="2"/>
      <c r="IF18" s="2"/>
      <c r="IG18" s="2"/>
      <c r="IH18" s="2"/>
      <c r="II18" s="2"/>
      <c r="IJ18" s="2"/>
      <c r="IK18" s="2"/>
      <c r="IL18" s="2"/>
      <c r="IM18" s="2"/>
      <c r="IN18" s="2"/>
      <c r="IO18" s="2"/>
      <c r="IP18" s="2"/>
      <c r="IQ18" s="2"/>
      <c r="IR18" s="2"/>
      <c r="IS18" s="2"/>
      <c r="IT18" s="2"/>
      <c r="IU18" s="2"/>
      <c r="IV18" s="2"/>
      <c r="IW18" s="2"/>
      <c r="IX18" s="2"/>
      <c r="IY18" s="2"/>
      <c r="IZ18" s="2"/>
      <c r="JA18" s="2"/>
      <c r="JB18" s="2"/>
      <c r="JC18" s="2"/>
      <c r="JD18" s="2"/>
      <c r="JE18" s="2"/>
      <c r="JF18" s="2"/>
      <c r="JG18" s="2"/>
      <c r="JH18" s="2"/>
      <c r="JI18" s="2"/>
      <c r="JJ18" s="2"/>
      <c r="JK18" s="2"/>
      <c r="JL18" s="2"/>
      <c r="JM18" s="2"/>
      <c r="JN18" s="2"/>
      <c r="JO18" s="2"/>
      <c r="JP18" s="2"/>
      <c r="JQ18" s="2"/>
      <c r="JR18" s="2"/>
      <c r="JS18" s="2"/>
      <c r="JT18" s="2"/>
      <c r="JU18" s="2"/>
      <c r="JV18" s="2"/>
      <c r="JW18" s="2"/>
      <c r="JX18" s="2"/>
      <c r="JY18" s="2"/>
      <c r="JZ18" s="2"/>
      <c r="KA18" s="2"/>
      <c r="KB18" s="2"/>
      <c r="KC18" s="2"/>
      <c r="KD18" s="2"/>
      <c r="KE18" s="2"/>
      <c r="KF18" s="2"/>
      <c r="KG18" s="2"/>
      <c r="KH18" s="2"/>
      <c r="KI18" s="2"/>
      <c r="KJ18" s="2"/>
      <c r="KK18" s="2"/>
      <c r="KL18" s="2"/>
      <c r="KM18" s="2"/>
      <c r="KN18" s="2"/>
      <c r="KO18" s="2"/>
      <c r="KP18" s="2"/>
      <c r="KQ18" s="2"/>
      <c r="KR18" s="2"/>
      <c r="KS18" s="2"/>
      <c r="KT18" s="2"/>
      <c r="KU18" s="2"/>
      <c r="KV18" s="2"/>
      <c r="KW18" s="2"/>
      <c r="KX18" s="2"/>
      <c r="KY18" s="2"/>
      <c r="KZ18" s="2"/>
      <c r="LA18" s="2"/>
      <c r="LB18" s="2"/>
      <c r="LC18" s="2"/>
      <c r="LD18" s="2"/>
      <c r="LE18" s="2"/>
      <c r="LF18" s="2"/>
      <c r="LG18" s="2"/>
      <c r="LH18" s="2"/>
      <c r="LI18" s="2"/>
      <c r="LJ18" s="2"/>
      <c r="LK18" s="2"/>
      <c r="LL18" s="2"/>
      <c r="LM18" s="2"/>
      <c r="LN18" s="2"/>
      <c r="LO18" s="2"/>
      <c r="LP18" s="2"/>
      <c r="LQ18" s="2"/>
      <c r="LR18" s="2"/>
      <c r="LS18" s="2"/>
      <c r="LT18" s="2"/>
      <c r="LU18" s="2"/>
      <c r="LV18" s="2"/>
      <c r="LW18" s="2"/>
      <c r="LX18" s="2"/>
      <c r="LY18" s="2"/>
      <c r="LZ18" s="2"/>
      <c r="MA18" s="2"/>
      <c r="MB18" s="2"/>
      <c r="MC18" s="2"/>
      <c r="MD18" s="2"/>
      <c r="ME18" s="2"/>
      <c r="MF18" s="2"/>
      <c r="MG18" s="2"/>
      <c r="MH18" s="2"/>
      <c r="MI18" s="2"/>
      <c r="MJ18" s="2"/>
      <c r="MK18" s="2"/>
      <c r="ML18" s="2"/>
      <c r="MM18" s="2"/>
      <c r="MN18" s="2"/>
      <c r="MO18" s="2"/>
      <c r="MP18" s="2"/>
      <c r="MQ18" s="2"/>
      <c r="MR18" s="2"/>
      <c r="MS18" s="2"/>
      <c r="MT18" s="2"/>
      <c r="MU18" s="2"/>
      <c r="MV18" s="2"/>
      <c r="MW18" s="2"/>
      <c r="MX18" s="2"/>
      <c r="MY18" s="2"/>
      <c r="MZ18" s="2"/>
      <c r="NA18" s="2"/>
      <c r="NB18" s="2"/>
      <c r="NC18" s="2"/>
      <c r="ND18" s="2"/>
      <c r="NE18" s="2"/>
      <c r="NF18" s="2"/>
      <c r="NG18" s="2"/>
      <c r="NH18" s="2"/>
    </row>
    <row r="19" spans="2:372" s="3" customFormat="1" ht="15" customHeight="1" x14ac:dyDescent="0.25">
      <c r="B19" s="233" t="s">
        <v>483</v>
      </c>
      <c r="C19" s="497" t="s">
        <v>209</v>
      </c>
      <c r="D19" s="498"/>
      <c r="E19" s="56">
        <f>G15+1</f>
        <v>3</v>
      </c>
      <c r="F19" s="56">
        <f t="shared" si="0"/>
        <v>4</v>
      </c>
      <c r="G19" s="56">
        <f>'Memo calc'!H197</f>
        <v>2</v>
      </c>
      <c r="H19" s="2"/>
      <c r="I19" s="2"/>
      <c r="J19" s="2"/>
      <c r="K19" s="2"/>
      <c r="L19" s="2"/>
      <c r="M19" s="2"/>
      <c r="N19" s="2"/>
      <c r="O19" s="2"/>
      <c r="P19" s="2"/>
      <c r="Q19" s="2"/>
      <c r="R19" s="2"/>
      <c r="S19" s="2"/>
      <c r="T19" s="2"/>
      <c r="U19" s="2"/>
      <c r="V19" s="2"/>
      <c r="W19" s="2"/>
      <c r="X19" s="2"/>
      <c r="Y19" s="2"/>
      <c r="Z19" s="2"/>
      <c r="AA19" s="2"/>
      <c r="AB19" s="2"/>
      <c r="AC19" s="2"/>
      <c r="AD19" s="2"/>
      <c r="AE19" s="2"/>
      <c r="AF19" s="2"/>
      <c r="AG19" s="2"/>
      <c r="AH19" s="2"/>
      <c r="AI19" s="2"/>
      <c r="AJ19" s="2"/>
      <c r="AK19" s="2"/>
      <c r="AL19" s="2"/>
      <c r="AM19" s="2"/>
      <c r="AN19" s="2"/>
      <c r="AO19" s="2"/>
      <c r="AP19" s="2"/>
      <c r="AQ19" s="2"/>
      <c r="AR19" s="2"/>
      <c r="AS19" s="2"/>
      <c r="AT19" s="2"/>
      <c r="AU19" s="2"/>
      <c r="AV19" s="2"/>
      <c r="AW19" s="2"/>
      <c r="AX19" s="2"/>
      <c r="AY19" s="2"/>
      <c r="AZ19" s="2"/>
      <c r="BA19" s="2"/>
      <c r="BB19" s="2"/>
      <c r="BC19" s="2"/>
      <c r="BD19" s="2"/>
      <c r="BE19" s="2"/>
      <c r="BF19" s="2"/>
      <c r="BG19" s="2"/>
      <c r="BH19" s="2"/>
      <c r="BI19" s="2"/>
      <c r="BJ19" s="2"/>
      <c r="BK19" s="2"/>
      <c r="BL19" s="2"/>
      <c r="BM19" s="2"/>
      <c r="BN19" s="2"/>
      <c r="BO19" s="2"/>
      <c r="BP19" s="2"/>
      <c r="BQ19" s="2"/>
      <c r="BR19" s="2"/>
      <c r="BS19" s="2"/>
      <c r="BT19" s="2"/>
      <c r="BU19" s="2"/>
      <c r="BV19" s="2"/>
      <c r="BW19" s="2"/>
      <c r="BX19" s="2"/>
      <c r="BY19" s="2"/>
      <c r="BZ19" s="2"/>
      <c r="CA19" s="2"/>
      <c r="CB19" s="2"/>
      <c r="CC19" s="2"/>
      <c r="CD19" s="2"/>
      <c r="CE19" s="2"/>
      <c r="CF19" s="2"/>
      <c r="CG19" s="2"/>
      <c r="CH19" s="2"/>
      <c r="CI19" s="2"/>
      <c r="CJ19" s="2"/>
      <c r="CK19" s="2"/>
      <c r="CL19" s="2"/>
      <c r="CM19" s="2"/>
      <c r="CN19" s="2"/>
      <c r="CO19" s="2"/>
      <c r="CP19" s="2"/>
      <c r="CQ19" s="2"/>
      <c r="CR19" s="2"/>
      <c r="CS19" s="2"/>
      <c r="CT19" s="2"/>
      <c r="CU19" s="2"/>
      <c r="CV19" s="2"/>
      <c r="CW19" s="2"/>
      <c r="CX19" s="2"/>
      <c r="CY19" s="2"/>
      <c r="CZ19" s="2"/>
      <c r="DA19" s="2"/>
      <c r="DB19" s="2"/>
      <c r="DC19" s="2"/>
      <c r="DD19" s="2"/>
      <c r="DE19" s="2"/>
      <c r="DF19" s="2"/>
      <c r="DG19" s="2"/>
      <c r="DH19" s="2"/>
      <c r="DI19" s="2"/>
      <c r="DJ19" s="2"/>
      <c r="DK19" s="2"/>
      <c r="DL19" s="2"/>
      <c r="DM19" s="2"/>
      <c r="DN19" s="2"/>
      <c r="DO19" s="2"/>
      <c r="DP19" s="2"/>
      <c r="DQ19" s="2"/>
      <c r="DR19" s="2"/>
      <c r="DS19" s="2"/>
      <c r="DT19" s="2"/>
      <c r="DU19" s="2"/>
      <c r="DV19" s="2"/>
      <c r="DW19" s="2"/>
      <c r="DX19" s="2"/>
      <c r="DY19" s="2"/>
      <c r="DZ19" s="2"/>
      <c r="EA19" s="2"/>
      <c r="EB19" s="2"/>
      <c r="EC19" s="2"/>
      <c r="ED19" s="2"/>
      <c r="EE19" s="2"/>
      <c r="EF19" s="2"/>
      <c r="EG19" s="2"/>
      <c r="EH19" s="2"/>
      <c r="EI19" s="2"/>
      <c r="EJ19" s="2"/>
      <c r="EK19" s="2"/>
      <c r="EL19" s="2"/>
      <c r="EM19" s="2"/>
      <c r="EN19" s="2"/>
      <c r="EO19" s="2"/>
      <c r="EP19" s="2"/>
      <c r="EQ19" s="2"/>
      <c r="ER19" s="2"/>
      <c r="ES19" s="2"/>
      <c r="ET19" s="2"/>
      <c r="EU19" s="2"/>
      <c r="EV19" s="2"/>
      <c r="EW19" s="2"/>
      <c r="EX19" s="2"/>
      <c r="EY19" s="2"/>
      <c r="EZ19" s="2"/>
      <c r="FA19" s="2"/>
      <c r="FB19" s="2"/>
      <c r="FC19" s="2"/>
      <c r="FD19" s="2"/>
      <c r="FE19" s="2"/>
      <c r="FF19" s="2"/>
      <c r="FG19" s="2"/>
      <c r="FH19" s="2"/>
      <c r="FI19" s="2"/>
      <c r="FJ19" s="2"/>
      <c r="FK19" s="2"/>
      <c r="FL19" s="2"/>
      <c r="FM19" s="2"/>
      <c r="FN19" s="2"/>
      <c r="FO19" s="2"/>
      <c r="FP19" s="2"/>
      <c r="FQ19" s="2"/>
      <c r="FR19" s="2"/>
      <c r="FS19" s="2"/>
      <c r="FT19" s="2"/>
      <c r="FU19" s="2"/>
      <c r="FV19" s="2"/>
      <c r="FW19" s="2"/>
      <c r="FX19" s="2"/>
      <c r="FY19" s="2"/>
      <c r="FZ19" s="2"/>
      <c r="GA19" s="2"/>
      <c r="GB19" s="2"/>
      <c r="GC19" s="2"/>
      <c r="GD19" s="2"/>
      <c r="GE19" s="2"/>
      <c r="GF19" s="2"/>
      <c r="GG19" s="2"/>
      <c r="GH19" s="2"/>
      <c r="GI19" s="2"/>
      <c r="GJ19" s="2"/>
      <c r="GK19" s="2"/>
      <c r="GL19" s="2"/>
      <c r="GM19" s="2"/>
      <c r="GN19" s="2"/>
      <c r="GO19" s="2"/>
      <c r="GP19" s="2"/>
      <c r="GQ19" s="2"/>
      <c r="GR19" s="2"/>
      <c r="GS19" s="2"/>
      <c r="GT19" s="2"/>
      <c r="GU19" s="2"/>
      <c r="GV19" s="2"/>
      <c r="GW19" s="2"/>
      <c r="GX19" s="2"/>
      <c r="GY19" s="2"/>
      <c r="GZ19" s="2"/>
      <c r="HA19" s="2"/>
      <c r="HB19" s="2"/>
      <c r="HC19" s="2"/>
      <c r="HD19" s="2"/>
      <c r="HE19" s="2"/>
      <c r="HF19" s="2"/>
      <c r="HG19" s="2"/>
      <c r="HH19" s="2"/>
      <c r="HI19" s="2"/>
      <c r="HJ19" s="2"/>
      <c r="HK19" s="2"/>
      <c r="HL19" s="2"/>
      <c r="HM19" s="2"/>
      <c r="HN19" s="2"/>
      <c r="HO19" s="2"/>
      <c r="HP19" s="2"/>
      <c r="HQ19" s="2"/>
      <c r="HR19" s="2"/>
      <c r="HS19" s="2"/>
      <c r="HT19" s="2"/>
      <c r="HU19" s="2"/>
      <c r="HV19" s="2"/>
      <c r="HW19" s="2"/>
      <c r="HX19" s="2"/>
      <c r="HY19" s="2"/>
      <c r="HZ19" s="2"/>
      <c r="IA19" s="2"/>
      <c r="IB19" s="2"/>
      <c r="IC19" s="2"/>
      <c r="ID19" s="2"/>
      <c r="IE19" s="2"/>
      <c r="IF19" s="2"/>
      <c r="IG19" s="2"/>
      <c r="IH19" s="2"/>
      <c r="II19" s="2"/>
      <c r="IJ19" s="2"/>
      <c r="IK19" s="2"/>
      <c r="IL19" s="2"/>
      <c r="IM19" s="2"/>
      <c r="IN19" s="2"/>
      <c r="IO19" s="2"/>
      <c r="IP19" s="2"/>
      <c r="IQ19" s="2"/>
      <c r="IR19" s="2"/>
      <c r="IS19" s="2"/>
      <c r="IT19" s="2"/>
      <c r="IU19" s="2"/>
      <c r="IV19" s="2"/>
      <c r="IW19" s="2"/>
      <c r="IX19" s="2"/>
      <c r="IY19" s="2"/>
      <c r="IZ19" s="2"/>
      <c r="JA19" s="2"/>
      <c r="JB19" s="2"/>
      <c r="JC19" s="2"/>
      <c r="JD19" s="2"/>
      <c r="JE19" s="2"/>
      <c r="JF19" s="2"/>
      <c r="JG19" s="2"/>
      <c r="JH19" s="2"/>
      <c r="JI19" s="2"/>
      <c r="JJ19" s="2"/>
      <c r="JK19" s="2"/>
      <c r="JL19" s="2"/>
      <c r="JM19" s="2"/>
      <c r="JN19" s="2"/>
      <c r="JO19" s="2"/>
      <c r="JP19" s="2"/>
      <c r="JQ19" s="2"/>
      <c r="JR19" s="2"/>
      <c r="JS19" s="2"/>
      <c r="JT19" s="2"/>
      <c r="JU19" s="2"/>
      <c r="JV19" s="2"/>
      <c r="JW19" s="2"/>
      <c r="JX19" s="2"/>
      <c r="JY19" s="2"/>
      <c r="JZ19" s="2"/>
      <c r="KA19" s="2"/>
      <c r="KB19" s="2"/>
      <c r="KC19" s="2"/>
      <c r="KD19" s="2"/>
      <c r="KE19" s="2"/>
      <c r="KF19" s="2"/>
      <c r="KG19" s="2"/>
      <c r="KH19" s="2"/>
      <c r="KI19" s="2"/>
      <c r="KJ19" s="2"/>
      <c r="KK19" s="2"/>
      <c r="KL19" s="2"/>
      <c r="KM19" s="2"/>
      <c r="KN19" s="2"/>
      <c r="KO19" s="2"/>
      <c r="KP19" s="2"/>
      <c r="KQ19" s="2"/>
      <c r="KR19" s="2"/>
      <c r="KS19" s="2"/>
      <c r="KT19" s="2"/>
      <c r="KU19" s="2"/>
      <c r="KV19" s="2"/>
      <c r="KW19" s="2"/>
      <c r="KX19" s="2"/>
      <c r="KY19" s="2"/>
      <c r="KZ19" s="2"/>
      <c r="LA19" s="2"/>
      <c r="LB19" s="2"/>
      <c r="LC19" s="2"/>
      <c r="LD19" s="2"/>
      <c r="LE19" s="2"/>
      <c r="LF19" s="2"/>
      <c r="LG19" s="2"/>
      <c r="LH19" s="2"/>
      <c r="LI19" s="2"/>
      <c r="LJ19" s="2"/>
      <c r="LK19" s="2"/>
      <c r="LL19" s="2"/>
      <c r="LM19" s="2"/>
      <c r="LN19" s="2"/>
      <c r="LO19" s="2"/>
      <c r="LP19" s="2"/>
      <c r="LQ19" s="2"/>
      <c r="LR19" s="2"/>
      <c r="LS19" s="2"/>
      <c r="LT19" s="2"/>
      <c r="LU19" s="2"/>
      <c r="LV19" s="2"/>
      <c r="LW19" s="2"/>
      <c r="LX19" s="2"/>
      <c r="LY19" s="2"/>
      <c r="LZ19" s="2"/>
      <c r="MA19" s="2"/>
      <c r="MB19" s="2"/>
      <c r="MC19" s="2"/>
      <c r="MD19" s="2"/>
      <c r="ME19" s="2"/>
      <c r="MF19" s="2"/>
      <c r="MG19" s="2"/>
      <c r="MH19" s="2"/>
      <c r="MI19" s="2"/>
      <c r="MJ19" s="2"/>
      <c r="MK19" s="2"/>
      <c r="ML19" s="2"/>
      <c r="MM19" s="2"/>
      <c r="MN19" s="2"/>
      <c r="MO19" s="2"/>
      <c r="MP19" s="2"/>
      <c r="MQ19" s="2"/>
      <c r="MR19" s="2"/>
      <c r="MS19" s="2"/>
      <c r="MT19" s="2"/>
      <c r="MU19" s="2"/>
      <c r="MV19" s="2"/>
      <c r="MW19" s="2"/>
      <c r="MX19" s="2"/>
      <c r="MY19" s="2"/>
      <c r="MZ19" s="2"/>
      <c r="NA19" s="2"/>
      <c r="NB19" s="2"/>
      <c r="NC19" s="2"/>
      <c r="ND19" s="2"/>
      <c r="NE19" s="2"/>
      <c r="NF19" s="2"/>
      <c r="NG19" s="2"/>
      <c r="NH19" s="2"/>
    </row>
    <row r="20" spans="2:372" s="3" customFormat="1" ht="15" customHeight="1" x14ac:dyDescent="0.25">
      <c r="B20" s="233" t="s">
        <v>423</v>
      </c>
      <c r="C20" s="497" t="s">
        <v>210</v>
      </c>
      <c r="D20" s="498"/>
      <c r="E20" s="56">
        <f>F19+1</f>
        <v>5</v>
      </c>
      <c r="F20" s="56">
        <f t="shared" si="0"/>
        <v>6</v>
      </c>
      <c r="G20" s="56">
        <f>'Memo calc'!H241</f>
        <v>2</v>
      </c>
      <c r="H20" s="2"/>
      <c r="I20" s="2"/>
      <c r="J20" s="2"/>
      <c r="K20" s="2"/>
      <c r="L20" s="2"/>
      <c r="M20" s="2"/>
      <c r="N20" s="2"/>
      <c r="O20" s="2"/>
      <c r="P20" s="2"/>
      <c r="Q20" s="2"/>
      <c r="R20" s="2"/>
      <c r="S20" s="2"/>
      <c r="T20" s="2"/>
      <c r="U20" s="2"/>
      <c r="V20" s="2"/>
      <c r="W20" s="2"/>
      <c r="X20" s="2"/>
      <c r="Y20" s="2"/>
      <c r="Z20" s="2"/>
      <c r="AA20" s="2"/>
      <c r="AB20" s="2"/>
      <c r="AC20" s="2"/>
      <c r="AD20" s="2"/>
      <c r="AE20" s="2"/>
      <c r="AF20" s="2"/>
      <c r="AG20" s="2"/>
      <c r="AH20" s="2"/>
      <c r="AI20" s="2"/>
      <c r="AJ20" s="2"/>
      <c r="AK20" s="2"/>
      <c r="AL20" s="2"/>
      <c r="AM20" s="2"/>
      <c r="AN20" s="2"/>
      <c r="AO20" s="2"/>
      <c r="AP20" s="2"/>
      <c r="AQ20" s="2"/>
      <c r="AR20" s="2"/>
      <c r="AS20" s="2"/>
      <c r="AT20" s="2"/>
      <c r="AU20" s="2"/>
      <c r="AV20" s="2"/>
      <c r="AW20" s="2"/>
      <c r="AX20" s="2"/>
      <c r="AY20" s="2"/>
      <c r="AZ20" s="2"/>
      <c r="BA20" s="2"/>
      <c r="BB20" s="2"/>
      <c r="BC20" s="2"/>
      <c r="BD20" s="2"/>
      <c r="BE20" s="2"/>
      <c r="BF20" s="2"/>
      <c r="BG20" s="2"/>
      <c r="BH20" s="2"/>
      <c r="BI20" s="2"/>
      <c r="BJ20" s="2"/>
      <c r="BK20" s="2"/>
      <c r="BL20" s="2"/>
      <c r="BM20" s="2"/>
      <c r="BN20" s="2"/>
      <c r="BO20" s="2"/>
      <c r="BP20" s="2"/>
      <c r="BQ20" s="2"/>
      <c r="BR20" s="2"/>
      <c r="BS20" s="2"/>
      <c r="BT20" s="2"/>
      <c r="BU20" s="2"/>
      <c r="BV20" s="2"/>
      <c r="BW20" s="2"/>
      <c r="BX20" s="2"/>
      <c r="BY20" s="2"/>
      <c r="BZ20" s="2"/>
      <c r="CA20" s="2"/>
      <c r="CB20" s="2"/>
      <c r="CC20" s="2"/>
      <c r="CD20" s="2"/>
      <c r="CE20" s="2"/>
      <c r="CF20" s="2"/>
      <c r="CG20" s="2"/>
      <c r="CH20" s="2"/>
      <c r="CI20" s="2"/>
      <c r="CJ20" s="2"/>
      <c r="CK20" s="2"/>
      <c r="CL20" s="2"/>
      <c r="CM20" s="2"/>
      <c r="CN20" s="2"/>
      <c r="CO20" s="2"/>
      <c r="CP20" s="2"/>
      <c r="CQ20" s="2"/>
      <c r="CR20" s="2"/>
      <c r="CS20" s="2"/>
      <c r="CT20" s="2"/>
      <c r="CU20" s="2"/>
      <c r="CV20" s="2"/>
      <c r="CW20" s="2"/>
      <c r="CX20" s="2"/>
      <c r="CY20" s="2"/>
      <c r="CZ20" s="2"/>
      <c r="DA20" s="2"/>
      <c r="DB20" s="2"/>
      <c r="DC20" s="2"/>
      <c r="DD20" s="2"/>
      <c r="DE20" s="2"/>
      <c r="DF20" s="2"/>
      <c r="DG20" s="2"/>
      <c r="DH20" s="2"/>
      <c r="DI20" s="2"/>
      <c r="DJ20" s="2"/>
      <c r="DK20" s="2"/>
      <c r="DL20" s="2"/>
      <c r="DM20" s="2"/>
      <c r="DN20" s="2"/>
      <c r="DO20" s="2"/>
      <c r="DP20" s="2"/>
      <c r="DQ20" s="2"/>
      <c r="DR20" s="2"/>
      <c r="DS20" s="2"/>
      <c r="DT20" s="2"/>
      <c r="DU20" s="2"/>
      <c r="DV20" s="2"/>
      <c r="DW20" s="2"/>
      <c r="DX20" s="2"/>
      <c r="DY20" s="2"/>
      <c r="DZ20" s="2"/>
      <c r="EA20" s="2"/>
      <c r="EB20" s="2"/>
      <c r="EC20" s="2"/>
      <c r="ED20" s="2"/>
      <c r="EE20" s="2"/>
      <c r="EF20" s="2"/>
      <c r="EG20" s="2"/>
      <c r="EH20" s="2"/>
      <c r="EI20" s="2"/>
      <c r="EJ20" s="2"/>
      <c r="EK20" s="2"/>
      <c r="EL20" s="2"/>
      <c r="EM20" s="2"/>
      <c r="EN20" s="2"/>
      <c r="EO20" s="2"/>
      <c r="EP20" s="2"/>
      <c r="EQ20" s="2"/>
      <c r="ER20" s="2"/>
      <c r="ES20" s="2"/>
      <c r="ET20" s="2"/>
      <c r="EU20" s="2"/>
      <c r="EV20" s="2"/>
      <c r="EW20" s="2"/>
      <c r="EX20" s="2"/>
      <c r="EY20" s="2"/>
      <c r="EZ20" s="2"/>
      <c r="FA20" s="2"/>
      <c r="FB20" s="2"/>
      <c r="FC20" s="2"/>
      <c r="FD20" s="2"/>
      <c r="FE20" s="2"/>
      <c r="FF20" s="2"/>
      <c r="FG20" s="2"/>
      <c r="FH20" s="2"/>
      <c r="FI20" s="2"/>
      <c r="FJ20" s="2"/>
      <c r="FK20" s="2"/>
      <c r="FL20" s="2"/>
      <c r="FM20" s="2"/>
      <c r="FN20" s="2"/>
      <c r="FO20" s="2"/>
      <c r="FP20" s="2"/>
      <c r="FQ20" s="2"/>
      <c r="FR20" s="2"/>
      <c r="FS20" s="2"/>
      <c r="FT20" s="2"/>
      <c r="FU20" s="2"/>
      <c r="FV20" s="2"/>
      <c r="FW20" s="2"/>
      <c r="FX20" s="2"/>
      <c r="FY20" s="2"/>
      <c r="FZ20" s="2"/>
      <c r="GA20" s="2"/>
      <c r="GB20" s="2"/>
      <c r="GC20" s="2"/>
      <c r="GD20" s="2"/>
      <c r="GE20" s="2"/>
      <c r="GF20" s="2"/>
      <c r="GG20" s="2"/>
      <c r="GH20" s="2"/>
      <c r="GI20" s="2"/>
      <c r="GJ20" s="2"/>
      <c r="GK20" s="2"/>
      <c r="GL20" s="2"/>
      <c r="GM20" s="2"/>
      <c r="GN20" s="2"/>
      <c r="GO20" s="2"/>
      <c r="GP20" s="2"/>
      <c r="GQ20" s="2"/>
      <c r="GR20" s="2"/>
      <c r="GS20" s="2"/>
      <c r="GT20" s="2"/>
      <c r="GU20" s="2"/>
      <c r="GV20" s="2"/>
      <c r="GW20" s="2"/>
      <c r="GX20" s="2"/>
      <c r="GY20" s="2"/>
      <c r="GZ20" s="2"/>
      <c r="HA20" s="2"/>
      <c r="HB20" s="2"/>
      <c r="HC20" s="2"/>
      <c r="HD20" s="2"/>
      <c r="HE20" s="2"/>
      <c r="HF20" s="2"/>
      <c r="HG20" s="2"/>
      <c r="HH20" s="2"/>
      <c r="HI20" s="2"/>
      <c r="HJ20" s="2"/>
      <c r="HK20" s="2"/>
      <c r="HL20" s="2"/>
      <c r="HM20" s="2"/>
      <c r="HN20" s="2"/>
      <c r="HO20" s="2"/>
      <c r="HP20" s="2"/>
      <c r="HQ20" s="2"/>
      <c r="HR20" s="2"/>
      <c r="HS20" s="2"/>
      <c r="HT20" s="2"/>
      <c r="HU20" s="2"/>
      <c r="HV20" s="2"/>
      <c r="HW20" s="2"/>
      <c r="HX20" s="2"/>
      <c r="HY20" s="2"/>
      <c r="HZ20" s="2"/>
      <c r="IA20" s="2"/>
      <c r="IB20" s="2"/>
      <c r="IC20" s="2"/>
      <c r="ID20" s="2"/>
      <c r="IE20" s="2"/>
      <c r="IF20" s="2"/>
      <c r="IG20" s="2"/>
      <c r="IH20" s="2"/>
      <c r="II20" s="2"/>
      <c r="IJ20" s="2"/>
      <c r="IK20" s="2"/>
      <c r="IL20" s="2"/>
      <c r="IM20" s="2"/>
      <c r="IN20" s="2"/>
      <c r="IO20" s="2"/>
      <c r="IP20" s="2"/>
      <c r="IQ20" s="2"/>
      <c r="IR20" s="2"/>
      <c r="IS20" s="2"/>
      <c r="IT20" s="2"/>
      <c r="IU20" s="2"/>
      <c r="IV20" s="2"/>
      <c r="IW20" s="2"/>
      <c r="IX20" s="2"/>
      <c r="IY20" s="2"/>
      <c r="IZ20" s="2"/>
      <c r="JA20" s="2"/>
      <c r="JB20" s="2"/>
      <c r="JC20" s="2"/>
      <c r="JD20" s="2"/>
      <c r="JE20" s="2"/>
      <c r="JF20" s="2"/>
      <c r="JG20" s="2"/>
      <c r="JH20" s="2"/>
      <c r="JI20" s="2"/>
      <c r="JJ20" s="2"/>
      <c r="JK20" s="2"/>
      <c r="JL20" s="2"/>
      <c r="JM20" s="2"/>
      <c r="JN20" s="2"/>
      <c r="JO20" s="2"/>
      <c r="JP20" s="2"/>
      <c r="JQ20" s="2"/>
      <c r="JR20" s="2"/>
      <c r="JS20" s="2"/>
      <c r="JT20" s="2"/>
      <c r="JU20" s="2"/>
      <c r="JV20" s="2"/>
      <c r="JW20" s="2"/>
      <c r="JX20" s="2"/>
      <c r="JY20" s="2"/>
      <c r="JZ20" s="2"/>
      <c r="KA20" s="2"/>
      <c r="KB20" s="2"/>
      <c r="KC20" s="2"/>
      <c r="KD20" s="2"/>
      <c r="KE20" s="2"/>
      <c r="KF20" s="2"/>
      <c r="KG20" s="2"/>
      <c r="KH20" s="2"/>
      <c r="KI20" s="2"/>
      <c r="KJ20" s="2"/>
      <c r="KK20" s="2"/>
      <c r="KL20" s="2"/>
      <c r="KM20" s="2"/>
      <c r="KN20" s="2"/>
      <c r="KO20" s="2"/>
      <c r="KP20" s="2"/>
      <c r="KQ20" s="2"/>
      <c r="KR20" s="2"/>
      <c r="KS20" s="2"/>
      <c r="KT20" s="2"/>
      <c r="KU20" s="2"/>
      <c r="KV20" s="2"/>
      <c r="KW20" s="2"/>
      <c r="KX20" s="2"/>
      <c r="KY20" s="2"/>
      <c r="KZ20" s="2"/>
      <c r="LA20" s="2"/>
      <c r="LB20" s="2"/>
      <c r="LC20" s="2"/>
      <c r="LD20" s="2"/>
      <c r="LE20" s="2"/>
      <c r="LF20" s="2"/>
      <c r="LG20" s="2"/>
      <c r="LH20" s="2"/>
      <c r="LI20" s="2"/>
      <c r="LJ20" s="2"/>
      <c r="LK20" s="2"/>
      <c r="LL20" s="2"/>
      <c r="LM20" s="2"/>
      <c r="LN20" s="2"/>
      <c r="LO20" s="2"/>
      <c r="LP20" s="2"/>
      <c r="LQ20" s="2"/>
      <c r="LR20" s="2"/>
      <c r="LS20" s="2"/>
      <c r="LT20" s="2"/>
      <c r="LU20" s="2"/>
      <c r="LV20" s="2"/>
      <c r="LW20" s="2"/>
      <c r="LX20" s="2"/>
      <c r="LY20" s="2"/>
      <c r="LZ20" s="2"/>
      <c r="MA20" s="2"/>
      <c r="MB20" s="2"/>
      <c r="MC20" s="2"/>
      <c r="MD20" s="2"/>
      <c r="ME20" s="2"/>
      <c r="MF20" s="2"/>
      <c r="MG20" s="2"/>
      <c r="MH20" s="2"/>
      <c r="MI20" s="2"/>
      <c r="MJ20" s="2"/>
      <c r="MK20" s="2"/>
      <c r="ML20" s="2"/>
      <c r="MM20" s="2"/>
      <c r="MN20" s="2"/>
      <c r="MO20" s="2"/>
      <c r="MP20" s="2"/>
      <c r="MQ20" s="2"/>
      <c r="MR20" s="2"/>
      <c r="MS20" s="2"/>
      <c r="MT20" s="2"/>
      <c r="MU20" s="2"/>
      <c r="MV20" s="2"/>
      <c r="MW20" s="2"/>
      <c r="MX20" s="2"/>
      <c r="MY20" s="2"/>
      <c r="MZ20" s="2"/>
      <c r="NA20" s="2"/>
      <c r="NB20" s="2"/>
      <c r="NC20" s="2"/>
      <c r="ND20" s="2"/>
      <c r="NE20" s="2"/>
      <c r="NF20" s="2"/>
      <c r="NG20" s="2"/>
      <c r="NH20" s="2"/>
    </row>
    <row r="21" spans="2:372" s="3" customFormat="1" ht="15" customHeight="1" x14ac:dyDescent="0.25">
      <c r="B21" s="233" t="s">
        <v>484</v>
      </c>
      <c r="C21" s="497" t="s">
        <v>208</v>
      </c>
      <c r="D21" s="498"/>
      <c r="E21" s="56">
        <f>F20+1</f>
        <v>7</v>
      </c>
      <c r="F21" s="56">
        <f t="shared" si="0"/>
        <v>8</v>
      </c>
      <c r="G21" s="56">
        <f>'Memo calc'!H283</f>
        <v>2</v>
      </c>
      <c r="H21" s="2"/>
      <c r="I21" s="2"/>
      <c r="J21" s="2"/>
      <c r="K21" s="2"/>
      <c r="L21" s="2"/>
      <c r="M21" s="2"/>
      <c r="N21" s="2"/>
      <c r="O21" s="2"/>
      <c r="P21" s="2"/>
      <c r="Q21" s="2"/>
      <c r="R21" s="2"/>
      <c r="S21" s="2"/>
      <c r="T21" s="2"/>
      <c r="U21" s="2"/>
      <c r="V21" s="2"/>
      <c r="W21" s="2"/>
      <c r="X21" s="2"/>
      <c r="Y21" s="2"/>
      <c r="Z21" s="2"/>
      <c r="AA21" s="2"/>
      <c r="AB21" s="2"/>
      <c r="AC21" s="2"/>
      <c r="AD21" s="2"/>
      <c r="AE21" s="2"/>
      <c r="AF21" s="2"/>
      <c r="AG21" s="2"/>
      <c r="AH21" s="2"/>
      <c r="AI21" s="2"/>
      <c r="AJ21" s="2"/>
      <c r="AK21" s="2"/>
      <c r="AL21" s="2"/>
      <c r="AM21" s="2"/>
      <c r="AN21" s="2"/>
      <c r="AO21" s="2"/>
      <c r="AP21" s="2"/>
      <c r="AQ21" s="2"/>
      <c r="AR21" s="2"/>
      <c r="AS21" s="2"/>
      <c r="AT21" s="2"/>
      <c r="AU21" s="2"/>
      <c r="AV21" s="2"/>
      <c r="AW21" s="2"/>
      <c r="AX21" s="2"/>
      <c r="AY21" s="2"/>
      <c r="AZ21" s="2"/>
      <c r="BA21" s="2"/>
      <c r="BB21" s="2"/>
      <c r="BC21" s="2"/>
      <c r="BD21" s="2"/>
      <c r="BE21" s="2"/>
      <c r="BF21" s="2"/>
      <c r="BG21" s="2"/>
      <c r="BH21" s="2"/>
      <c r="BI21" s="2"/>
      <c r="BJ21" s="2"/>
      <c r="BK21" s="2"/>
      <c r="BL21" s="2"/>
      <c r="BM21" s="2"/>
      <c r="BN21" s="2"/>
      <c r="BO21" s="2"/>
      <c r="BP21" s="2"/>
      <c r="BQ21" s="2"/>
      <c r="BR21" s="2"/>
      <c r="BS21" s="2"/>
      <c r="BT21" s="2"/>
      <c r="BU21" s="2"/>
      <c r="BV21" s="2"/>
      <c r="BW21" s="2"/>
      <c r="BX21" s="2"/>
      <c r="BY21" s="2"/>
      <c r="BZ21" s="2"/>
      <c r="CA21" s="2"/>
      <c r="CB21" s="2"/>
      <c r="CC21" s="2"/>
      <c r="CD21" s="2"/>
      <c r="CE21" s="2"/>
      <c r="CF21" s="2"/>
      <c r="CG21" s="2"/>
      <c r="CH21" s="2"/>
      <c r="CI21" s="2"/>
      <c r="CJ21" s="2"/>
      <c r="CK21" s="2"/>
      <c r="CL21" s="2"/>
      <c r="CM21" s="2"/>
      <c r="CN21" s="2"/>
      <c r="CO21" s="2"/>
      <c r="CP21" s="2"/>
      <c r="CQ21" s="2"/>
      <c r="CR21" s="2"/>
      <c r="CS21" s="2"/>
      <c r="CT21" s="2"/>
      <c r="CU21" s="2"/>
      <c r="CV21" s="2"/>
      <c r="CW21" s="2"/>
      <c r="CX21" s="2"/>
      <c r="CY21" s="2"/>
      <c r="CZ21" s="2"/>
      <c r="DA21" s="2"/>
      <c r="DB21" s="2"/>
      <c r="DC21" s="2"/>
      <c r="DD21" s="2"/>
      <c r="DE21" s="2"/>
      <c r="DF21" s="2"/>
      <c r="DG21" s="2"/>
      <c r="DH21" s="2"/>
      <c r="DI21" s="2"/>
      <c r="DJ21" s="2"/>
      <c r="DK21" s="2"/>
      <c r="DL21" s="2"/>
      <c r="DM21" s="2"/>
      <c r="DN21" s="2"/>
      <c r="DO21" s="2"/>
      <c r="DP21" s="2"/>
      <c r="DQ21" s="2"/>
      <c r="DR21" s="2"/>
      <c r="DS21" s="2"/>
      <c r="DT21" s="2"/>
      <c r="DU21" s="2"/>
      <c r="DV21" s="2"/>
      <c r="DW21" s="2"/>
      <c r="DX21" s="2"/>
      <c r="DY21" s="2"/>
      <c r="DZ21" s="2"/>
      <c r="EA21" s="2"/>
      <c r="EB21" s="2"/>
      <c r="EC21" s="2"/>
      <c r="ED21" s="2"/>
      <c r="EE21" s="2"/>
      <c r="EF21" s="2"/>
      <c r="EG21" s="2"/>
      <c r="EH21" s="2"/>
      <c r="EI21" s="2"/>
      <c r="EJ21" s="2"/>
      <c r="EK21" s="2"/>
      <c r="EL21" s="2"/>
      <c r="EM21" s="2"/>
      <c r="EN21" s="2"/>
      <c r="EO21" s="2"/>
      <c r="EP21" s="2"/>
      <c r="EQ21" s="2"/>
      <c r="ER21" s="2"/>
      <c r="ES21" s="2"/>
      <c r="ET21" s="2"/>
      <c r="EU21" s="2"/>
      <c r="EV21" s="2"/>
      <c r="EW21" s="2"/>
      <c r="EX21" s="2"/>
      <c r="EY21" s="2"/>
      <c r="EZ21" s="2"/>
      <c r="FA21" s="2"/>
      <c r="FB21" s="2"/>
      <c r="FC21" s="2"/>
      <c r="FD21" s="2"/>
      <c r="FE21" s="2"/>
      <c r="FF21" s="2"/>
      <c r="FG21" s="2"/>
      <c r="FH21" s="2"/>
      <c r="FI21" s="2"/>
      <c r="FJ21" s="2"/>
      <c r="FK21" s="2"/>
      <c r="FL21" s="2"/>
      <c r="FM21" s="2"/>
      <c r="FN21" s="2"/>
      <c r="FO21" s="2"/>
      <c r="FP21" s="2"/>
      <c r="FQ21" s="2"/>
      <c r="FR21" s="2"/>
      <c r="FS21" s="2"/>
      <c r="FT21" s="2"/>
      <c r="FU21" s="2"/>
      <c r="FV21" s="2"/>
      <c r="FW21" s="2"/>
      <c r="FX21" s="2"/>
      <c r="FY21" s="2"/>
      <c r="FZ21" s="2"/>
      <c r="GA21" s="2"/>
      <c r="GB21" s="2"/>
      <c r="GC21" s="2"/>
      <c r="GD21" s="2"/>
      <c r="GE21" s="2"/>
      <c r="GF21" s="2"/>
      <c r="GG21" s="2"/>
      <c r="GH21" s="2"/>
      <c r="GI21" s="2"/>
      <c r="GJ21" s="2"/>
      <c r="GK21" s="2"/>
      <c r="GL21" s="2"/>
      <c r="GM21" s="2"/>
      <c r="GN21" s="2"/>
      <c r="GO21" s="2"/>
      <c r="GP21" s="2"/>
      <c r="GQ21" s="2"/>
      <c r="GR21" s="2"/>
      <c r="GS21" s="2"/>
      <c r="GT21" s="2"/>
      <c r="GU21" s="2"/>
      <c r="GV21" s="2"/>
      <c r="GW21" s="2"/>
      <c r="GX21" s="2"/>
      <c r="GY21" s="2"/>
      <c r="GZ21" s="2"/>
      <c r="HA21" s="2"/>
      <c r="HB21" s="2"/>
      <c r="HC21" s="2"/>
      <c r="HD21" s="2"/>
      <c r="HE21" s="2"/>
      <c r="HF21" s="2"/>
      <c r="HG21" s="2"/>
      <c r="HH21" s="2"/>
      <c r="HI21" s="2"/>
      <c r="HJ21" s="2"/>
      <c r="HK21" s="2"/>
      <c r="HL21" s="2"/>
      <c r="HM21" s="2"/>
      <c r="HN21" s="2"/>
      <c r="HO21" s="2"/>
      <c r="HP21" s="2"/>
      <c r="HQ21" s="2"/>
      <c r="HR21" s="2"/>
      <c r="HS21" s="2"/>
      <c r="HT21" s="2"/>
      <c r="HU21" s="2"/>
      <c r="HV21" s="2"/>
      <c r="HW21" s="2"/>
      <c r="HX21" s="2"/>
      <c r="HY21" s="2"/>
      <c r="HZ21" s="2"/>
      <c r="IA21" s="2"/>
      <c r="IB21" s="2"/>
      <c r="IC21" s="2"/>
      <c r="ID21" s="2"/>
      <c r="IE21" s="2"/>
      <c r="IF21" s="2"/>
      <c r="IG21" s="2"/>
      <c r="IH21" s="2"/>
      <c r="II21" s="2"/>
      <c r="IJ21" s="2"/>
      <c r="IK21" s="2"/>
      <c r="IL21" s="2"/>
      <c r="IM21" s="2"/>
      <c r="IN21" s="2"/>
      <c r="IO21" s="2"/>
      <c r="IP21" s="2"/>
      <c r="IQ21" s="2"/>
      <c r="IR21" s="2"/>
      <c r="IS21" s="2"/>
      <c r="IT21" s="2"/>
      <c r="IU21" s="2"/>
      <c r="IV21" s="2"/>
      <c r="IW21" s="2"/>
      <c r="IX21" s="2"/>
      <c r="IY21" s="2"/>
      <c r="IZ21" s="2"/>
      <c r="JA21" s="2"/>
      <c r="JB21" s="2"/>
      <c r="JC21" s="2"/>
      <c r="JD21" s="2"/>
      <c r="JE21" s="2"/>
      <c r="JF21" s="2"/>
      <c r="JG21" s="2"/>
      <c r="JH21" s="2"/>
      <c r="JI21" s="2"/>
      <c r="JJ21" s="2"/>
      <c r="JK21" s="2"/>
      <c r="JL21" s="2"/>
      <c r="JM21" s="2"/>
      <c r="JN21" s="2"/>
      <c r="JO21" s="2"/>
      <c r="JP21" s="2"/>
      <c r="JQ21" s="2"/>
      <c r="JR21" s="2"/>
      <c r="JS21" s="2"/>
      <c r="JT21" s="2"/>
      <c r="JU21" s="2"/>
      <c r="JV21" s="2"/>
      <c r="JW21" s="2"/>
      <c r="JX21" s="2"/>
      <c r="JY21" s="2"/>
      <c r="JZ21" s="2"/>
      <c r="KA21" s="2"/>
      <c r="KB21" s="2"/>
      <c r="KC21" s="2"/>
      <c r="KD21" s="2"/>
      <c r="KE21" s="2"/>
      <c r="KF21" s="2"/>
      <c r="KG21" s="2"/>
      <c r="KH21" s="2"/>
      <c r="KI21" s="2"/>
      <c r="KJ21" s="2"/>
      <c r="KK21" s="2"/>
      <c r="KL21" s="2"/>
      <c r="KM21" s="2"/>
      <c r="KN21" s="2"/>
      <c r="KO21" s="2"/>
      <c r="KP21" s="2"/>
      <c r="KQ21" s="2"/>
      <c r="KR21" s="2"/>
      <c r="KS21" s="2"/>
      <c r="KT21" s="2"/>
      <c r="KU21" s="2"/>
      <c r="KV21" s="2"/>
      <c r="KW21" s="2"/>
      <c r="KX21" s="2"/>
      <c r="KY21" s="2"/>
      <c r="KZ21" s="2"/>
      <c r="LA21" s="2"/>
      <c r="LB21" s="2"/>
      <c r="LC21" s="2"/>
      <c r="LD21" s="2"/>
      <c r="LE21" s="2"/>
      <c r="LF21" s="2"/>
      <c r="LG21" s="2"/>
      <c r="LH21" s="2"/>
      <c r="LI21" s="2"/>
      <c r="LJ21" s="2"/>
      <c r="LK21" s="2"/>
      <c r="LL21" s="2"/>
      <c r="LM21" s="2"/>
      <c r="LN21" s="2"/>
      <c r="LO21" s="2"/>
      <c r="LP21" s="2"/>
      <c r="LQ21" s="2"/>
      <c r="LR21" s="2"/>
      <c r="LS21" s="2"/>
      <c r="LT21" s="2"/>
      <c r="LU21" s="2"/>
      <c r="LV21" s="2"/>
      <c r="LW21" s="2"/>
      <c r="LX21" s="2"/>
      <c r="LY21" s="2"/>
      <c r="LZ21" s="2"/>
      <c r="MA21" s="2"/>
      <c r="MB21" s="2"/>
      <c r="MC21" s="2"/>
      <c r="MD21" s="2"/>
      <c r="ME21" s="2"/>
      <c r="MF21" s="2"/>
      <c r="MG21" s="2"/>
      <c r="MH21" s="2"/>
      <c r="MI21" s="2"/>
      <c r="MJ21" s="2"/>
      <c r="MK21" s="2"/>
      <c r="ML21" s="2"/>
      <c r="MM21" s="2"/>
      <c r="MN21" s="2"/>
      <c r="MO21" s="2"/>
      <c r="MP21" s="2"/>
      <c r="MQ21" s="2"/>
      <c r="MR21" s="2"/>
      <c r="MS21" s="2"/>
      <c r="MT21" s="2"/>
      <c r="MU21" s="2"/>
      <c r="MV21" s="2"/>
      <c r="MW21" s="2"/>
      <c r="MX21" s="2"/>
      <c r="MY21" s="2"/>
      <c r="MZ21" s="2"/>
      <c r="NA21" s="2"/>
      <c r="NB21" s="2"/>
      <c r="NC21" s="2"/>
      <c r="ND21" s="2"/>
      <c r="NE21" s="2"/>
      <c r="NF21" s="2"/>
      <c r="NG21" s="2"/>
      <c r="NH21" s="2"/>
    </row>
    <row r="22" spans="2:372" ht="15" customHeight="1" x14ac:dyDescent="0.25">
      <c r="B22" s="233" t="s">
        <v>485</v>
      </c>
      <c r="C22" s="497" t="s">
        <v>211</v>
      </c>
      <c r="D22" s="498"/>
      <c r="E22" s="56">
        <f>MIN(E23:F24)</f>
        <v>3</v>
      </c>
      <c r="F22" s="56">
        <f>MAX(E23:F24)</f>
        <v>9</v>
      </c>
      <c r="G22" s="56">
        <f>F22-E22+1</f>
        <v>7</v>
      </c>
    </row>
    <row r="23" spans="2:372" ht="15" customHeight="1" x14ac:dyDescent="0.25">
      <c r="B23" s="234" t="s">
        <v>731</v>
      </c>
      <c r="C23" s="518" t="s">
        <v>740</v>
      </c>
      <c r="D23" s="519"/>
      <c r="E23" s="67">
        <v>3</v>
      </c>
      <c r="F23" s="67">
        <f>E23+G23-1</f>
        <v>6</v>
      </c>
      <c r="G23" s="67">
        <f>'Memo calc'!I404</f>
        <v>4</v>
      </c>
    </row>
    <row r="24" spans="2:372" ht="15" customHeight="1" x14ac:dyDescent="0.25">
      <c r="B24" s="234" t="s">
        <v>733</v>
      </c>
      <c r="C24" s="518" t="s">
        <v>741</v>
      </c>
      <c r="D24" s="519"/>
      <c r="E24" s="67">
        <f>F23+1</f>
        <v>7</v>
      </c>
      <c r="F24" s="67">
        <f>E24+G24-1</f>
        <v>9</v>
      </c>
      <c r="G24" s="67">
        <f>'Memo calc'!I405</f>
        <v>3</v>
      </c>
    </row>
    <row r="25" spans="2:372" ht="15" customHeight="1" x14ac:dyDescent="0.25">
      <c r="B25" s="233" t="s">
        <v>486</v>
      </c>
      <c r="C25" s="497" t="s">
        <v>530</v>
      </c>
      <c r="D25" s="498"/>
      <c r="E25" s="56">
        <f>F22+1</f>
        <v>10</v>
      </c>
      <c r="F25" s="56">
        <f>E25+9</f>
        <v>19</v>
      </c>
      <c r="G25" s="56">
        <f>F25-E25+1</f>
        <v>10</v>
      </c>
    </row>
    <row r="26" spans="2:372" ht="15" customHeight="1" x14ac:dyDescent="0.25">
      <c r="B26" s="233" t="s">
        <v>529</v>
      </c>
      <c r="C26" s="497" t="s">
        <v>532</v>
      </c>
      <c r="D26" s="498"/>
      <c r="E26" s="56">
        <f>F25+1</f>
        <v>20</v>
      </c>
      <c r="F26" s="56">
        <f>E26+G26-1</f>
        <v>34</v>
      </c>
      <c r="G26" s="56">
        <v>15</v>
      </c>
    </row>
    <row r="27" spans="2:372" ht="15" customHeight="1" x14ac:dyDescent="0.25">
      <c r="B27" s="233" t="s">
        <v>531</v>
      </c>
      <c r="C27" s="497" t="s">
        <v>534</v>
      </c>
      <c r="D27" s="498"/>
      <c r="E27" s="56">
        <f>F26+1</f>
        <v>35</v>
      </c>
      <c r="F27" s="56">
        <f>E27+G27-1</f>
        <v>47</v>
      </c>
      <c r="G27" s="56">
        <v>13</v>
      </c>
    </row>
    <row r="28" spans="2:372" ht="15" customHeight="1" x14ac:dyDescent="0.25">
      <c r="B28" s="233" t="s">
        <v>533</v>
      </c>
      <c r="C28" s="497" t="s">
        <v>535</v>
      </c>
      <c r="D28" s="498"/>
      <c r="E28" s="56">
        <f>F27+1</f>
        <v>48</v>
      </c>
      <c r="F28" s="56">
        <f>E28+G28-1</f>
        <v>57</v>
      </c>
      <c r="G28" s="56">
        <v>10</v>
      </c>
    </row>
    <row r="29" spans="2:372" ht="15" customHeight="1" x14ac:dyDescent="0.25">
      <c r="B29" s="10" t="s">
        <v>383</v>
      </c>
      <c r="C29" s="516" t="s">
        <v>536</v>
      </c>
      <c r="D29" s="517"/>
      <c r="E29" s="66">
        <f>MIN(E30:F47)</f>
        <v>3</v>
      </c>
      <c r="F29" s="66">
        <f>MAX(E30:F47)</f>
        <v>117</v>
      </c>
      <c r="G29" s="66">
        <f>F29-E29+1</f>
        <v>115</v>
      </c>
    </row>
    <row r="30" spans="2:372" ht="15" customHeight="1" x14ac:dyDescent="0.25">
      <c r="B30" s="233" t="s">
        <v>384</v>
      </c>
      <c r="C30" s="497" t="s">
        <v>559</v>
      </c>
      <c r="D30" s="498"/>
      <c r="E30" s="56">
        <f>MIN(E31:F33)</f>
        <v>3</v>
      </c>
      <c r="F30" s="56">
        <f>MAX(E31:F33)</f>
        <v>61</v>
      </c>
      <c r="G30" s="56">
        <f>F30-E30+1</f>
        <v>59</v>
      </c>
    </row>
    <row r="31" spans="2:372" ht="15" customHeight="1" x14ac:dyDescent="0.25">
      <c r="B31" s="234" t="s">
        <v>502</v>
      </c>
      <c r="C31" s="518" t="s">
        <v>537</v>
      </c>
      <c r="D31" s="519"/>
      <c r="E31" s="67">
        <f>E17</f>
        <v>3</v>
      </c>
      <c r="F31" s="67">
        <f>E31+G31-1</f>
        <v>7.8333333333333339</v>
      </c>
      <c r="G31" s="67">
        <f>'Memo calc'!P456</f>
        <v>5.8333333333333339</v>
      </c>
    </row>
    <row r="32" spans="2:372" ht="15" customHeight="1" x14ac:dyDescent="0.25">
      <c r="B32" s="234" t="s">
        <v>503</v>
      </c>
      <c r="C32" s="518" t="s">
        <v>538</v>
      </c>
      <c r="D32" s="519"/>
      <c r="E32" s="67">
        <f>F31+1</f>
        <v>8.8333333333333339</v>
      </c>
      <c r="F32" s="67">
        <f>E32+G32-1</f>
        <v>16.833333333333336</v>
      </c>
      <c r="G32" s="67">
        <f>'Memo calc'!K544</f>
        <v>9</v>
      </c>
    </row>
    <row r="33" spans="2:7" ht="15" customHeight="1" x14ac:dyDescent="0.25">
      <c r="B33" s="234" t="s">
        <v>506</v>
      </c>
      <c r="C33" s="518" t="s">
        <v>555</v>
      </c>
      <c r="D33" s="519"/>
      <c r="E33" s="67">
        <f>F28+1</f>
        <v>58</v>
      </c>
      <c r="F33" s="67">
        <f>E33+G33-1</f>
        <v>61</v>
      </c>
      <c r="G33" s="67">
        <f>'Memo calc'!L601</f>
        <v>4</v>
      </c>
    </row>
    <row r="34" spans="2:7" ht="15" customHeight="1" x14ac:dyDescent="0.25">
      <c r="B34" s="233" t="s">
        <v>508</v>
      </c>
      <c r="C34" s="497" t="s">
        <v>558</v>
      </c>
      <c r="D34" s="498"/>
      <c r="E34" s="102">
        <f>F33</f>
        <v>61</v>
      </c>
      <c r="F34" s="60">
        <f>E34+G34-1</f>
        <v>61</v>
      </c>
      <c r="G34" s="56">
        <f>'Memo calc'!N153</f>
        <v>1</v>
      </c>
    </row>
    <row r="35" spans="2:7" ht="15" customHeight="1" x14ac:dyDescent="0.25">
      <c r="B35" s="233" t="s">
        <v>517</v>
      </c>
      <c r="C35" s="497" t="s">
        <v>540</v>
      </c>
      <c r="D35" s="498"/>
      <c r="E35" s="56">
        <f>F34</f>
        <v>61</v>
      </c>
      <c r="F35" s="60">
        <f t="shared" ref="F35:F40" si="1">E35+G35-1</f>
        <v>63</v>
      </c>
      <c r="G35" s="56">
        <f>'Memo calc'!O741</f>
        <v>3</v>
      </c>
    </row>
    <row r="36" spans="2:7" ht="15" customHeight="1" x14ac:dyDescent="0.25">
      <c r="B36" s="233" t="s">
        <v>545</v>
      </c>
      <c r="C36" s="497" t="s">
        <v>541</v>
      </c>
      <c r="D36" s="498"/>
      <c r="E36" s="301">
        <f t="shared" ref="E36:E44" si="2">F35</f>
        <v>63</v>
      </c>
      <c r="F36" s="60">
        <f t="shared" si="1"/>
        <v>68</v>
      </c>
      <c r="G36" s="56">
        <f>'Memo calc'!O787</f>
        <v>6</v>
      </c>
    </row>
    <row r="37" spans="2:7" ht="15" customHeight="1" x14ac:dyDescent="0.25">
      <c r="B37" s="233" t="s">
        <v>546</v>
      </c>
      <c r="C37" s="497" t="s">
        <v>782</v>
      </c>
      <c r="D37" s="498"/>
      <c r="E37" s="301">
        <f t="shared" si="2"/>
        <v>68</v>
      </c>
      <c r="F37" s="60">
        <f t="shared" si="1"/>
        <v>73</v>
      </c>
      <c r="G37" s="56">
        <f>'Memo calc'!O833</f>
        <v>6</v>
      </c>
    </row>
    <row r="38" spans="2:7" ht="15" customHeight="1" x14ac:dyDescent="0.25">
      <c r="B38" s="233" t="s">
        <v>861</v>
      </c>
      <c r="C38" s="497" t="s">
        <v>542</v>
      </c>
      <c r="D38" s="498"/>
      <c r="E38" s="301">
        <f t="shared" si="2"/>
        <v>73</v>
      </c>
      <c r="F38" s="60">
        <f t="shared" si="1"/>
        <v>76</v>
      </c>
      <c r="G38" s="56">
        <f>'Memo calc'!O879</f>
        <v>4</v>
      </c>
    </row>
    <row r="39" spans="2:7" ht="15" customHeight="1" x14ac:dyDescent="0.25">
      <c r="B39" s="233" t="s">
        <v>547</v>
      </c>
      <c r="C39" s="497" t="s">
        <v>543</v>
      </c>
      <c r="D39" s="498"/>
      <c r="E39" s="301">
        <f t="shared" si="2"/>
        <v>76</v>
      </c>
      <c r="F39" s="60">
        <f t="shared" si="1"/>
        <v>76</v>
      </c>
      <c r="G39" s="56">
        <f>'Memo calc'!O925</f>
        <v>1</v>
      </c>
    </row>
    <row r="40" spans="2:7" ht="15" customHeight="1" x14ac:dyDescent="0.25">
      <c r="B40" s="233" t="s">
        <v>548</v>
      </c>
      <c r="C40" s="497" t="s">
        <v>544</v>
      </c>
      <c r="D40" s="498"/>
      <c r="E40" s="301">
        <f>F39-8</f>
        <v>68</v>
      </c>
      <c r="F40" s="60">
        <f t="shared" si="1"/>
        <v>71</v>
      </c>
      <c r="G40" s="56">
        <f>'Memo calc'!P971</f>
        <v>4</v>
      </c>
    </row>
    <row r="41" spans="2:7" ht="15" customHeight="1" x14ac:dyDescent="0.25">
      <c r="B41" s="233" t="s">
        <v>785</v>
      </c>
      <c r="C41" s="497" t="s">
        <v>556</v>
      </c>
      <c r="D41" s="498"/>
      <c r="E41" s="301">
        <f t="shared" si="2"/>
        <v>71</v>
      </c>
      <c r="F41" s="60">
        <f>E41+G41-1</f>
        <v>73</v>
      </c>
      <c r="G41" s="56">
        <f>'Memo calc'!Q1017</f>
        <v>3</v>
      </c>
    </row>
    <row r="42" spans="2:7" ht="15" customHeight="1" x14ac:dyDescent="0.25">
      <c r="B42" s="233" t="s">
        <v>549</v>
      </c>
      <c r="C42" s="497" t="s">
        <v>557</v>
      </c>
      <c r="D42" s="498"/>
      <c r="E42" s="301">
        <f t="shared" si="2"/>
        <v>73</v>
      </c>
      <c r="F42" s="60">
        <f>E42+G42-1</f>
        <v>73</v>
      </c>
      <c r="G42" s="56">
        <f>'Memo calc'!R1063</f>
        <v>1</v>
      </c>
    </row>
    <row r="43" spans="2:7" ht="15" customHeight="1" x14ac:dyDescent="0.25">
      <c r="B43" s="233" t="s">
        <v>550</v>
      </c>
      <c r="C43" s="497" t="s">
        <v>560</v>
      </c>
      <c r="D43" s="498"/>
      <c r="E43" s="301">
        <f t="shared" si="2"/>
        <v>73</v>
      </c>
      <c r="F43" s="60">
        <f>E43+G43-1</f>
        <v>75</v>
      </c>
      <c r="G43" s="56">
        <f>'Memo calc'!O1109</f>
        <v>3</v>
      </c>
    </row>
    <row r="44" spans="2:7" ht="15" customHeight="1" x14ac:dyDescent="0.25">
      <c r="B44" s="233" t="s">
        <v>551</v>
      </c>
      <c r="C44" s="497" t="s">
        <v>561</v>
      </c>
      <c r="D44" s="498"/>
      <c r="E44" s="301">
        <f t="shared" si="2"/>
        <v>75</v>
      </c>
      <c r="F44" s="56">
        <f>E44</f>
        <v>75</v>
      </c>
      <c r="G44" s="60">
        <f>F44-E44+1</f>
        <v>1</v>
      </c>
    </row>
    <row r="45" spans="2:7" ht="15" customHeight="1" x14ac:dyDescent="0.25">
      <c r="B45" s="233" t="s">
        <v>552</v>
      </c>
      <c r="C45" s="497" t="s">
        <v>562</v>
      </c>
      <c r="D45" s="498"/>
      <c r="E45" s="60">
        <f>F44+1</f>
        <v>76</v>
      </c>
      <c r="F45" s="60">
        <f>E45+G45-1</f>
        <v>95</v>
      </c>
      <c r="G45" s="60">
        <v>20</v>
      </c>
    </row>
    <row r="46" spans="2:7" ht="15" customHeight="1" x14ac:dyDescent="0.25">
      <c r="B46" s="233" t="s">
        <v>553</v>
      </c>
      <c r="C46" s="497" t="s">
        <v>563</v>
      </c>
      <c r="D46" s="498"/>
      <c r="E46" s="60">
        <f>F45+1</f>
        <v>96</v>
      </c>
      <c r="F46" s="60">
        <f t="shared" ref="F46:F59" si="3">E46+G46-1</f>
        <v>110</v>
      </c>
      <c r="G46" s="60">
        <v>15</v>
      </c>
    </row>
    <row r="47" spans="2:7" ht="15" customHeight="1" x14ac:dyDescent="0.25">
      <c r="B47" s="233" t="s">
        <v>554</v>
      </c>
      <c r="C47" s="497" t="s">
        <v>564</v>
      </c>
      <c r="D47" s="498"/>
      <c r="E47" s="60">
        <f>F46+1</f>
        <v>111</v>
      </c>
      <c r="F47" s="60">
        <f t="shared" si="3"/>
        <v>117</v>
      </c>
      <c r="G47" s="60">
        <v>7</v>
      </c>
    </row>
    <row r="48" spans="2:7" ht="15" customHeight="1" x14ac:dyDescent="0.25">
      <c r="B48" s="10" t="s">
        <v>526</v>
      </c>
      <c r="C48" s="516" t="s">
        <v>565</v>
      </c>
      <c r="D48" s="517"/>
      <c r="E48" s="66">
        <f>MIN(E49:F64)</f>
        <v>118</v>
      </c>
      <c r="F48" s="66">
        <f>MAX(E49:F64)</f>
        <v>196</v>
      </c>
      <c r="G48" s="66">
        <f>F48-E48+1</f>
        <v>79</v>
      </c>
    </row>
    <row r="49" spans="2:7" ht="15" customHeight="1" x14ac:dyDescent="0.25">
      <c r="B49" s="233" t="s">
        <v>566</v>
      </c>
      <c r="C49" s="497" t="s">
        <v>580</v>
      </c>
      <c r="D49" s="498"/>
      <c r="E49" s="56">
        <f>F47+1</f>
        <v>118</v>
      </c>
      <c r="F49" s="60">
        <f t="shared" si="3"/>
        <v>119</v>
      </c>
      <c r="G49" s="56">
        <f>ROUNDUP('Memo calc'!M608,0)</f>
        <v>2</v>
      </c>
    </row>
    <row r="50" spans="2:7" ht="15" customHeight="1" x14ac:dyDescent="0.25">
      <c r="B50" s="233" t="s">
        <v>567</v>
      </c>
      <c r="C50" s="497" t="s">
        <v>582</v>
      </c>
      <c r="D50" s="498"/>
      <c r="E50" s="223">
        <f>F49</f>
        <v>119</v>
      </c>
      <c r="F50" s="60">
        <f>E50+G50-1</f>
        <v>119</v>
      </c>
      <c r="G50" s="56">
        <f>'Memo calc'!N154</f>
        <v>1</v>
      </c>
    </row>
    <row r="51" spans="2:7" ht="15" customHeight="1" x14ac:dyDescent="0.25">
      <c r="B51" s="233" t="s">
        <v>518</v>
      </c>
      <c r="C51" s="497" t="s">
        <v>213</v>
      </c>
      <c r="D51" s="498"/>
      <c r="E51" s="301">
        <f t="shared" ref="E51:E64" si="4">F50</f>
        <v>119</v>
      </c>
      <c r="F51" s="60">
        <f t="shared" si="3"/>
        <v>121</v>
      </c>
      <c r="G51" s="56">
        <f>'Memo calc'!O742</f>
        <v>3</v>
      </c>
    </row>
    <row r="52" spans="2:7" ht="15" customHeight="1" x14ac:dyDescent="0.25">
      <c r="B52" s="233" t="s">
        <v>568</v>
      </c>
      <c r="C52" s="497" t="s">
        <v>214</v>
      </c>
      <c r="D52" s="498"/>
      <c r="E52" s="301">
        <f t="shared" si="4"/>
        <v>121</v>
      </c>
      <c r="F52" s="60">
        <f t="shared" si="3"/>
        <v>123</v>
      </c>
      <c r="G52" s="56">
        <f>'Memo calc'!O788</f>
        <v>3</v>
      </c>
    </row>
    <row r="53" spans="2:7" ht="15" customHeight="1" x14ac:dyDescent="0.25">
      <c r="B53" s="233" t="s">
        <v>569</v>
      </c>
      <c r="C53" s="497" t="s">
        <v>783</v>
      </c>
      <c r="D53" s="498"/>
      <c r="E53" s="301">
        <f t="shared" si="4"/>
        <v>123</v>
      </c>
      <c r="F53" s="60">
        <f t="shared" si="3"/>
        <v>125</v>
      </c>
      <c r="G53" s="56">
        <f>'Memo calc'!O834</f>
        <v>3</v>
      </c>
    </row>
    <row r="54" spans="2:7" ht="15" customHeight="1" x14ac:dyDescent="0.25">
      <c r="B54" s="233" t="s">
        <v>570</v>
      </c>
      <c r="C54" s="497" t="s">
        <v>216</v>
      </c>
      <c r="D54" s="498"/>
      <c r="E54" s="301">
        <f t="shared" si="4"/>
        <v>125</v>
      </c>
      <c r="F54" s="60">
        <f t="shared" si="3"/>
        <v>126</v>
      </c>
      <c r="G54" s="56">
        <f>'Memo calc'!O880</f>
        <v>2</v>
      </c>
    </row>
    <row r="55" spans="2:7" ht="15" customHeight="1" x14ac:dyDescent="0.25">
      <c r="B55" s="233" t="s">
        <v>571</v>
      </c>
      <c r="C55" s="497" t="s">
        <v>217</v>
      </c>
      <c r="D55" s="498"/>
      <c r="E55" s="301">
        <f t="shared" si="4"/>
        <v>126</v>
      </c>
      <c r="F55" s="60">
        <f t="shared" si="3"/>
        <v>129</v>
      </c>
      <c r="G55" s="56">
        <f>'Memo calc'!O926</f>
        <v>4</v>
      </c>
    </row>
    <row r="56" spans="2:7" ht="15" customHeight="1" x14ac:dyDescent="0.25">
      <c r="B56" s="233" t="s">
        <v>572</v>
      </c>
      <c r="C56" s="497" t="s">
        <v>218</v>
      </c>
      <c r="D56" s="498"/>
      <c r="E56" s="301">
        <f>F55-4</f>
        <v>125</v>
      </c>
      <c r="F56" s="60">
        <f t="shared" si="3"/>
        <v>126</v>
      </c>
      <c r="G56" s="56">
        <f>'Memo calc'!P972</f>
        <v>2</v>
      </c>
    </row>
    <row r="57" spans="2:7" ht="15" customHeight="1" x14ac:dyDescent="0.25">
      <c r="B57" s="233" t="s">
        <v>573</v>
      </c>
      <c r="C57" s="497" t="s">
        <v>581</v>
      </c>
      <c r="D57" s="498"/>
      <c r="E57" s="301">
        <f t="shared" si="4"/>
        <v>126</v>
      </c>
      <c r="F57" s="60">
        <f t="shared" si="3"/>
        <v>126</v>
      </c>
      <c r="G57" s="56">
        <f>'Memo calc'!Q1018</f>
        <v>1</v>
      </c>
    </row>
    <row r="58" spans="2:7" ht="15" customHeight="1" x14ac:dyDescent="0.25">
      <c r="B58" s="233" t="s">
        <v>574</v>
      </c>
      <c r="C58" s="497" t="s">
        <v>220</v>
      </c>
      <c r="D58" s="498"/>
      <c r="E58" s="301">
        <f t="shared" si="4"/>
        <v>126</v>
      </c>
      <c r="F58" s="60">
        <f t="shared" si="3"/>
        <v>126</v>
      </c>
      <c r="G58" s="56">
        <f>'Memo calc'!R1064</f>
        <v>1</v>
      </c>
    </row>
    <row r="59" spans="2:7" ht="15" customHeight="1" x14ac:dyDescent="0.25">
      <c r="B59" s="233" t="s">
        <v>575</v>
      </c>
      <c r="C59" s="497" t="s">
        <v>221</v>
      </c>
      <c r="D59" s="498"/>
      <c r="E59" s="301">
        <f t="shared" si="4"/>
        <v>126</v>
      </c>
      <c r="F59" s="60">
        <f t="shared" si="3"/>
        <v>126</v>
      </c>
      <c r="G59" s="56">
        <f>'Memo calc'!O1110</f>
        <v>1</v>
      </c>
    </row>
    <row r="60" spans="2:7" ht="15" customHeight="1" x14ac:dyDescent="0.25">
      <c r="B60" s="233" t="s">
        <v>576</v>
      </c>
      <c r="C60" s="221" t="s">
        <v>926</v>
      </c>
      <c r="D60" s="222"/>
      <c r="E60" s="301">
        <f t="shared" si="4"/>
        <v>126</v>
      </c>
      <c r="F60" s="223">
        <f>E60+G60-1</f>
        <v>131</v>
      </c>
      <c r="G60" s="223">
        <f>'Memo calc'!J1155</f>
        <v>6</v>
      </c>
    </row>
    <row r="61" spans="2:7" ht="15" customHeight="1" x14ac:dyDescent="0.25">
      <c r="B61" s="233" t="s">
        <v>577</v>
      </c>
      <c r="C61" s="497" t="s">
        <v>583</v>
      </c>
      <c r="D61" s="498"/>
      <c r="E61" s="301">
        <f t="shared" si="4"/>
        <v>131</v>
      </c>
      <c r="F61" s="314">
        <f t="shared" ref="F61:F69" si="5">E61+G61-1</f>
        <v>150</v>
      </c>
      <c r="G61" s="60">
        <v>20</v>
      </c>
    </row>
    <row r="62" spans="2:7" ht="15" customHeight="1" x14ac:dyDescent="0.25">
      <c r="B62" s="233" t="s">
        <v>578</v>
      </c>
      <c r="C62" s="497" t="s">
        <v>584</v>
      </c>
      <c r="D62" s="498"/>
      <c r="E62" s="301">
        <f>F61</f>
        <v>150</v>
      </c>
      <c r="F62" s="314">
        <f t="shared" si="5"/>
        <v>164</v>
      </c>
      <c r="G62" s="60">
        <v>15</v>
      </c>
    </row>
    <row r="63" spans="2:7" ht="15" customHeight="1" x14ac:dyDescent="0.25">
      <c r="B63" s="233" t="s">
        <v>579</v>
      </c>
      <c r="C63" s="497" t="s">
        <v>585</v>
      </c>
      <c r="D63" s="498"/>
      <c r="E63" s="301">
        <f t="shared" si="4"/>
        <v>164</v>
      </c>
      <c r="F63" s="314">
        <f t="shared" si="5"/>
        <v>183</v>
      </c>
      <c r="G63" s="60">
        <v>20</v>
      </c>
    </row>
    <row r="64" spans="2:7" ht="15" customHeight="1" x14ac:dyDescent="0.25">
      <c r="B64" s="233" t="s">
        <v>928</v>
      </c>
      <c r="C64" s="497" t="s">
        <v>586</v>
      </c>
      <c r="D64" s="498"/>
      <c r="E64" s="301">
        <f t="shared" si="4"/>
        <v>183</v>
      </c>
      <c r="F64" s="314">
        <f t="shared" si="5"/>
        <v>196</v>
      </c>
      <c r="G64" s="60">
        <v>14</v>
      </c>
    </row>
    <row r="65" spans="2:7" ht="15" customHeight="1" x14ac:dyDescent="0.25">
      <c r="B65" s="10" t="s">
        <v>527</v>
      </c>
      <c r="C65" s="516" t="s">
        <v>1179</v>
      </c>
      <c r="D65" s="517"/>
      <c r="E65" s="66">
        <f>MIN(E66:F69)</f>
        <v>195</v>
      </c>
      <c r="F65" s="66">
        <f>MAX(E66:F69)</f>
        <v>203</v>
      </c>
      <c r="G65" s="66">
        <f>F65-E65+1</f>
        <v>9</v>
      </c>
    </row>
    <row r="66" spans="2:7" ht="15" customHeight="1" x14ac:dyDescent="0.25">
      <c r="B66" s="233" t="s">
        <v>1042</v>
      </c>
      <c r="C66" s="497" t="s">
        <v>1186</v>
      </c>
      <c r="D66" s="498"/>
      <c r="E66" s="429">
        <f>F64</f>
        <v>196</v>
      </c>
      <c r="F66" s="429">
        <f t="shared" si="5"/>
        <v>198</v>
      </c>
      <c r="G66" s="429">
        <f>'Memo calc'!M1360</f>
        <v>3</v>
      </c>
    </row>
    <row r="67" spans="2:7" ht="15" customHeight="1" x14ac:dyDescent="0.25">
      <c r="B67" s="233" t="s">
        <v>930</v>
      </c>
      <c r="C67" s="427" t="s">
        <v>1210</v>
      </c>
      <c r="D67" s="428"/>
      <c r="E67" s="429">
        <v>195</v>
      </c>
      <c r="F67" s="429">
        <f t="shared" si="5"/>
        <v>195</v>
      </c>
      <c r="G67" s="429">
        <f>'Memo calc'!M1410</f>
        <v>1</v>
      </c>
    </row>
    <row r="68" spans="2:7" ht="15" customHeight="1" x14ac:dyDescent="0.25">
      <c r="B68" s="233" t="s">
        <v>1196</v>
      </c>
      <c r="C68" s="497" t="s">
        <v>1187</v>
      </c>
      <c r="D68" s="498"/>
      <c r="E68" s="429">
        <f>F64</f>
        <v>196</v>
      </c>
      <c r="F68" s="429">
        <f t="shared" si="5"/>
        <v>202</v>
      </c>
      <c r="G68" s="429">
        <f>'Memo calc'!M1456</f>
        <v>7</v>
      </c>
    </row>
    <row r="69" spans="2:7" ht="15" customHeight="1" x14ac:dyDescent="0.25">
      <c r="B69" s="233" t="s">
        <v>1213</v>
      </c>
      <c r="C69" s="497" t="s">
        <v>1190</v>
      </c>
      <c r="D69" s="498"/>
      <c r="E69" s="429">
        <f>F68</f>
        <v>202</v>
      </c>
      <c r="F69" s="429">
        <f t="shared" si="5"/>
        <v>203</v>
      </c>
      <c r="G69" s="429">
        <v>2</v>
      </c>
    </row>
    <row r="70" spans="2:7" ht="15" customHeight="1" x14ac:dyDescent="0.25">
      <c r="B70" s="10" t="s">
        <v>1191</v>
      </c>
      <c r="C70" s="516" t="s">
        <v>1007</v>
      </c>
      <c r="D70" s="517"/>
      <c r="E70" s="66">
        <f>MIN(E71:F74)</f>
        <v>118</v>
      </c>
      <c r="F70" s="66">
        <f>MAX(E71:F74)</f>
        <v>366</v>
      </c>
      <c r="G70" s="66">
        <f>F70-E70+1</f>
        <v>249</v>
      </c>
    </row>
    <row r="71" spans="2:7" ht="15" customHeight="1" x14ac:dyDescent="0.25">
      <c r="B71" s="233" t="s">
        <v>1192</v>
      </c>
      <c r="C71" s="497" t="s">
        <v>1104</v>
      </c>
      <c r="D71" s="498"/>
      <c r="E71" s="314">
        <f>F47+1</f>
        <v>118</v>
      </c>
      <c r="F71" s="314">
        <f>E71+G71-1</f>
        <v>163</v>
      </c>
      <c r="G71" s="314">
        <v>46</v>
      </c>
    </row>
    <row r="72" spans="2:7" ht="15" customHeight="1" x14ac:dyDescent="0.25">
      <c r="B72" s="233" t="s">
        <v>1193</v>
      </c>
      <c r="C72" s="497" t="s">
        <v>1043</v>
      </c>
      <c r="D72" s="498"/>
      <c r="E72" s="314">
        <f>F71</f>
        <v>163</v>
      </c>
      <c r="F72" s="314">
        <f>E72+G72-1</f>
        <v>182</v>
      </c>
      <c r="G72" s="314">
        <v>20</v>
      </c>
    </row>
    <row r="73" spans="2:7" ht="15" customHeight="1" x14ac:dyDescent="0.25">
      <c r="B73" s="233" t="s">
        <v>1194</v>
      </c>
      <c r="C73" s="497" t="s">
        <v>1105</v>
      </c>
      <c r="D73" s="498"/>
      <c r="E73" s="324">
        <f>F72</f>
        <v>182</v>
      </c>
      <c r="F73" s="324">
        <f>E73+G73-1</f>
        <v>196</v>
      </c>
      <c r="G73" s="324">
        <v>15</v>
      </c>
    </row>
    <row r="74" spans="2:7" ht="15" customHeight="1" x14ac:dyDescent="0.25">
      <c r="B74" s="233" t="s">
        <v>1195</v>
      </c>
      <c r="C74" s="497" t="s">
        <v>1044</v>
      </c>
      <c r="D74" s="498"/>
      <c r="E74" s="324">
        <f>F73</f>
        <v>196</v>
      </c>
      <c r="F74" s="324">
        <f>E74+G74-1</f>
        <v>366</v>
      </c>
      <c r="G74" s="324">
        <v>171</v>
      </c>
    </row>
  </sheetData>
  <mergeCells count="75">
    <mergeCell ref="C4:K4"/>
    <mergeCell ref="C65:D65"/>
    <mergeCell ref="C66:D66"/>
    <mergeCell ref="C68:D68"/>
    <mergeCell ref="C69:D69"/>
    <mergeCell ref="C49:D49"/>
    <mergeCell ref="C51:D51"/>
    <mergeCell ref="C52:D52"/>
    <mergeCell ref="C53:D53"/>
    <mergeCell ref="C54:D54"/>
    <mergeCell ref="C55:D55"/>
    <mergeCell ref="C56:D56"/>
    <mergeCell ref="C57:D57"/>
    <mergeCell ref="C27:D27"/>
    <mergeCell ref="C28:D28"/>
    <mergeCell ref="C26:D26"/>
    <mergeCell ref="C73:D73"/>
    <mergeCell ref="C74:D74"/>
    <mergeCell ref="C23:D23"/>
    <mergeCell ref="C17:D17"/>
    <mergeCell ref="H11:AK11"/>
    <mergeCell ref="C18:D18"/>
    <mergeCell ref="C22:D22"/>
    <mergeCell ref="C19:D19"/>
    <mergeCell ref="C20:D20"/>
    <mergeCell ref="C21:D21"/>
    <mergeCell ref="C12:D12"/>
    <mergeCell ref="C13:D13"/>
    <mergeCell ref="C16:D16"/>
    <mergeCell ref="C38:D38"/>
    <mergeCell ref="C63:D63"/>
    <mergeCell ref="C58:D58"/>
    <mergeCell ref="C70:D70"/>
    <mergeCell ref="C50:D50"/>
    <mergeCell ref="C59:D59"/>
    <mergeCell ref="C61:D61"/>
    <mergeCell ref="C62:D62"/>
    <mergeCell ref="C25:D25"/>
    <mergeCell ref="C64:D64"/>
    <mergeCell ref="C29:D29"/>
    <mergeCell ref="C30:D30"/>
    <mergeCell ref="C31:D31"/>
    <mergeCell ref="C32:D32"/>
    <mergeCell ref="C33:D33"/>
    <mergeCell ref="C35:D35"/>
    <mergeCell ref="C36:D36"/>
    <mergeCell ref="C48:D48"/>
    <mergeCell ref="C45:D45"/>
    <mergeCell ref="C46:D46"/>
    <mergeCell ref="C37:D37"/>
    <mergeCell ref="MJ11:NH11"/>
    <mergeCell ref="C71:D71"/>
    <mergeCell ref="C72:D72"/>
    <mergeCell ref="C15:D15"/>
    <mergeCell ref="B10:G10"/>
    <mergeCell ref="C14:D14"/>
    <mergeCell ref="C47:D47"/>
    <mergeCell ref="C39:D39"/>
    <mergeCell ref="C40:D40"/>
    <mergeCell ref="C41:D41"/>
    <mergeCell ref="C42:D42"/>
    <mergeCell ref="C34:D34"/>
    <mergeCell ref="C43:D43"/>
    <mergeCell ref="C44:D44"/>
    <mergeCell ref="C24:D24"/>
    <mergeCell ref="GK11:HO11"/>
    <mergeCell ref="HP11:IT11"/>
    <mergeCell ref="IU11:JY11"/>
    <mergeCell ref="JZ11:LD11"/>
    <mergeCell ref="LE11:MI11"/>
    <mergeCell ref="AL11:BP11"/>
    <mergeCell ref="BQ11:CU11"/>
    <mergeCell ref="CV11:DZ11"/>
    <mergeCell ref="EA11:FE11"/>
    <mergeCell ref="FF11:GJ11"/>
  </mergeCells>
  <conditionalFormatting sqref="H71:DY72 H13:NH70 DZ72:NH72 DZ74:NH74 DZ76:NH76 DZ78:NH78 DZ80:NH80 DZ82:NH82 EA71:NH73 EA75:NH75 EA77:NH77 EA79:NH79 EA81:NH81 EA83:NH83 DZ71:DZ83 DZ84:NH102">
    <cfRule type="expression" dxfId="4" priority="12">
      <formula>AND(H$12&gt;=$E13,H$12&lt;=$F13)</formula>
    </cfRule>
  </conditionalFormatting>
  <pageMargins left="0.511811024" right="0.511811024" top="0.78740157499999996" bottom="0.78740157499999996" header="0.31496062000000002" footer="0.31496062000000002"/>
  <pageSetup paperSize="9" scale="10" fitToHeight="0" orientation="landscape" r:id="rId1"/>
  <colBreaks count="1" manualBreakCount="1">
    <brk id="257" max="72" man="1"/>
  </colBreaks>
  <ignoredErrors>
    <ignoredError sqref="G15 F22 F44 F16" formula="1"/>
  </ignoredErrors>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Planilha19">
    <tabColor theme="9"/>
  </sheetPr>
  <dimension ref="B1:HJ55"/>
  <sheetViews>
    <sheetView showGridLines="0" zoomScale="85" zoomScaleNormal="85" workbookViewId="0">
      <pane xSplit="7" ySplit="12" topLeftCell="H13" activePane="bottomRight" state="frozen"/>
      <selection pane="topRight" activeCell="H1" sqref="H1"/>
      <selection pane="bottomLeft" activeCell="A13" sqref="A13"/>
      <selection pane="bottomRight" activeCell="F26" sqref="F26"/>
    </sheetView>
  </sheetViews>
  <sheetFormatPr defaultColWidth="9.140625" defaultRowHeight="15" customHeight="1" x14ac:dyDescent="0.25"/>
  <cols>
    <col min="1" max="1" width="1.7109375" style="2" customWidth="1"/>
    <col min="2" max="2" width="88.140625" style="2" bestFit="1" customWidth="1"/>
    <col min="3" max="3" width="13.7109375" style="2" bestFit="1" customWidth="1"/>
    <col min="4" max="4" width="23.28515625" style="2" bestFit="1" customWidth="1"/>
    <col min="5" max="5" width="14.140625" style="2" bestFit="1" customWidth="1"/>
    <col min="6" max="6" width="17.85546875" style="2" bestFit="1" customWidth="1"/>
    <col min="7" max="7" width="19.5703125" style="2" bestFit="1" customWidth="1"/>
    <col min="8" max="8" width="3" style="2" bestFit="1" customWidth="1"/>
    <col min="9" max="16" width="3.5703125" style="2" bestFit="1" customWidth="1"/>
    <col min="17" max="18" width="4.85546875" style="2" bestFit="1" customWidth="1"/>
    <col min="19" max="68" width="4.28515625" style="2" bestFit="1" customWidth="1"/>
    <col min="69" max="69" width="4.85546875" style="2" bestFit="1" customWidth="1"/>
    <col min="70" max="71" width="4.28515625" style="2" bestFit="1" customWidth="1"/>
    <col min="72" max="72" width="4.85546875" style="2" bestFit="1" customWidth="1"/>
    <col min="73" max="107" width="4.28515625" style="2" bestFit="1" customWidth="1"/>
    <col min="108" max="218" width="5.5703125" style="2" bestFit="1" customWidth="1"/>
    <col min="219" max="16384" width="9.140625" style="2"/>
  </cols>
  <sheetData>
    <row r="1" spans="2:218" ht="9" customHeight="1" x14ac:dyDescent="0.25"/>
    <row r="2" spans="2:218" ht="34.5" customHeight="1" x14ac:dyDescent="0.25"/>
    <row r="4" spans="2:218" x14ac:dyDescent="0.25">
      <c r="B4" s="23" t="s">
        <v>0</v>
      </c>
      <c r="C4" s="459" t="str">
        <f>'Qd abrang'!C4</f>
        <v>Contratação de Projeto Executivo de Engenharia para Implantação do Aeródromo no município de Ribas do Rio Pardo</v>
      </c>
      <c r="D4" s="459"/>
      <c r="E4" s="459"/>
      <c r="F4" s="459"/>
      <c r="G4" s="459"/>
      <c r="H4" s="53"/>
      <c r="I4" s="53"/>
      <c r="J4" s="53"/>
    </row>
    <row r="5" spans="2:218" x14ac:dyDescent="0.25">
      <c r="B5" s="5" t="s">
        <v>862</v>
      </c>
      <c r="C5" s="1" t="str">
        <f>'Qd abrang'!C5</f>
        <v>Ribas do Rio Pardo/MS</v>
      </c>
    </row>
    <row r="6" spans="2:218" x14ac:dyDescent="0.25">
      <c r="B6" s="5" t="s">
        <v>863</v>
      </c>
      <c r="C6" s="1">
        <f>'Qd abrang'!C6</f>
        <v>0</v>
      </c>
    </row>
    <row r="7" spans="2:218" x14ac:dyDescent="0.25">
      <c r="B7" s="5" t="s">
        <v>1</v>
      </c>
      <c r="C7" s="96">
        <f>'Qd abrang'!C7</f>
        <v>1.3</v>
      </c>
      <c r="D7" s="2" t="s">
        <v>3</v>
      </c>
      <c r="E7" s="5" t="s">
        <v>16</v>
      </c>
      <c r="F7" s="6" t="str">
        <f>'Qd abrang'!N7</f>
        <v>79.009.850-2025</v>
      </c>
    </row>
    <row r="8" spans="2:218" x14ac:dyDescent="0.25">
      <c r="B8" s="5" t="s">
        <v>2</v>
      </c>
      <c r="C8" s="1">
        <f>'Qd abrang'!C8</f>
        <v>365</v>
      </c>
      <c r="D8" s="2" t="s">
        <v>4</v>
      </c>
      <c r="E8" s="69" t="s">
        <v>17</v>
      </c>
      <c r="F8" s="6">
        <f>'Qd abrang'!N8</f>
        <v>45748</v>
      </c>
    </row>
    <row r="10" spans="2:218" s="11" customFormat="1" ht="21" x14ac:dyDescent="0.25">
      <c r="B10" s="458" t="s">
        <v>521</v>
      </c>
      <c r="C10" s="458"/>
      <c r="D10" s="458"/>
      <c r="E10" s="458"/>
      <c r="F10" s="458"/>
      <c r="G10" s="458"/>
    </row>
    <row r="11" spans="2:218" ht="15" customHeight="1" x14ac:dyDescent="0.25">
      <c r="G11" s="54" t="s">
        <v>361</v>
      </c>
      <c r="H11" s="474">
        <v>1</v>
      </c>
      <c r="I11" s="474"/>
      <c r="J11" s="474"/>
      <c r="K11" s="474"/>
      <c r="L11" s="474"/>
      <c r="M11" s="474"/>
      <c r="N11" s="474"/>
      <c r="O11" s="474"/>
      <c r="P11" s="474"/>
      <c r="Q11" s="474"/>
      <c r="R11" s="474"/>
      <c r="S11" s="474"/>
      <c r="T11" s="474"/>
      <c r="U11" s="474"/>
      <c r="V11" s="474"/>
      <c r="W11" s="474"/>
      <c r="X11" s="474"/>
      <c r="Y11" s="474"/>
      <c r="Z11" s="474"/>
      <c r="AA11" s="474"/>
      <c r="AB11" s="474"/>
      <c r="AC11" s="474"/>
      <c r="AD11" s="474"/>
      <c r="AE11" s="474"/>
      <c r="AF11" s="474"/>
      <c r="AG11" s="474"/>
      <c r="AH11" s="474"/>
      <c r="AI11" s="474"/>
      <c r="AJ11" s="474"/>
      <c r="AK11" s="474"/>
      <c r="AL11" s="474"/>
      <c r="AM11" s="474">
        <v>2</v>
      </c>
      <c r="AN11" s="474"/>
      <c r="AO11" s="474"/>
      <c r="AP11" s="474"/>
      <c r="AQ11" s="474"/>
      <c r="AR11" s="474"/>
      <c r="AS11" s="474"/>
      <c r="AT11" s="474"/>
      <c r="AU11" s="474"/>
      <c r="AV11" s="474"/>
      <c r="AW11" s="474"/>
      <c r="AX11" s="474"/>
      <c r="AY11" s="474"/>
      <c r="AZ11" s="474"/>
      <c r="BA11" s="474"/>
      <c r="BB11" s="474"/>
      <c r="BC11" s="474"/>
      <c r="BD11" s="474"/>
      <c r="BE11" s="474"/>
      <c r="BF11" s="474"/>
      <c r="BG11" s="474"/>
      <c r="BH11" s="474"/>
      <c r="BI11" s="474"/>
      <c r="BJ11" s="474"/>
      <c r="BK11" s="474"/>
      <c r="BL11" s="474"/>
      <c r="BM11" s="474"/>
      <c r="BN11" s="474"/>
      <c r="BO11" s="474"/>
      <c r="BP11" s="474"/>
      <c r="BQ11" s="474">
        <v>3</v>
      </c>
      <c r="BR11" s="474"/>
      <c r="BS11" s="474"/>
      <c r="BT11" s="474"/>
      <c r="BU11" s="474"/>
      <c r="BV11" s="474"/>
      <c r="BW11" s="474"/>
      <c r="BX11" s="474"/>
      <c r="BY11" s="474"/>
      <c r="BZ11" s="474"/>
      <c r="CA11" s="474"/>
      <c r="CB11" s="474"/>
      <c r="CC11" s="474"/>
      <c r="CD11" s="474"/>
      <c r="CE11" s="474"/>
      <c r="CF11" s="474"/>
      <c r="CG11" s="474"/>
      <c r="CH11" s="474"/>
      <c r="CI11" s="474"/>
      <c r="CJ11" s="474"/>
      <c r="CK11" s="474"/>
      <c r="CL11" s="474"/>
      <c r="CM11" s="474"/>
      <c r="CN11" s="474"/>
      <c r="CO11" s="474"/>
      <c r="CP11" s="474"/>
      <c r="CQ11" s="474"/>
      <c r="CR11" s="474"/>
      <c r="CS11" s="474"/>
      <c r="CT11" s="474"/>
      <c r="CU11" s="474">
        <v>4</v>
      </c>
      <c r="CV11" s="474"/>
      <c r="CW11" s="474"/>
      <c r="CX11" s="474"/>
      <c r="CY11" s="474"/>
      <c r="CZ11" s="474"/>
      <c r="DA11" s="474"/>
      <c r="DB11" s="474"/>
      <c r="DC11" s="474"/>
      <c r="DD11" s="474"/>
      <c r="DE11" s="474"/>
      <c r="DF11" s="474"/>
      <c r="DG11" s="474"/>
      <c r="DH11" s="474"/>
      <c r="DI11" s="474"/>
      <c r="DJ11" s="474"/>
      <c r="DK11" s="474"/>
      <c r="DL11" s="474"/>
      <c r="DM11" s="474"/>
      <c r="DN11" s="474"/>
      <c r="DO11" s="474"/>
      <c r="DP11" s="474"/>
      <c r="DQ11" s="474"/>
      <c r="DR11" s="474"/>
      <c r="DS11" s="474"/>
      <c r="DT11" s="474"/>
      <c r="DU11" s="474"/>
      <c r="DV11" s="474"/>
      <c r="DW11" s="474"/>
      <c r="DX11" s="474"/>
      <c r="DY11" s="474">
        <v>5</v>
      </c>
      <c r="DZ11" s="474"/>
      <c r="EA11" s="474"/>
      <c r="EB11" s="474"/>
      <c r="EC11" s="474"/>
      <c r="ED11" s="474"/>
      <c r="EE11" s="474"/>
      <c r="EF11" s="474"/>
      <c r="EG11" s="474"/>
      <c r="EH11" s="474"/>
      <c r="EI11" s="474"/>
      <c r="EJ11" s="474"/>
      <c r="EK11" s="474"/>
      <c r="EL11" s="474"/>
      <c r="EM11" s="474"/>
      <c r="EN11" s="474"/>
      <c r="EO11" s="474"/>
      <c r="EP11" s="474"/>
      <c r="EQ11" s="474"/>
      <c r="ER11" s="474"/>
      <c r="ES11" s="474"/>
      <c r="ET11" s="474"/>
      <c r="EU11" s="474"/>
      <c r="EV11" s="474"/>
      <c r="EW11" s="474"/>
      <c r="EX11" s="474"/>
      <c r="EY11" s="474"/>
      <c r="EZ11" s="474"/>
      <c r="FA11" s="474"/>
      <c r="FB11" s="474"/>
      <c r="FC11" s="474">
        <v>6</v>
      </c>
      <c r="FD11" s="474"/>
      <c r="FE11" s="474"/>
      <c r="FF11" s="474"/>
      <c r="FG11" s="474"/>
      <c r="FH11" s="474"/>
      <c r="FI11" s="474"/>
      <c r="FJ11" s="474"/>
      <c r="FK11" s="474"/>
      <c r="FL11" s="474"/>
      <c r="FM11" s="474"/>
      <c r="FN11" s="474"/>
      <c r="FO11" s="474"/>
      <c r="FP11" s="474"/>
      <c r="FQ11" s="474"/>
      <c r="FR11" s="474"/>
      <c r="FS11" s="474"/>
      <c r="FT11" s="474"/>
      <c r="FU11" s="474"/>
      <c r="FV11" s="474"/>
      <c r="FW11" s="474"/>
      <c r="FX11" s="474"/>
      <c r="FY11" s="474"/>
      <c r="FZ11" s="474"/>
      <c r="GA11" s="474"/>
      <c r="GB11" s="474"/>
      <c r="GC11" s="474"/>
      <c r="GD11" s="474"/>
      <c r="GE11" s="474"/>
      <c r="GF11" s="474"/>
      <c r="GG11" s="474">
        <v>7</v>
      </c>
      <c r="GH11" s="474"/>
      <c r="GI11" s="474"/>
      <c r="GJ11" s="474"/>
      <c r="GK11" s="474"/>
      <c r="GL11" s="474"/>
      <c r="GM11" s="474"/>
      <c r="GN11" s="474"/>
      <c r="GO11" s="474"/>
      <c r="GP11" s="474"/>
      <c r="GQ11" s="474"/>
      <c r="GR11" s="474"/>
      <c r="GS11" s="474"/>
      <c r="GT11" s="474"/>
      <c r="GU11" s="474"/>
      <c r="GV11" s="474"/>
      <c r="GW11" s="474"/>
      <c r="GX11" s="474"/>
      <c r="GY11" s="474"/>
      <c r="GZ11" s="474"/>
      <c r="HA11" s="474"/>
      <c r="HB11" s="474"/>
      <c r="HC11" s="474"/>
      <c r="HD11" s="474"/>
      <c r="HE11" s="474"/>
      <c r="HF11" s="474"/>
      <c r="HG11" s="474"/>
      <c r="HH11" s="474"/>
      <c r="HI11" s="474"/>
      <c r="HJ11" s="474"/>
    </row>
    <row r="12" spans="2:218" ht="30" customHeight="1" x14ac:dyDescent="0.25">
      <c r="B12" s="474" t="s">
        <v>15</v>
      </c>
      <c r="C12" s="474"/>
      <c r="D12" s="474"/>
      <c r="E12" s="54" t="s">
        <v>10</v>
      </c>
      <c r="F12" s="54" t="s">
        <v>522</v>
      </c>
      <c r="G12" s="55" t="s">
        <v>523</v>
      </c>
      <c r="H12" s="54">
        <v>0</v>
      </c>
      <c r="I12" s="54">
        <v>1</v>
      </c>
      <c r="J12" s="54">
        <v>2</v>
      </c>
      <c r="K12" s="54">
        <v>3</v>
      </c>
      <c r="L12" s="54">
        <v>4</v>
      </c>
      <c r="M12" s="54">
        <v>5</v>
      </c>
      <c r="N12" s="54">
        <v>6</v>
      </c>
      <c r="O12" s="54">
        <v>7</v>
      </c>
      <c r="P12" s="54">
        <v>8</v>
      </c>
      <c r="Q12" s="54">
        <v>9</v>
      </c>
      <c r="R12" s="54">
        <v>10</v>
      </c>
      <c r="S12" s="54">
        <v>11</v>
      </c>
      <c r="T12" s="54">
        <v>12</v>
      </c>
      <c r="U12" s="54">
        <v>13</v>
      </c>
      <c r="V12" s="54">
        <v>14</v>
      </c>
      <c r="W12" s="54">
        <v>15</v>
      </c>
      <c r="X12" s="54">
        <v>16</v>
      </c>
      <c r="Y12" s="54">
        <v>17</v>
      </c>
      <c r="Z12" s="54">
        <v>18</v>
      </c>
      <c r="AA12" s="54">
        <v>19</v>
      </c>
      <c r="AB12" s="54">
        <v>20</v>
      </c>
      <c r="AC12" s="54">
        <v>21</v>
      </c>
      <c r="AD12" s="54">
        <v>22</v>
      </c>
      <c r="AE12" s="54">
        <v>23</v>
      </c>
      <c r="AF12" s="54">
        <v>24</v>
      </c>
      <c r="AG12" s="54">
        <v>25</v>
      </c>
      <c r="AH12" s="54">
        <v>26</v>
      </c>
      <c r="AI12" s="54">
        <v>27</v>
      </c>
      <c r="AJ12" s="54">
        <v>28</v>
      </c>
      <c r="AK12" s="54">
        <v>29</v>
      </c>
      <c r="AL12" s="54">
        <v>30</v>
      </c>
      <c r="AM12" s="54">
        <v>31</v>
      </c>
      <c r="AN12" s="54">
        <v>32</v>
      </c>
      <c r="AO12" s="54">
        <v>33</v>
      </c>
      <c r="AP12" s="54">
        <v>34</v>
      </c>
      <c r="AQ12" s="54">
        <v>35</v>
      </c>
      <c r="AR12" s="54">
        <v>36</v>
      </c>
      <c r="AS12" s="54">
        <v>37</v>
      </c>
      <c r="AT12" s="54">
        <v>38</v>
      </c>
      <c r="AU12" s="54">
        <v>39</v>
      </c>
      <c r="AV12" s="54">
        <v>40</v>
      </c>
      <c r="AW12" s="54">
        <v>41</v>
      </c>
      <c r="AX12" s="54">
        <v>42</v>
      </c>
      <c r="AY12" s="54">
        <v>43</v>
      </c>
      <c r="AZ12" s="54">
        <v>44</v>
      </c>
      <c r="BA12" s="54">
        <v>45</v>
      </c>
      <c r="BB12" s="54">
        <v>46</v>
      </c>
      <c r="BC12" s="54">
        <v>47</v>
      </c>
      <c r="BD12" s="54">
        <v>48</v>
      </c>
      <c r="BE12" s="54">
        <v>49</v>
      </c>
      <c r="BF12" s="101">
        <v>50</v>
      </c>
      <c r="BG12" s="101">
        <v>51</v>
      </c>
      <c r="BH12" s="101">
        <v>52</v>
      </c>
      <c r="BI12" s="101">
        <v>53</v>
      </c>
      <c r="BJ12" s="101">
        <v>54</v>
      </c>
      <c r="BK12" s="101">
        <v>55</v>
      </c>
      <c r="BL12" s="101">
        <v>56</v>
      </c>
      <c r="BM12" s="101">
        <v>57</v>
      </c>
      <c r="BN12" s="101">
        <v>58</v>
      </c>
      <c r="BO12" s="101">
        <v>59</v>
      </c>
      <c r="BP12" s="101">
        <v>60</v>
      </c>
      <c r="BQ12" s="101">
        <v>61</v>
      </c>
      <c r="BR12" s="101">
        <v>62</v>
      </c>
      <c r="BS12" s="101">
        <v>63</v>
      </c>
      <c r="BT12" s="101">
        <v>64</v>
      </c>
      <c r="BU12" s="101">
        <v>65</v>
      </c>
      <c r="BV12" s="101">
        <v>66</v>
      </c>
      <c r="BW12" s="101">
        <v>67</v>
      </c>
      <c r="BX12" s="101">
        <v>68</v>
      </c>
      <c r="BY12" s="101">
        <v>69</v>
      </c>
      <c r="BZ12" s="101">
        <v>70</v>
      </c>
      <c r="CA12" s="101">
        <v>71</v>
      </c>
      <c r="CB12" s="101">
        <v>72</v>
      </c>
      <c r="CC12" s="101">
        <v>73</v>
      </c>
      <c r="CD12" s="101">
        <v>74</v>
      </c>
      <c r="CE12" s="101">
        <v>75</v>
      </c>
      <c r="CF12" s="101">
        <v>76</v>
      </c>
      <c r="CG12" s="101">
        <v>77</v>
      </c>
      <c r="CH12" s="101">
        <v>78</v>
      </c>
      <c r="CI12" s="101">
        <v>79</v>
      </c>
      <c r="CJ12" s="101">
        <v>80</v>
      </c>
      <c r="CK12" s="101">
        <v>81</v>
      </c>
      <c r="CL12" s="101">
        <v>82</v>
      </c>
      <c r="CM12" s="101">
        <v>83</v>
      </c>
      <c r="CN12" s="101">
        <v>84</v>
      </c>
      <c r="CO12" s="101">
        <v>85</v>
      </c>
      <c r="CP12" s="101">
        <v>86</v>
      </c>
      <c r="CQ12" s="101">
        <v>87</v>
      </c>
      <c r="CR12" s="101">
        <v>88</v>
      </c>
      <c r="CS12" s="101">
        <v>89</v>
      </c>
      <c r="CT12" s="101">
        <v>90</v>
      </c>
      <c r="CU12" s="107">
        <v>91</v>
      </c>
      <c r="CV12" s="107">
        <v>92</v>
      </c>
      <c r="CW12" s="107">
        <v>93</v>
      </c>
      <c r="CX12" s="107">
        <v>94</v>
      </c>
      <c r="CY12" s="107">
        <v>95</v>
      </c>
      <c r="CZ12" s="107">
        <v>96</v>
      </c>
      <c r="DA12" s="107">
        <v>97</v>
      </c>
      <c r="DB12" s="107">
        <v>98</v>
      </c>
      <c r="DC12" s="107">
        <v>99</v>
      </c>
      <c r="DD12" s="107">
        <v>100</v>
      </c>
      <c r="DE12" s="107">
        <v>101</v>
      </c>
      <c r="DF12" s="107">
        <v>102</v>
      </c>
      <c r="DG12" s="107">
        <v>103</v>
      </c>
      <c r="DH12" s="107">
        <v>104</v>
      </c>
      <c r="DI12" s="107">
        <v>105</v>
      </c>
      <c r="DJ12" s="107">
        <v>106</v>
      </c>
      <c r="DK12" s="107">
        <v>107</v>
      </c>
      <c r="DL12" s="107">
        <v>108</v>
      </c>
      <c r="DM12" s="107">
        <v>109</v>
      </c>
      <c r="DN12" s="107">
        <v>110</v>
      </c>
      <c r="DO12" s="107">
        <v>111</v>
      </c>
      <c r="DP12" s="107">
        <v>112</v>
      </c>
      <c r="DQ12" s="107">
        <v>113</v>
      </c>
      <c r="DR12" s="107">
        <v>114</v>
      </c>
      <c r="DS12" s="107">
        <v>115</v>
      </c>
      <c r="DT12" s="107">
        <v>116</v>
      </c>
      <c r="DU12" s="107">
        <v>117</v>
      </c>
      <c r="DV12" s="107">
        <v>118</v>
      </c>
      <c r="DW12" s="107">
        <v>119</v>
      </c>
      <c r="DX12" s="107">
        <v>120</v>
      </c>
      <c r="DY12" s="422">
        <v>121</v>
      </c>
      <c r="DZ12" s="422">
        <v>122</v>
      </c>
      <c r="EA12" s="422">
        <v>123</v>
      </c>
      <c r="EB12" s="422">
        <v>124</v>
      </c>
      <c r="EC12" s="422">
        <v>125</v>
      </c>
      <c r="ED12" s="422">
        <v>126</v>
      </c>
      <c r="EE12" s="422">
        <v>127</v>
      </c>
      <c r="EF12" s="422">
        <v>128</v>
      </c>
      <c r="EG12" s="422">
        <v>129</v>
      </c>
      <c r="EH12" s="422">
        <v>130</v>
      </c>
      <c r="EI12" s="422">
        <v>131</v>
      </c>
      <c r="EJ12" s="422">
        <v>132</v>
      </c>
      <c r="EK12" s="422">
        <v>133</v>
      </c>
      <c r="EL12" s="422">
        <v>134</v>
      </c>
      <c r="EM12" s="422">
        <v>135</v>
      </c>
      <c r="EN12" s="422">
        <v>136</v>
      </c>
      <c r="EO12" s="422">
        <v>137</v>
      </c>
      <c r="EP12" s="422">
        <v>138</v>
      </c>
      <c r="EQ12" s="422">
        <v>139</v>
      </c>
      <c r="ER12" s="422">
        <v>140</v>
      </c>
      <c r="ES12" s="422">
        <v>141</v>
      </c>
      <c r="ET12" s="422">
        <v>142</v>
      </c>
      <c r="EU12" s="422">
        <v>143</v>
      </c>
      <c r="EV12" s="422">
        <v>144</v>
      </c>
      <c r="EW12" s="422">
        <v>145</v>
      </c>
      <c r="EX12" s="422">
        <v>146</v>
      </c>
      <c r="EY12" s="422">
        <v>147</v>
      </c>
      <c r="EZ12" s="422">
        <v>148</v>
      </c>
      <c r="FA12" s="422">
        <v>149</v>
      </c>
      <c r="FB12" s="422">
        <v>150</v>
      </c>
      <c r="FC12" s="422">
        <f>FB12+1</f>
        <v>151</v>
      </c>
      <c r="FD12" s="422">
        <f t="shared" ref="FD12:GF12" si="0">FC12+1</f>
        <v>152</v>
      </c>
      <c r="FE12" s="422">
        <f t="shared" si="0"/>
        <v>153</v>
      </c>
      <c r="FF12" s="422">
        <f t="shared" si="0"/>
        <v>154</v>
      </c>
      <c r="FG12" s="422">
        <f t="shared" si="0"/>
        <v>155</v>
      </c>
      <c r="FH12" s="422">
        <f t="shared" si="0"/>
        <v>156</v>
      </c>
      <c r="FI12" s="422">
        <f t="shared" si="0"/>
        <v>157</v>
      </c>
      <c r="FJ12" s="422">
        <f t="shared" si="0"/>
        <v>158</v>
      </c>
      <c r="FK12" s="422">
        <f t="shared" si="0"/>
        <v>159</v>
      </c>
      <c r="FL12" s="422">
        <f t="shared" si="0"/>
        <v>160</v>
      </c>
      <c r="FM12" s="422">
        <f t="shared" si="0"/>
        <v>161</v>
      </c>
      <c r="FN12" s="422">
        <f t="shared" si="0"/>
        <v>162</v>
      </c>
      <c r="FO12" s="422">
        <f t="shared" si="0"/>
        <v>163</v>
      </c>
      <c r="FP12" s="422">
        <f t="shared" si="0"/>
        <v>164</v>
      </c>
      <c r="FQ12" s="422">
        <f t="shared" si="0"/>
        <v>165</v>
      </c>
      <c r="FR12" s="422">
        <f t="shared" si="0"/>
        <v>166</v>
      </c>
      <c r="FS12" s="422">
        <f t="shared" si="0"/>
        <v>167</v>
      </c>
      <c r="FT12" s="422">
        <f t="shared" si="0"/>
        <v>168</v>
      </c>
      <c r="FU12" s="422">
        <f t="shared" si="0"/>
        <v>169</v>
      </c>
      <c r="FV12" s="422">
        <f t="shared" si="0"/>
        <v>170</v>
      </c>
      <c r="FW12" s="422">
        <f t="shared" si="0"/>
        <v>171</v>
      </c>
      <c r="FX12" s="422">
        <f t="shared" si="0"/>
        <v>172</v>
      </c>
      <c r="FY12" s="422">
        <f t="shared" si="0"/>
        <v>173</v>
      </c>
      <c r="FZ12" s="422">
        <f t="shared" si="0"/>
        <v>174</v>
      </c>
      <c r="GA12" s="422">
        <f t="shared" si="0"/>
        <v>175</v>
      </c>
      <c r="GB12" s="422">
        <f t="shared" si="0"/>
        <v>176</v>
      </c>
      <c r="GC12" s="422">
        <f t="shared" si="0"/>
        <v>177</v>
      </c>
      <c r="GD12" s="422">
        <f t="shared" si="0"/>
        <v>178</v>
      </c>
      <c r="GE12" s="422">
        <f t="shared" si="0"/>
        <v>179</v>
      </c>
      <c r="GF12" s="422">
        <f t="shared" si="0"/>
        <v>180</v>
      </c>
      <c r="GG12" s="422">
        <f>GF12+1</f>
        <v>181</v>
      </c>
      <c r="GH12" s="422">
        <f t="shared" ref="GH12:HJ12" si="1">GG12+1</f>
        <v>182</v>
      </c>
      <c r="GI12" s="422">
        <f t="shared" si="1"/>
        <v>183</v>
      </c>
      <c r="GJ12" s="422">
        <f t="shared" si="1"/>
        <v>184</v>
      </c>
      <c r="GK12" s="422">
        <f t="shared" si="1"/>
        <v>185</v>
      </c>
      <c r="GL12" s="422">
        <f t="shared" si="1"/>
        <v>186</v>
      </c>
      <c r="GM12" s="422">
        <f t="shared" si="1"/>
        <v>187</v>
      </c>
      <c r="GN12" s="422">
        <f t="shared" si="1"/>
        <v>188</v>
      </c>
      <c r="GO12" s="422">
        <f t="shared" si="1"/>
        <v>189</v>
      </c>
      <c r="GP12" s="422">
        <f t="shared" si="1"/>
        <v>190</v>
      </c>
      <c r="GQ12" s="422">
        <f t="shared" si="1"/>
        <v>191</v>
      </c>
      <c r="GR12" s="422">
        <f t="shared" si="1"/>
        <v>192</v>
      </c>
      <c r="GS12" s="422">
        <f t="shared" si="1"/>
        <v>193</v>
      </c>
      <c r="GT12" s="422">
        <f t="shared" si="1"/>
        <v>194</v>
      </c>
      <c r="GU12" s="422">
        <f t="shared" si="1"/>
        <v>195</v>
      </c>
      <c r="GV12" s="422">
        <f t="shared" si="1"/>
        <v>196</v>
      </c>
      <c r="GW12" s="422">
        <f t="shared" si="1"/>
        <v>197</v>
      </c>
      <c r="GX12" s="422">
        <f t="shared" si="1"/>
        <v>198</v>
      </c>
      <c r="GY12" s="422">
        <f t="shared" si="1"/>
        <v>199</v>
      </c>
      <c r="GZ12" s="422">
        <f t="shared" si="1"/>
        <v>200</v>
      </c>
      <c r="HA12" s="422">
        <f t="shared" si="1"/>
        <v>201</v>
      </c>
      <c r="HB12" s="422">
        <f t="shared" si="1"/>
        <v>202</v>
      </c>
      <c r="HC12" s="422">
        <f t="shared" si="1"/>
        <v>203</v>
      </c>
      <c r="HD12" s="422">
        <f t="shared" si="1"/>
        <v>204</v>
      </c>
      <c r="HE12" s="422">
        <f t="shared" si="1"/>
        <v>205</v>
      </c>
      <c r="HF12" s="422">
        <f t="shared" si="1"/>
        <v>206</v>
      </c>
      <c r="HG12" s="422">
        <f t="shared" si="1"/>
        <v>207</v>
      </c>
      <c r="HH12" s="422">
        <f t="shared" si="1"/>
        <v>208</v>
      </c>
      <c r="HI12" s="422">
        <f t="shared" si="1"/>
        <v>209</v>
      </c>
      <c r="HJ12" s="422">
        <f t="shared" si="1"/>
        <v>210</v>
      </c>
    </row>
    <row r="13" spans="2:218" ht="15" customHeight="1" x14ac:dyDescent="0.25">
      <c r="B13" s="10" t="s">
        <v>524</v>
      </c>
      <c r="C13" s="64"/>
      <c r="D13" s="64"/>
      <c r="E13" s="70">
        <f>E14</f>
        <v>3</v>
      </c>
      <c r="F13" s="70">
        <f>F14</f>
        <v>7.8333333333333339</v>
      </c>
      <c r="G13" s="70">
        <f>G14</f>
        <v>5.8333333333333339</v>
      </c>
      <c r="H13" s="63"/>
      <c r="I13" s="63"/>
      <c r="J13" s="63"/>
      <c r="K13" s="309">
        <f>SUM(K14:K17)</f>
        <v>2</v>
      </c>
      <c r="L13" s="309">
        <f t="shared" ref="L13:S13" si="2">SUM(L14:L17)</f>
        <v>2</v>
      </c>
      <c r="M13" s="309">
        <f t="shared" si="2"/>
        <v>2</v>
      </c>
      <c r="N13" s="309">
        <f t="shared" si="2"/>
        <v>2</v>
      </c>
      <c r="O13" s="309">
        <f t="shared" si="2"/>
        <v>2</v>
      </c>
      <c r="P13" s="309">
        <f t="shared" si="2"/>
        <v>2</v>
      </c>
      <c r="Q13" s="309">
        <f t="shared" si="2"/>
        <v>2</v>
      </c>
      <c r="R13" s="309">
        <f t="shared" si="2"/>
        <v>2</v>
      </c>
      <c r="S13" s="309">
        <f t="shared" si="2"/>
        <v>2</v>
      </c>
      <c r="T13" s="63"/>
      <c r="U13" s="63"/>
      <c r="V13" s="63"/>
      <c r="W13" s="63"/>
      <c r="X13" s="63"/>
      <c r="Y13" s="63"/>
      <c r="Z13" s="63"/>
      <c r="AA13" s="63"/>
      <c r="AB13" s="63"/>
      <c r="AC13" s="63"/>
      <c r="AD13" s="63"/>
      <c r="AE13" s="63"/>
      <c r="AF13" s="63"/>
      <c r="AG13" s="63"/>
      <c r="AH13" s="63"/>
      <c r="AI13" s="63"/>
      <c r="AJ13" s="63"/>
      <c r="AK13" s="63"/>
      <c r="AL13" s="63"/>
      <c r="AM13" s="63"/>
      <c r="AN13" s="63"/>
      <c r="AO13" s="63"/>
      <c r="AP13" s="63"/>
      <c r="AQ13" s="63"/>
      <c r="AR13" s="63"/>
      <c r="AS13" s="63"/>
      <c r="AT13" s="63"/>
      <c r="AU13" s="63"/>
      <c r="AV13" s="63"/>
      <c r="AW13" s="63"/>
      <c r="AX13" s="63"/>
      <c r="AY13" s="63"/>
      <c r="AZ13" s="63"/>
      <c r="BA13" s="63"/>
      <c r="BB13" s="63"/>
      <c r="BC13" s="63"/>
      <c r="BD13" s="63"/>
      <c r="BE13" s="63"/>
      <c r="BF13" s="63"/>
      <c r="BG13" s="63"/>
      <c r="BH13" s="63"/>
      <c r="BI13" s="63"/>
      <c r="BJ13" s="63"/>
      <c r="BK13" s="63"/>
      <c r="BL13" s="63"/>
      <c r="BM13" s="63"/>
      <c r="BN13" s="63"/>
      <c r="BO13" s="63"/>
      <c r="BP13" s="63"/>
      <c r="BQ13" s="63"/>
      <c r="BR13" s="63"/>
      <c r="BS13" s="63"/>
      <c r="BT13" s="63"/>
      <c r="BU13" s="63"/>
      <c r="BV13" s="63"/>
      <c r="BW13" s="63"/>
      <c r="BX13" s="63"/>
      <c r="BY13" s="63"/>
      <c r="BZ13" s="63"/>
      <c r="CA13" s="63"/>
      <c r="CB13" s="63"/>
      <c r="CC13" s="63"/>
      <c r="CD13" s="63"/>
      <c r="CE13" s="63"/>
      <c r="CF13" s="63"/>
      <c r="CG13" s="63"/>
      <c r="CH13" s="63"/>
      <c r="CI13" s="63"/>
      <c r="CJ13" s="63"/>
      <c r="CK13" s="63"/>
      <c r="CL13" s="63"/>
      <c r="CM13" s="63"/>
      <c r="CN13" s="63"/>
      <c r="CO13" s="63"/>
      <c r="CP13" s="63"/>
      <c r="CQ13" s="63"/>
      <c r="CR13" s="63"/>
      <c r="CS13" s="63"/>
      <c r="CT13" s="63"/>
      <c r="CU13" s="63"/>
      <c r="CV13" s="63"/>
      <c r="CW13" s="63"/>
      <c r="CX13" s="63"/>
      <c r="CY13" s="63"/>
      <c r="CZ13" s="63"/>
      <c r="DA13" s="63"/>
      <c r="DB13" s="63"/>
      <c r="DC13" s="63"/>
      <c r="DD13" s="63"/>
    </row>
    <row r="14" spans="2:218" s="3" customFormat="1" ht="15" customHeight="1" x14ac:dyDescent="0.25">
      <c r="B14" s="427" t="s">
        <v>519</v>
      </c>
      <c r="C14" s="15"/>
      <c r="D14" s="428"/>
      <c r="E14" s="31">
        <f>MIN(E15:F17)</f>
        <v>3</v>
      </c>
      <c r="F14" s="31">
        <f>MAX(E17:F17)</f>
        <v>7.8333333333333339</v>
      </c>
      <c r="G14" s="31">
        <f>F14-E14+1</f>
        <v>5.8333333333333339</v>
      </c>
      <c r="H14" s="63"/>
      <c r="I14" s="63"/>
      <c r="J14" s="63"/>
      <c r="K14" s="63">
        <f>'Memo calc'!$J$679</f>
        <v>2</v>
      </c>
      <c r="L14" s="63">
        <f>'Memo calc'!$J$679</f>
        <v>2</v>
      </c>
      <c r="M14" s="63">
        <f>'Memo calc'!$J$679</f>
        <v>2</v>
      </c>
      <c r="N14" s="63">
        <f>'Memo calc'!$J$679</f>
        <v>2</v>
      </c>
      <c r="O14" s="63">
        <f>'Memo calc'!$J$679</f>
        <v>2</v>
      </c>
      <c r="P14" s="63">
        <f>'Memo calc'!$J$679</f>
        <v>2</v>
      </c>
      <c r="Q14" s="63">
        <f>'Memo calc'!$J$679</f>
        <v>2</v>
      </c>
      <c r="R14" s="63">
        <f>'Memo calc'!$J$679</f>
        <v>2</v>
      </c>
      <c r="S14" s="63">
        <f>'Memo calc'!$J$679</f>
        <v>2</v>
      </c>
      <c r="T14" s="63"/>
      <c r="U14" s="63"/>
      <c r="V14" s="63"/>
      <c r="W14" s="63"/>
      <c r="X14" s="63"/>
      <c r="Y14" s="63"/>
      <c r="Z14" s="63"/>
      <c r="AA14" s="63"/>
      <c r="AB14" s="63"/>
      <c r="AC14" s="63"/>
      <c r="AD14" s="63"/>
      <c r="AE14" s="63"/>
      <c r="AF14" s="63"/>
      <c r="AG14" s="63"/>
      <c r="AH14" s="63"/>
      <c r="AI14" s="63"/>
      <c r="AJ14" s="63"/>
      <c r="AK14" s="63"/>
      <c r="AL14" s="63"/>
      <c r="AM14" s="63"/>
      <c r="AN14" s="63"/>
      <c r="AO14" s="63"/>
      <c r="AP14" s="63"/>
      <c r="AQ14" s="63"/>
      <c r="AR14" s="63"/>
      <c r="AS14" s="63"/>
      <c r="AT14" s="63"/>
      <c r="AU14" s="63"/>
      <c r="AV14" s="63"/>
      <c r="AW14" s="63"/>
      <c r="AX14" s="63"/>
      <c r="AY14" s="63"/>
      <c r="AZ14" s="63"/>
      <c r="BA14" s="63"/>
      <c r="BB14" s="63"/>
      <c r="BC14" s="63"/>
      <c r="BD14" s="63"/>
      <c r="BE14" s="63"/>
      <c r="BF14" s="63"/>
      <c r="BG14" s="63"/>
      <c r="BH14" s="63"/>
      <c r="BI14" s="63"/>
      <c r="BJ14" s="63"/>
      <c r="BK14" s="63"/>
      <c r="BL14" s="63"/>
      <c r="BM14" s="63"/>
      <c r="BN14" s="63"/>
      <c r="BO14" s="63"/>
      <c r="BP14" s="63"/>
      <c r="BQ14" s="63"/>
      <c r="BR14" s="63"/>
      <c r="BS14" s="63"/>
      <c r="BT14" s="63"/>
      <c r="BU14" s="63"/>
      <c r="BV14" s="63"/>
      <c r="BW14" s="63"/>
      <c r="BX14" s="63"/>
      <c r="BY14" s="63"/>
      <c r="BZ14" s="63"/>
      <c r="CA14" s="63"/>
      <c r="CB14" s="63"/>
      <c r="CC14" s="63"/>
      <c r="CD14" s="63"/>
      <c r="CE14" s="63"/>
      <c r="CF14" s="63"/>
      <c r="CG14" s="63"/>
      <c r="CH14" s="63"/>
      <c r="CI14" s="63"/>
      <c r="CJ14" s="63"/>
      <c r="CK14" s="63"/>
      <c r="CL14" s="63"/>
      <c r="CM14" s="63"/>
      <c r="CN14" s="63"/>
      <c r="CO14" s="63"/>
      <c r="CP14" s="63"/>
      <c r="CQ14" s="63"/>
      <c r="CR14" s="63"/>
      <c r="CS14" s="63"/>
      <c r="CT14" s="63"/>
      <c r="CU14" s="63"/>
      <c r="CV14" s="63"/>
      <c r="CW14" s="63"/>
      <c r="CX14" s="63"/>
      <c r="CY14" s="63"/>
      <c r="CZ14" s="63"/>
      <c r="DA14" s="63"/>
      <c r="DB14" s="63"/>
      <c r="DC14" s="63"/>
      <c r="DD14" s="63"/>
    </row>
    <row r="15" spans="2:218" s="3" customFormat="1" ht="15" customHeight="1" x14ac:dyDescent="0.25">
      <c r="B15" s="427" t="s">
        <v>780</v>
      </c>
      <c r="C15" s="15"/>
      <c r="D15" s="428"/>
      <c r="E15" s="31">
        <f>'Crono fisico'!E17</f>
        <v>3</v>
      </c>
      <c r="F15" s="31">
        <f>'Crono fisico'!F17</f>
        <v>5</v>
      </c>
      <c r="G15" s="31">
        <f>F15-E15+1</f>
        <v>3</v>
      </c>
      <c r="H15" s="63"/>
      <c r="I15" s="63"/>
      <c r="J15" s="63"/>
      <c r="K15" s="63">
        <v>0</v>
      </c>
      <c r="L15" s="63">
        <v>0</v>
      </c>
      <c r="M15" s="63">
        <v>0</v>
      </c>
      <c r="N15" s="63">
        <v>0</v>
      </c>
      <c r="O15" s="63">
        <v>0</v>
      </c>
      <c r="P15" s="63">
        <v>0</v>
      </c>
      <c r="Q15" s="63"/>
      <c r="R15" s="63"/>
      <c r="S15" s="63"/>
      <c r="T15" s="63"/>
      <c r="U15" s="63"/>
      <c r="V15" s="63"/>
      <c r="W15" s="63"/>
      <c r="X15" s="63"/>
      <c r="Y15" s="63"/>
      <c r="Z15" s="63"/>
      <c r="AA15" s="63"/>
      <c r="AB15" s="63"/>
      <c r="AC15" s="63"/>
      <c r="AD15" s="63"/>
      <c r="AE15" s="63"/>
      <c r="AF15" s="63"/>
      <c r="AG15" s="63"/>
      <c r="AH15" s="63"/>
      <c r="AI15" s="63"/>
      <c r="AJ15" s="63"/>
      <c r="AK15" s="63"/>
      <c r="AL15" s="63"/>
      <c r="AM15" s="63"/>
      <c r="AN15" s="63"/>
      <c r="AO15" s="63"/>
      <c r="AP15" s="63"/>
      <c r="AQ15" s="63"/>
      <c r="AR15" s="63"/>
      <c r="AS15" s="63"/>
      <c r="AT15" s="63"/>
      <c r="AU15" s="63"/>
      <c r="AV15" s="63"/>
      <c r="AW15" s="63"/>
      <c r="AX15" s="63"/>
      <c r="AY15" s="63"/>
      <c r="AZ15" s="63"/>
      <c r="BA15" s="63"/>
      <c r="BB15" s="63"/>
      <c r="BC15" s="63"/>
      <c r="BD15" s="63"/>
      <c r="BE15" s="63"/>
      <c r="BF15" s="63"/>
      <c r="BG15" s="63"/>
      <c r="BH15" s="63"/>
      <c r="BI15" s="63"/>
      <c r="BJ15" s="63"/>
      <c r="BK15" s="63"/>
      <c r="BL15" s="63"/>
      <c r="BM15" s="63"/>
      <c r="BN15" s="63"/>
      <c r="BO15" s="63"/>
      <c r="BP15" s="63"/>
      <c r="BQ15" s="63"/>
      <c r="BR15" s="63"/>
      <c r="BS15" s="63"/>
      <c r="BT15" s="63"/>
      <c r="BU15" s="63"/>
      <c r="BV15" s="63"/>
      <c r="BW15" s="63"/>
      <c r="BX15" s="63"/>
      <c r="BY15" s="63"/>
      <c r="BZ15" s="63"/>
      <c r="CA15" s="63"/>
      <c r="CB15" s="63"/>
      <c r="CC15" s="63"/>
      <c r="CD15" s="63"/>
      <c r="CE15" s="63"/>
      <c r="CF15" s="63"/>
      <c r="CG15" s="63"/>
      <c r="CH15" s="63"/>
      <c r="CI15" s="63"/>
      <c r="CJ15" s="63"/>
      <c r="CK15" s="63"/>
      <c r="CL15" s="63"/>
      <c r="CM15" s="63"/>
      <c r="CN15" s="63"/>
      <c r="CO15" s="63"/>
      <c r="CP15" s="63"/>
      <c r="CQ15" s="63"/>
      <c r="CR15" s="63"/>
      <c r="CS15" s="63"/>
      <c r="CT15" s="63"/>
      <c r="CU15" s="63"/>
      <c r="CV15" s="63"/>
      <c r="CW15" s="63"/>
      <c r="CX15" s="63"/>
      <c r="CY15" s="63"/>
      <c r="CZ15" s="63"/>
      <c r="DA15" s="63"/>
      <c r="DB15" s="63"/>
      <c r="DC15" s="63"/>
      <c r="DD15" s="63"/>
    </row>
    <row r="16" spans="2:218" s="3" customFormat="1" ht="15" customHeight="1" x14ac:dyDescent="0.25">
      <c r="B16" s="427" t="s">
        <v>740</v>
      </c>
      <c r="C16" s="15"/>
      <c r="D16" s="428"/>
      <c r="E16" s="31">
        <f>'Crono fisico'!E23</f>
        <v>3</v>
      </c>
      <c r="F16" s="31">
        <f>'Crono fisico'!F23</f>
        <v>6</v>
      </c>
      <c r="G16" s="31">
        <f>F16-E16+1</f>
        <v>4</v>
      </c>
      <c r="H16" s="63"/>
      <c r="I16" s="63"/>
      <c r="J16" s="63"/>
      <c r="K16" s="63">
        <v>0</v>
      </c>
      <c r="L16" s="63">
        <v>0</v>
      </c>
      <c r="M16" s="63">
        <v>0</v>
      </c>
      <c r="N16" s="63">
        <v>0</v>
      </c>
      <c r="O16" s="63">
        <v>0</v>
      </c>
      <c r="P16" s="63">
        <v>0</v>
      </c>
      <c r="Q16" s="63"/>
      <c r="R16" s="63"/>
      <c r="S16" s="63"/>
      <c r="T16" s="63"/>
      <c r="U16" s="63"/>
      <c r="V16" s="63"/>
      <c r="W16" s="63"/>
      <c r="X16" s="63"/>
      <c r="Y16" s="63"/>
      <c r="Z16" s="63"/>
      <c r="AA16" s="63"/>
      <c r="AB16" s="63"/>
      <c r="AC16" s="63"/>
      <c r="AD16" s="63"/>
      <c r="AE16" s="63"/>
      <c r="AF16" s="63"/>
      <c r="AG16" s="63"/>
      <c r="AH16" s="63"/>
      <c r="AI16" s="63"/>
      <c r="AJ16" s="63"/>
      <c r="AK16" s="63"/>
      <c r="AL16" s="63"/>
      <c r="AM16" s="63"/>
      <c r="AN16" s="63"/>
      <c r="AO16" s="63"/>
      <c r="AP16" s="63"/>
      <c r="AQ16" s="63"/>
      <c r="AR16" s="63"/>
      <c r="AS16" s="63"/>
      <c r="AT16" s="63"/>
      <c r="AU16" s="63"/>
      <c r="AV16" s="63"/>
      <c r="AW16" s="63"/>
      <c r="AX16" s="63"/>
      <c r="AY16" s="63"/>
      <c r="AZ16" s="63"/>
      <c r="BA16" s="63"/>
      <c r="BB16" s="63"/>
      <c r="BC16" s="63"/>
      <c r="BD16" s="63"/>
      <c r="BE16" s="63"/>
      <c r="BF16" s="63"/>
      <c r="BG16" s="63"/>
      <c r="BH16" s="63"/>
      <c r="BI16" s="63"/>
      <c r="BJ16" s="63"/>
      <c r="BK16" s="63"/>
      <c r="BL16" s="63"/>
      <c r="BM16" s="63"/>
      <c r="BN16" s="63"/>
      <c r="BO16" s="63"/>
      <c r="BP16" s="63"/>
      <c r="BQ16" s="63"/>
      <c r="BR16" s="63"/>
      <c r="BS16" s="63"/>
      <c r="BT16" s="63"/>
      <c r="BU16" s="63"/>
      <c r="BV16" s="63"/>
      <c r="BW16" s="63"/>
      <c r="BX16" s="63"/>
      <c r="BY16" s="63"/>
      <c r="BZ16" s="63"/>
      <c r="CA16" s="63"/>
      <c r="CB16" s="63"/>
      <c r="CC16" s="63"/>
      <c r="CD16" s="63"/>
      <c r="CE16" s="63"/>
      <c r="CF16" s="63"/>
      <c r="CG16" s="63"/>
      <c r="CH16" s="63"/>
      <c r="CI16" s="63"/>
      <c r="CJ16" s="63"/>
      <c r="CK16" s="63"/>
      <c r="CL16" s="63"/>
      <c r="CM16" s="63"/>
      <c r="CN16" s="63"/>
      <c r="CO16" s="63"/>
      <c r="CP16" s="63"/>
      <c r="CQ16" s="63"/>
      <c r="CR16" s="63"/>
      <c r="CS16" s="63"/>
      <c r="CT16" s="63"/>
      <c r="CU16" s="63"/>
      <c r="CV16" s="63"/>
      <c r="CW16" s="63"/>
      <c r="CX16" s="63"/>
      <c r="CY16" s="63"/>
      <c r="CZ16" s="63"/>
      <c r="DA16" s="63"/>
      <c r="DB16" s="63"/>
      <c r="DC16" s="63"/>
      <c r="DD16" s="63"/>
    </row>
    <row r="17" spans="2:120" s="3" customFormat="1" ht="15" customHeight="1" x14ac:dyDescent="0.25">
      <c r="B17" s="427" t="s">
        <v>520</v>
      </c>
      <c r="C17" s="15"/>
      <c r="D17" s="428"/>
      <c r="E17" s="31">
        <f>'Crono fisico'!E31</f>
        <v>3</v>
      </c>
      <c r="F17" s="31">
        <f>'Crono fisico'!F31</f>
        <v>7.8333333333333339</v>
      </c>
      <c r="G17" s="31">
        <f>'Crono fisico'!G31</f>
        <v>5.8333333333333339</v>
      </c>
      <c r="H17" s="63"/>
      <c r="I17" s="63"/>
      <c r="J17" s="63"/>
      <c r="K17" s="63">
        <v>0</v>
      </c>
      <c r="L17" s="63">
        <v>0</v>
      </c>
      <c r="M17" s="63">
        <v>0</v>
      </c>
      <c r="N17" s="63">
        <v>0</v>
      </c>
      <c r="O17" s="63">
        <v>0</v>
      </c>
      <c r="P17" s="63">
        <v>0</v>
      </c>
      <c r="Q17" s="63">
        <v>0</v>
      </c>
      <c r="R17" s="63">
        <v>0</v>
      </c>
      <c r="S17" s="63">
        <v>0</v>
      </c>
      <c r="T17" s="63"/>
      <c r="U17" s="63"/>
      <c r="V17" s="63"/>
      <c r="W17" s="63"/>
      <c r="X17" s="63"/>
      <c r="Y17" s="63"/>
      <c r="Z17" s="63"/>
      <c r="AA17" s="63"/>
      <c r="AB17" s="63"/>
      <c r="AC17" s="63"/>
      <c r="AD17" s="63"/>
      <c r="AE17" s="63"/>
      <c r="AF17" s="63"/>
      <c r="AG17" s="63"/>
      <c r="AH17" s="63"/>
      <c r="AI17" s="63"/>
      <c r="AJ17" s="63"/>
      <c r="AK17" s="63"/>
      <c r="AL17" s="63"/>
      <c r="AM17" s="63"/>
      <c r="AN17" s="63"/>
      <c r="AO17" s="63"/>
      <c r="AP17" s="63"/>
      <c r="AQ17" s="63"/>
      <c r="AR17" s="63"/>
      <c r="AS17" s="63"/>
      <c r="AT17" s="63"/>
      <c r="AU17" s="63"/>
      <c r="AV17" s="63"/>
      <c r="AW17" s="63"/>
      <c r="AX17" s="63"/>
      <c r="AY17" s="63"/>
      <c r="AZ17" s="63"/>
      <c r="BA17" s="63"/>
      <c r="BB17" s="63"/>
      <c r="BC17" s="63"/>
      <c r="BD17" s="63"/>
      <c r="BE17" s="63"/>
      <c r="BF17" s="63"/>
      <c r="BG17" s="63"/>
      <c r="BH17" s="63"/>
      <c r="BI17" s="63"/>
      <c r="BJ17" s="63"/>
      <c r="BK17" s="63"/>
      <c r="BL17" s="63"/>
      <c r="BM17" s="63"/>
      <c r="BN17" s="63"/>
    </row>
    <row r="18" spans="2:120" s="3" customFormat="1" ht="15" customHeight="1" x14ac:dyDescent="0.25">
      <c r="B18" s="10" t="s">
        <v>1039</v>
      </c>
      <c r="C18" s="64"/>
      <c r="D18" s="64"/>
      <c r="E18" s="70">
        <f>E19</f>
        <v>8.8333333333333339</v>
      </c>
      <c r="F18" s="70">
        <f>F19</f>
        <v>16.833333333333336</v>
      </c>
      <c r="G18" s="70">
        <f>G19</f>
        <v>9.0000000000000018</v>
      </c>
      <c r="H18" s="63"/>
      <c r="I18" s="63"/>
      <c r="J18" s="63"/>
      <c r="K18" s="63"/>
      <c r="L18" s="63"/>
      <c r="M18" s="63"/>
      <c r="N18" s="63"/>
      <c r="O18" s="63"/>
      <c r="P18" s="63"/>
      <c r="Q18" s="63"/>
      <c r="R18" s="63"/>
      <c r="S18" s="63"/>
      <c r="T18" s="309">
        <f>SUM(T19)</f>
        <v>2</v>
      </c>
      <c r="U18" s="309">
        <f t="shared" ref="U18:AH18" si="3">SUM(U19)</f>
        <v>2</v>
      </c>
      <c r="V18" s="309">
        <f t="shared" si="3"/>
        <v>2</v>
      </c>
      <c r="W18" s="309">
        <f t="shared" si="3"/>
        <v>2</v>
      </c>
      <c r="X18" s="309">
        <f t="shared" si="3"/>
        <v>2</v>
      </c>
      <c r="Y18" s="309">
        <f t="shared" si="3"/>
        <v>2</v>
      </c>
      <c r="Z18" s="309">
        <f t="shared" si="3"/>
        <v>2</v>
      </c>
      <c r="AA18" s="309">
        <f t="shared" si="3"/>
        <v>2</v>
      </c>
      <c r="AB18" s="309">
        <f t="shared" si="3"/>
        <v>2</v>
      </c>
      <c r="AC18" s="309">
        <f t="shared" si="3"/>
        <v>2</v>
      </c>
      <c r="AD18" s="309">
        <f t="shared" si="3"/>
        <v>2</v>
      </c>
      <c r="AE18" s="309">
        <f t="shared" si="3"/>
        <v>2</v>
      </c>
      <c r="AF18" s="309">
        <f t="shared" si="3"/>
        <v>2</v>
      </c>
      <c r="AG18" s="309">
        <f t="shared" si="3"/>
        <v>2</v>
      </c>
      <c r="AH18" s="309">
        <f t="shared" si="3"/>
        <v>2</v>
      </c>
      <c r="AI18" s="63"/>
      <c r="AJ18" s="63"/>
      <c r="AK18" s="63"/>
      <c r="AL18" s="63"/>
      <c r="AM18" s="63"/>
      <c r="AN18" s="63"/>
      <c r="AO18" s="63"/>
      <c r="AP18" s="63"/>
      <c r="AQ18" s="63"/>
      <c r="AR18" s="63"/>
      <c r="AS18" s="63"/>
      <c r="AT18" s="63"/>
      <c r="AU18" s="63"/>
      <c r="AV18" s="63"/>
      <c r="AW18" s="63"/>
      <c r="AX18" s="63"/>
      <c r="AY18" s="63"/>
      <c r="AZ18" s="63"/>
      <c r="BA18" s="63"/>
      <c r="BB18" s="63"/>
      <c r="BC18" s="63"/>
      <c r="BD18" s="63"/>
      <c r="BE18" s="63"/>
      <c r="BF18" s="63"/>
      <c r="BG18" s="63"/>
      <c r="BH18" s="63"/>
      <c r="BI18" s="63"/>
      <c r="BJ18" s="63"/>
      <c r="BK18" s="63"/>
      <c r="BL18" s="63"/>
      <c r="BM18" s="63"/>
      <c r="BN18" s="63"/>
    </row>
    <row r="19" spans="2:120" s="3" customFormat="1" ht="15" customHeight="1" x14ac:dyDescent="0.25">
      <c r="B19" s="427" t="s">
        <v>538</v>
      </c>
      <c r="C19" s="15"/>
      <c r="D19" s="428"/>
      <c r="E19" s="31">
        <f>'Crono fisico'!E32</f>
        <v>8.8333333333333339</v>
      </c>
      <c r="F19" s="31">
        <f>'Crono fisico'!F32</f>
        <v>16.833333333333336</v>
      </c>
      <c r="G19" s="31">
        <f t="shared" ref="G19:G24" si="4">F19-E19+1</f>
        <v>9.0000000000000018</v>
      </c>
      <c r="H19" s="63"/>
      <c r="I19" s="63"/>
      <c r="J19" s="63"/>
      <c r="K19" s="63"/>
      <c r="L19" s="63"/>
      <c r="M19" s="63"/>
      <c r="N19" s="63"/>
      <c r="O19" s="63"/>
      <c r="P19" s="63"/>
      <c r="Q19" s="63"/>
      <c r="R19" s="63"/>
      <c r="S19" s="63"/>
      <c r="T19" s="63">
        <f>'Memo calc'!$J$563</f>
        <v>2</v>
      </c>
      <c r="U19" s="63">
        <f>'Memo calc'!$J$563</f>
        <v>2</v>
      </c>
      <c r="V19" s="63">
        <f>'Memo calc'!$J$563</f>
        <v>2</v>
      </c>
      <c r="W19" s="63">
        <f>'Memo calc'!$J$563</f>
        <v>2</v>
      </c>
      <c r="X19" s="63">
        <f>'Memo calc'!$J$563</f>
        <v>2</v>
      </c>
      <c r="Y19" s="63">
        <f>'Memo calc'!$J$563</f>
        <v>2</v>
      </c>
      <c r="Z19" s="63">
        <f>'Memo calc'!$J$563</f>
        <v>2</v>
      </c>
      <c r="AA19" s="63">
        <f>'Memo calc'!$J$563</f>
        <v>2</v>
      </c>
      <c r="AB19" s="63">
        <f>'Memo calc'!$J$563</f>
        <v>2</v>
      </c>
      <c r="AC19" s="63">
        <f>'Memo calc'!$J$563</f>
        <v>2</v>
      </c>
      <c r="AD19" s="63">
        <f>'Memo calc'!$J$563</f>
        <v>2</v>
      </c>
      <c r="AE19" s="63">
        <f>'Memo calc'!$J$563</f>
        <v>2</v>
      </c>
      <c r="AF19" s="63">
        <f>'Memo calc'!$J$563</f>
        <v>2</v>
      </c>
      <c r="AG19" s="63">
        <f>'Memo calc'!$J$563</f>
        <v>2</v>
      </c>
      <c r="AH19" s="63">
        <f>'Memo calc'!$J$563</f>
        <v>2</v>
      </c>
      <c r="AI19" s="63"/>
      <c r="AJ19" s="63"/>
      <c r="AK19" s="63"/>
      <c r="AL19" s="63"/>
      <c r="AM19" s="63"/>
      <c r="AN19" s="63"/>
      <c r="AO19" s="63"/>
      <c r="AP19" s="63"/>
      <c r="AQ19" s="63"/>
      <c r="AR19" s="63"/>
      <c r="AS19" s="63"/>
      <c r="AT19" s="63"/>
      <c r="AU19" s="63"/>
      <c r="AV19" s="63"/>
      <c r="AW19" s="63"/>
      <c r="AX19" s="63"/>
      <c r="AY19" s="63"/>
      <c r="AZ19" s="63"/>
      <c r="BA19" s="63"/>
      <c r="BB19" s="63"/>
      <c r="BC19" s="63"/>
      <c r="BD19" s="63"/>
      <c r="BE19" s="63"/>
      <c r="BF19" s="63"/>
      <c r="BG19" s="63"/>
      <c r="BH19" s="63"/>
      <c r="BI19" s="63"/>
      <c r="BJ19" s="63"/>
      <c r="BK19" s="63"/>
      <c r="BL19" s="63"/>
      <c r="BM19" s="63"/>
      <c r="BN19" s="63"/>
    </row>
    <row r="20" spans="2:120" s="3" customFormat="1" ht="15" customHeight="1" x14ac:dyDescent="0.25">
      <c r="B20" s="10" t="s">
        <v>1038</v>
      </c>
      <c r="C20" s="64"/>
      <c r="D20" s="64"/>
      <c r="E20" s="70">
        <f>MIN(E22:F38)</f>
        <v>1</v>
      </c>
      <c r="F20" s="70">
        <f>MAX(E22:F41)</f>
        <v>130</v>
      </c>
      <c r="G20" s="70">
        <f t="shared" si="4"/>
        <v>130</v>
      </c>
      <c r="H20" s="63"/>
      <c r="I20" s="309">
        <f>I21</f>
        <v>2</v>
      </c>
      <c r="J20" s="309">
        <f t="shared" ref="J20:T20" si="5">J21</f>
        <v>2</v>
      </c>
      <c r="K20" s="309">
        <f t="shared" si="5"/>
        <v>3</v>
      </c>
      <c r="L20" s="309">
        <f t="shared" si="5"/>
        <v>3</v>
      </c>
      <c r="M20" s="309">
        <f t="shared" si="5"/>
        <v>2</v>
      </c>
      <c r="N20" s="309">
        <f t="shared" si="5"/>
        <v>2</v>
      </c>
      <c r="O20" s="309">
        <f t="shared" si="5"/>
        <v>2</v>
      </c>
      <c r="P20" s="309">
        <f t="shared" si="5"/>
        <v>2</v>
      </c>
      <c r="Q20" s="309">
        <f t="shared" si="5"/>
        <v>7</v>
      </c>
      <c r="R20" s="309">
        <f t="shared" si="5"/>
        <v>7</v>
      </c>
      <c r="S20" s="309">
        <f t="shared" si="5"/>
        <v>5</v>
      </c>
      <c r="T20" s="309">
        <f t="shared" si="5"/>
        <v>5</v>
      </c>
      <c r="U20" s="309"/>
      <c r="V20" s="309"/>
      <c r="W20" s="309"/>
      <c r="X20" s="309"/>
      <c r="Y20" s="309"/>
      <c r="Z20" s="309"/>
      <c r="AA20" s="309"/>
      <c r="AB20" s="309"/>
      <c r="AC20" s="309"/>
      <c r="AD20" s="309"/>
      <c r="AE20" s="309"/>
      <c r="AF20" s="309"/>
      <c r="AG20" s="309"/>
      <c r="AH20" s="309"/>
      <c r="AI20" s="309"/>
      <c r="AJ20" s="309"/>
      <c r="AK20" s="309"/>
      <c r="AL20" s="309"/>
      <c r="AM20" s="309"/>
      <c r="AN20" s="309"/>
      <c r="AO20" s="309"/>
      <c r="AP20" s="309"/>
      <c r="AQ20" s="309"/>
      <c r="AR20" s="309"/>
      <c r="AS20" s="309"/>
      <c r="AT20" s="309"/>
      <c r="AU20" s="309"/>
      <c r="AV20" s="309"/>
      <c r="AW20" s="309"/>
      <c r="AX20" s="309"/>
      <c r="AY20" s="309"/>
      <c r="AZ20" s="309"/>
      <c r="BA20" s="309"/>
      <c r="BB20" s="309"/>
      <c r="BC20" s="309"/>
      <c r="BD20" s="309">
        <f>BD28</f>
        <v>2</v>
      </c>
      <c r="BE20" s="309">
        <f t="shared" ref="BE20:CK20" si="6">BE28</f>
        <v>2</v>
      </c>
      <c r="BF20" s="309">
        <f t="shared" si="6"/>
        <v>2</v>
      </c>
      <c r="BG20" s="309">
        <f t="shared" si="6"/>
        <v>2</v>
      </c>
      <c r="BH20" s="309">
        <f t="shared" si="6"/>
        <v>2</v>
      </c>
      <c r="BI20" s="309">
        <f t="shared" si="6"/>
        <v>2</v>
      </c>
      <c r="BJ20" s="309">
        <f t="shared" si="6"/>
        <v>2</v>
      </c>
      <c r="BK20" s="309">
        <f t="shared" si="6"/>
        <v>4</v>
      </c>
      <c r="BL20" s="309">
        <f t="shared" si="6"/>
        <v>2</v>
      </c>
      <c r="BM20" s="309">
        <f t="shared" si="6"/>
        <v>4</v>
      </c>
      <c r="BN20" s="309">
        <f t="shared" si="6"/>
        <v>2</v>
      </c>
      <c r="BO20" s="309">
        <f t="shared" si="6"/>
        <v>4</v>
      </c>
      <c r="BP20" s="309">
        <f t="shared" si="6"/>
        <v>2</v>
      </c>
      <c r="BQ20" s="309">
        <f t="shared" si="6"/>
        <v>6</v>
      </c>
      <c r="BR20" s="309">
        <f t="shared" si="6"/>
        <v>2</v>
      </c>
      <c r="BS20" s="309">
        <f t="shared" si="6"/>
        <v>4</v>
      </c>
      <c r="BT20" s="309">
        <f t="shared" si="6"/>
        <v>6</v>
      </c>
      <c r="BU20" s="309">
        <f t="shared" si="6"/>
        <v>2</v>
      </c>
      <c r="BV20" s="309">
        <f t="shared" si="6"/>
        <v>2</v>
      </c>
      <c r="BW20" s="309">
        <f t="shared" si="6"/>
        <v>0</v>
      </c>
      <c r="BX20" s="309">
        <f t="shared" si="6"/>
        <v>0</v>
      </c>
      <c r="BY20" s="309">
        <f t="shared" si="6"/>
        <v>0</v>
      </c>
      <c r="BZ20" s="309">
        <f t="shared" si="6"/>
        <v>0</v>
      </c>
      <c r="CA20" s="309">
        <f t="shared" si="6"/>
        <v>0</v>
      </c>
      <c r="CB20" s="309">
        <f t="shared" si="6"/>
        <v>0</v>
      </c>
      <c r="CC20" s="309">
        <f t="shared" si="6"/>
        <v>0</v>
      </c>
      <c r="CD20" s="309">
        <f t="shared" si="6"/>
        <v>0</v>
      </c>
      <c r="CE20" s="309">
        <f t="shared" si="6"/>
        <v>0</v>
      </c>
      <c r="CF20" s="309">
        <f t="shared" si="6"/>
        <v>0</v>
      </c>
      <c r="CG20" s="309">
        <f t="shared" si="6"/>
        <v>0</v>
      </c>
      <c r="CH20" s="309">
        <f t="shared" si="6"/>
        <v>0</v>
      </c>
      <c r="CI20" s="309">
        <f t="shared" si="6"/>
        <v>0</v>
      </c>
      <c r="CJ20" s="309">
        <f t="shared" si="6"/>
        <v>0</v>
      </c>
      <c r="CK20" s="309">
        <f t="shared" si="6"/>
        <v>0</v>
      </c>
      <c r="CL20" s="309"/>
      <c r="CM20" s="309"/>
      <c r="CN20" s="309"/>
      <c r="CO20" s="309"/>
      <c r="CP20" s="309"/>
      <c r="CQ20" s="309"/>
      <c r="CR20" s="309"/>
      <c r="CS20" s="309"/>
      <c r="CT20" s="309"/>
      <c r="CU20" s="309"/>
      <c r="CV20" s="309"/>
      <c r="CW20" s="309"/>
      <c r="CX20" s="309"/>
      <c r="CY20" s="309"/>
      <c r="CZ20" s="309"/>
      <c r="DA20" s="309"/>
      <c r="DB20" s="309"/>
      <c r="DC20" s="309"/>
      <c r="DD20" s="309"/>
      <c r="DE20" s="309"/>
      <c r="DF20" s="309"/>
      <c r="DG20" s="309"/>
      <c r="DH20" s="309"/>
      <c r="DI20" s="309"/>
      <c r="DJ20" s="309"/>
      <c r="DK20" s="309"/>
      <c r="DL20" s="309"/>
      <c r="DM20" s="309"/>
      <c r="DN20" s="309"/>
      <c r="DO20" s="309"/>
      <c r="DP20" s="309"/>
    </row>
    <row r="21" spans="2:120" s="3" customFormat="1" ht="15" customHeight="1" x14ac:dyDescent="0.25">
      <c r="B21" s="306" t="s">
        <v>528</v>
      </c>
      <c r="C21" s="12"/>
      <c r="D21" s="307"/>
      <c r="E21" s="70">
        <f>MIN(E22:F27)</f>
        <v>1</v>
      </c>
      <c r="F21" s="70">
        <f>MAX(E22:F27)</f>
        <v>9</v>
      </c>
      <c r="G21" s="70">
        <f t="shared" si="4"/>
        <v>9</v>
      </c>
      <c r="H21" s="63"/>
      <c r="I21" s="309">
        <f t="shared" ref="I21:T21" si="7">SUM(I22:I27)</f>
        <v>2</v>
      </c>
      <c r="J21" s="309">
        <f t="shared" si="7"/>
        <v>2</v>
      </c>
      <c r="K21" s="309">
        <f t="shared" si="7"/>
        <v>3</v>
      </c>
      <c r="L21" s="309">
        <f t="shared" si="7"/>
        <v>3</v>
      </c>
      <c r="M21" s="309">
        <f t="shared" si="7"/>
        <v>2</v>
      </c>
      <c r="N21" s="309">
        <f t="shared" si="7"/>
        <v>2</v>
      </c>
      <c r="O21" s="309">
        <f t="shared" si="7"/>
        <v>2</v>
      </c>
      <c r="P21" s="309">
        <f t="shared" si="7"/>
        <v>2</v>
      </c>
      <c r="Q21" s="309">
        <f t="shared" si="7"/>
        <v>7</v>
      </c>
      <c r="R21" s="309">
        <f t="shared" si="7"/>
        <v>7</v>
      </c>
      <c r="S21" s="309">
        <f t="shared" si="7"/>
        <v>5</v>
      </c>
      <c r="T21" s="309">
        <f t="shared" si="7"/>
        <v>5</v>
      </c>
      <c r="U21" s="309"/>
      <c r="V21" s="309"/>
      <c r="W21" s="309"/>
      <c r="X21" s="309"/>
      <c r="Y21" s="309"/>
      <c r="Z21" s="309"/>
      <c r="AA21" s="309"/>
      <c r="AB21" s="309"/>
      <c r="AC21" s="309"/>
      <c r="AD21" s="309"/>
      <c r="AE21" s="309"/>
      <c r="AF21" s="309"/>
      <c r="AG21" s="309"/>
      <c r="AH21" s="309"/>
      <c r="AI21" s="309"/>
      <c r="AJ21" s="309"/>
      <c r="AK21" s="309"/>
      <c r="AL21" s="309"/>
      <c r="AM21" s="309"/>
      <c r="AN21" s="309"/>
      <c r="AO21" s="309"/>
      <c r="AP21" s="309"/>
      <c r="AQ21" s="309"/>
      <c r="AR21" s="309"/>
      <c r="AS21" s="309"/>
      <c r="AT21" s="309"/>
      <c r="AU21" s="309"/>
      <c r="AV21" s="309"/>
      <c r="AW21" s="309"/>
      <c r="AX21" s="309"/>
      <c r="AY21" s="309"/>
      <c r="AZ21" s="309"/>
      <c r="BA21" s="309"/>
      <c r="BB21" s="309"/>
      <c r="BC21" s="309"/>
      <c r="BD21" s="63"/>
      <c r="BE21" s="63"/>
      <c r="BF21" s="63"/>
      <c r="BG21" s="63"/>
      <c r="BH21" s="63"/>
      <c r="BI21" s="63"/>
      <c r="BJ21" s="63"/>
      <c r="BK21" s="63"/>
      <c r="BL21" s="63"/>
      <c r="BM21" s="63"/>
      <c r="BN21" s="63"/>
    </row>
    <row r="22" spans="2:120" s="3" customFormat="1" ht="15" customHeight="1" x14ac:dyDescent="0.25">
      <c r="B22" s="427" t="s">
        <v>206</v>
      </c>
      <c r="C22" s="15"/>
      <c r="D22" s="428"/>
      <c r="E22" s="31">
        <f>'Crono fisico'!E15</f>
        <v>1</v>
      </c>
      <c r="F22" s="31">
        <f>'Crono fisico'!F15</f>
        <v>2</v>
      </c>
      <c r="G22" s="31">
        <f t="shared" si="4"/>
        <v>2</v>
      </c>
      <c r="H22" s="63"/>
      <c r="I22" s="63">
        <f>'Memo calc'!$J$41</f>
        <v>2</v>
      </c>
      <c r="J22" s="63">
        <f>'Memo calc'!$J$41</f>
        <v>2</v>
      </c>
      <c r="K22" s="63"/>
      <c r="L22" s="63"/>
      <c r="M22" s="63"/>
      <c r="N22" s="63"/>
      <c r="O22" s="63"/>
      <c r="P22" s="63"/>
      <c r="Q22" s="63"/>
      <c r="R22" s="63"/>
      <c r="S22" s="63"/>
      <c r="T22" s="63"/>
      <c r="U22" s="63"/>
      <c r="V22" s="63"/>
      <c r="W22" s="63"/>
      <c r="X22" s="63"/>
      <c r="Y22" s="63"/>
      <c r="Z22" s="63"/>
      <c r="AA22" s="63"/>
      <c r="AB22" s="63"/>
      <c r="AC22" s="63"/>
      <c r="AD22" s="63"/>
      <c r="AE22" s="63"/>
      <c r="AF22" s="63"/>
      <c r="AG22" s="63"/>
      <c r="AH22" s="63"/>
      <c r="AI22" s="63"/>
      <c r="AJ22" s="63"/>
      <c r="AK22" s="63"/>
      <c r="AL22" s="63"/>
      <c r="AM22" s="63"/>
      <c r="AN22" s="63"/>
      <c r="AO22" s="63"/>
      <c r="AP22" s="63"/>
      <c r="AQ22" s="63"/>
      <c r="AR22" s="63"/>
      <c r="AS22" s="63"/>
      <c r="AT22" s="63"/>
      <c r="AU22" s="63"/>
      <c r="AV22" s="63"/>
      <c r="AW22" s="63"/>
      <c r="AX22" s="63"/>
      <c r="AY22" s="63"/>
      <c r="AZ22" s="63"/>
      <c r="BA22" s="63"/>
      <c r="BB22" s="63"/>
      <c r="BC22" s="63"/>
      <c r="BD22" s="63"/>
      <c r="BE22" s="63"/>
      <c r="BF22" s="63"/>
      <c r="BG22" s="63"/>
      <c r="BH22" s="63"/>
      <c r="BI22" s="63"/>
      <c r="BJ22" s="63"/>
      <c r="BK22" s="63"/>
      <c r="BL22" s="63"/>
      <c r="BM22" s="63"/>
      <c r="BN22" s="63"/>
    </row>
    <row r="23" spans="2:120" s="3" customFormat="1" ht="15" customHeight="1" x14ac:dyDescent="0.25">
      <c r="B23" s="427" t="s">
        <v>781</v>
      </c>
      <c r="C23" s="15"/>
      <c r="D23" s="428"/>
      <c r="E23" s="31">
        <f>'Crono fisico'!E18</f>
        <v>6</v>
      </c>
      <c r="F23" s="31">
        <f>'Crono fisico'!F18</f>
        <v>8</v>
      </c>
      <c r="G23" s="31">
        <f t="shared" si="4"/>
        <v>3</v>
      </c>
      <c r="H23" s="63"/>
      <c r="I23" s="63"/>
      <c r="J23" s="63"/>
      <c r="K23" s="63"/>
      <c r="L23" s="63"/>
      <c r="M23" s="63"/>
      <c r="N23" s="63"/>
      <c r="O23" s="63"/>
      <c r="P23" s="63"/>
      <c r="Q23" s="63">
        <f>'Memo calc'!$J$170</f>
        <v>2</v>
      </c>
      <c r="R23" s="63">
        <f>'Memo calc'!$J$170</f>
        <v>2</v>
      </c>
      <c r="S23" s="63">
        <f>'Memo calc'!$J$170</f>
        <v>2</v>
      </c>
      <c r="T23" s="63">
        <f>'Memo calc'!$J$170</f>
        <v>2</v>
      </c>
      <c r="U23" s="63"/>
      <c r="V23" s="63"/>
      <c r="W23" s="63"/>
      <c r="X23" s="63"/>
      <c r="Y23" s="63"/>
      <c r="Z23" s="63"/>
      <c r="AA23" s="63"/>
      <c r="AB23" s="63"/>
      <c r="AC23" s="63"/>
      <c r="AD23" s="63"/>
      <c r="AE23" s="63"/>
      <c r="AF23" s="63"/>
      <c r="AG23" s="63"/>
      <c r="AH23" s="63"/>
      <c r="AI23" s="63"/>
      <c r="AJ23" s="63"/>
      <c r="AK23" s="63"/>
      <c r="AL23" s="63"/>
      <c r="AM23" s="63"/>
      <c r="AN23" s="63"/>
      <c r="AO23" s="63"/>
      <c r="AP23" s="63"/>
      <c r="AQ23" s="63"/>
      <c r="AR23" s="63"/>
      <c r="AS23" s="63"/>
      <c r="AT23" s="63"/>
      <c r="AU23" s="63"/>
      <c r="AV23" s="63"/>
      <c r="AW23" s="63"/>
      <c r="AX23" s="63"/>
      <c r="AY23" s="63"/>
      <c r="AZ23" s="63"/>
      <c r="BA23" s="63"/>
      <c r="BB23" s="63"/>
      <c r="BC23" s="63"/>
      <c r="BD23" s="63"/>
      <c r="BE23" s="63"/>
      <c r="BF23" s="63"/>
      <c r="BG23" s="63"/>
      <c r="BH23" s="63"/>
      <c r="BI23" s="63"/>
      <c r="BJ23" s="63"/>
      <c r="BK23" s="63"/>
      <c r="BL23" s="63"/>
      <c r="BM23" s="63"/>
      <c r="BN23" s="63"/>
    </row>
    <row r="24" spans="2:120" s="3" customFormat="1" ht="15" customHeight="1" x14ac:dyDescent="0.25">
      <c r="B24" s="523" t="s">
        <v>209</v>
      </c>
      <c r="C24" s="524"/>
      <c r="D24" s="525"/>
      <c r="E24" s="31">
        <f>'Crono fisico'!E19</f>
        <v>3</v>
      </c>
      <c r="F24" s="31">
        <f>'Crono fisico'!F19</f>
        <v>4</v>
      </c>
      <c r="G24" s="31">
        <f t="shared" si="4"/>
        <v>2</v>
      </c>
      <c r="H24" s="63"/>
      <c r="I24" s="63"/>
      <c r="J24" s="63"/>
      <c r="K24" s="63">
        <f>'Memo calc'!$J$214</f>
        <v>3</v>
      </c>
      <c r="L24" s="63">
        <f>'Memo calc'!$J$214</f>
        <v>3</v>
      </c>
      <c r="M24" s="63"/>
      <c r="N24" s="63"/>
      <c r="O24" s="63"/>
      <c r="P24" s="63"/>
      <c r="Q24" s="63"/>
      <c r="R24" s="63"/>
      <c r="S24" s="63"/>
      <c r="T24" s="63"/>
      <c r="U24" s="63"/>
      <c r="V24" s="63"/>
      <c r="W24" s="63"/>
      <c r="X24" s="63"/>
      <c r="Y24" s="63"/>
      <c r="Z24" s="63"/>
      <c r="AA24" s="63"/>
      <c r="AB24" s="63"/>
      <c r="AC24" s="63"/>
      <c r="AD24" s="63"/>
      <c r="AE24" s="63"/>
      <c r="AF24" s="63"/>
      <c r="AG24" s="63"/>
      <c r="AH24" s="63"/>
      <c r="AI24" s="63"/>
      <c r="AJ24" s="63"/>
      <c r="AK24" s="63"/>
      <c r="AL24" s="63"/>
      <c r="AM24" s="63"/>
      <c r="AN24" s="63"/>
      <c r="AO24" s="63"/>
      <c r="AP24" s="63"/>
      <c r="AQ24" s="63"/>
      <c r="AR24" s="63"/>
      <c r="AS24" s="63"/>
      <c r="AT24" s="63"/>
      <c r="AU24" s="63"/>
      <c r="AV24" s="63"/>
      <c r="AW24" s="63"/>
      <c r="AX24" s="63"/>
      <c r="AY24" s="63"/>
      <c r="AZ24" s="63"/>
      <c r="BA24" s="63"/>
      <c r="BB24" s="63"/>
      <c r="BC24" s="63"/>
      <c r="BD24" s="63"/>
      <c r="BE24" s="63"/>
      <c r="BF24" s="63"/>
      <c r="BG24" s="63"/>
      <c r="BH24" s="63"/>
      <c r="BI24" s="63"/>
      <c r="BJ24" s="63"/>
      <c r="BK24" s="63"/>
      <c r="BL24" s="63"/>
      <c r="BM24" s="63"/>
      <c r="BN24" s="63"/>
    </row>
    <row r="25" spans="2:120" s="3" customFormat="1" ht="15" customHeight="1" x14ac:dyDescent="0.25">
      <c r="B25" s="304" t="s">
        <v>210</v>
      </c>
      <c r="C25" s="15"/>
      <c r="D25" s="305"/>
      <c r="E25" s="31">
        <f>'Crono fisico'!E20</f>
        <v>5</v>
      </c>
      <c r="F25" s="31">
        <f>'Crono fisico'!F20</f>
        <v>6</v>
      </c>
      <c r="G25" s="31">
        <f t="shared" ref="G25:G27" si="8">F25-E25+1</f>
        <v>2</v>
      </c>
      <c r="H25" s="63"/>
      <c r="I25" s="63"/>
      <c r="J25" s="63"/>
      <c r="K25" s="63"/>
      <c r="L25" s="63"/>
      <c r="M25" s="63">
        <f>'Memo calc'!$J$256</f>
        <v>2</v>
      </c>
      <c r="N25" s="63">
        <f>'Memo calc'!$J$256</f>
        <v>2</v>
      </c>
      <c r="O25" s="63">
        <f>'Memo calc'!$J$256</f>
        <v>2</v>
      </c>
      <c r="P25" s="63"/>
      <c r="Q25" s="63"/>
      <c r="R25" s="63"/>
      <c r="S25" s="63"/>
      <c r="T25" s="63"/>
      <c r="U25" s="63"/>
      <c r="V25" s="63"/>
      <c r="W25" s="63"/>
      <c r="X25" s="63"/>
      <c r="Y25" s="63"/>
      <c r="Z25" s="63"/>
      <c r="AA25" s="63"/>
      <c r="AB25" s="63"/>
      <c r="AC25" s="63"/>
      <c r="AD25" s="63"/>
      <c r="AE25" s="63"/>
      <c r="AF25" s="63"/>
      <c r="AG25" s="63"/>
      <c r="AH25" s="63"/>
      <c r="AI25" s="63"/>
      <c r="AJ25" s="63"/>
      <c r="AK25" s="63"/>
      <c r="AL25" s="63"/>
      <c r="AM25" s="63"/>
      <c r="AN25" s="63"/>
      <c r="AO25" s="63"/>
      <c r="AP25" s="63"/>
      <c r="AQ25" s="63"/>
      <c r="AR25" s="63"/>
      <c r="AS25" s="63"/>
      <c r="AT25" s="63"/>
      <c r="AU25" s="63"/>
      <c r="AV25" s="63"/>
      <c r="AW25" s="63"/>
      <c r="AX25" s="63"/>
      <c r="AY25" s="63"/>
      <c r="AZ25" s="63"/>
      <c r="BA25" s="63"/>
      <c r="BB25" s="63"/>
      <c r="BC25" s="63"/>
      <c r="BD25" s="63"/>
      <c r="BE25" s="63"/>
      <c r="BF25" s="63"/>
      <c r="BG25" s="63"/>
      <c r="BH25" s="63"/>
      <c r="BI25" s="63"/>
      <c r="BJ25" s="63"/>
      <c r="BK25" s="63"/>
      <c r="BL25" s="63"/>
      <c r="BM25" s="63"/>
      <c r="BN25" s="63"/>
    </row>
    <row r="26" spans="2:120" s="3" customFormat="1" ht="15" customHeight="1" x14ac:dyDescent="0.25">
      <c r="B26" s="304" t="s">
        <v>208</v>
      </c>
      <c r="C26" s="15"/>
      <c r="D26" s="305"/>
      <c r="E26" s="31">
        <f>'Crono fisico'!E21</f>
        <v>7</v>
      </c>
      <c r="F26" s="31">
        <f>'Crono fisico'!F21</f>
        <v>8</v>
      </c>
      <c r="G26" s="31">
        <f t="shared" si="8"/>
        <v>2</v>
      </c>
      <c r="H26" s="63"/>
      <c r="I26" s="63"/>
      <c r="J26" s="63"/>
      <c r="K26" s="63"/>
      <c r="L26" s="63"/>
      <c r="M26" s="63"/>
      <c r="N26" s="63"/>
      <c r="O26" s="63"/>
      <c r="P26" s="63">
        <f>'Memo calc'!$J$298</f>
        <v>2</v>
      </c>
      <c r="Q26" s="63">
        <f>'Memo calc'!$J$298</f>
        <v>2</v>
      </c>
      <c r="R26" s="63">
        <f>'Memo calc'!$J$298</f>
        <v>2</v>
      </c>
      <c r="S26" s="63"/>
      <c r="T26" s="63"/>
      <c r="U26" s="63"/>
      <c r="V26" s="63"/>
      <c r="W26" s="63"/>
      <c r="X26" s="63"/>
      <c r="Y26" s="63"/>
      <c r="Z26" s="63"/>
      <c r="AA26" s="63"/>
      <c r="AB26" s="63"/>
      <c r="AC26" s="63"/>
      <c r="AD26" s="63"/>
      <c r="AE26" s="63"/>
      <c r="AF26" s="63"/>
      <c r="AG26" s="63"/>
      <c r="AH26" s="63"/>
      <c r="AI26" s="63"/>
      <c r="AJ26" s="63"/>
      <c r="AK26" s="63"/>
      <c r="AL26" s="63"/>
      <c r="AM26" s="63"/>
      <c r="AN26" s="63"/>
      <c r="AO26" s="63"/>
      <c r="AP26" s="63"/>
      <c r="AQ26" s="63"/>
      <c r="AR26" s="63"/>
      <c r="AS26" s="63"/>
      <c r="AT26" s="63"/>
      <c r="AU26" s="63"/>
      <c r="AV26" s="63"/>
      <c r="AW26" s="63"/>
      <c r="AX26" s="63"/>
      <c r="AY26" s="63"/>
      <c r="AZ26" s="63"/>
      <c r="BA26" s="63"/>
      <c r="BB26" s="63"/>
      <c r="BC26" s="63"/>
      <c r="BD26" s="63"/>
      <c r="BE26" s="63"/>
      <c r="BF26" s="63"/>
      <c r="BG26" s="63"/>
      <c r="BH26" s="63"/>
      <c r="BI26" s="63"/>
      <c r="BJ26" s="63"/>
      <c r="BK26" s="63"/>
      <c r="BL26" s="63"/>
      <c r="BM26" s="63"/>
      <c r="BN26" s="63"/>
    </row>
    <row r="27" spans="2:120" s="3" customFormat="1" ht="15" customHeight="1" x14ac:dyDescent="0.25">
      <c r="B27" s="304" t="s">
        <v>741</v>
      </c>
      <c r="C27" s="15"/>
      <c r="D27" s="305"/>
      <c r="E27" s="31">
        <f>'Crono fisico'!E24</f>
        <v>7</v>
      </c>
      <c r="F27" s="31">
        <f>'Crono fisico'!F24</f>
        <v>9</v>
      </c>
      <c r="G27" s="31">
        <f t="shared" si="8"/>
        <v>3</v>
      </c>
      <c r="H27" s="63"/>
      <c r="I27" s="63"/>
      <c r="J27" s="63"/>
      <c r="K27" s="63"/>
      <c r="L27" s="63"/>
      <c r="M27" s="63"/>
      <c r="N27" s="63"/>
      <c r="O27" s="63"/>
      <c r="P27" s="63"/>
      <c r="Q27" s="63">
        <f>'Memo calc'!$J$423</f>
        <v>3</v>
      </c>
      <c r="R27" s="63">
        <f>'Memo calc'!$J$423</f>
        <v>3</v>
      </c>
      <c r="S27" s="63">
        <f>'Memo calc'!$J$423</f>
        <v>3</v>
      </c>
      <c r="T27" s="63">
        <f>'Memo calc'!$J$423</f>
        <v>3</v>
      </c>
      <c r="U27" s="63"/>
      <c r="V27" s="63"/>
      <c r="W27" s="63"/>
      <c r="X27" s="63"/>
      <c r="Y27" s="63"/>
      <c r="Z27" s="63"/>
      <c r="AA27" s="63"/>
      <c r="AB27" s="63"/>
      <c r="AC27" s="63"/>
      <c r="AD27" s="63"/>
      <c r="AE27" s="63"/>
      <c r="AF27" s="63"/>
      <c r="AG27" s="63"/>
      <c r="AH27" s="63"/>
      <c r="AI27" s="63"/>
      <c r="AJ27" s="63"/>
      <c r="AK27" s="63"/>
      <c r="AL27" s="63"/>
      <c r="AM27" s="63"/>
      <c r="AN27" s="63"/>
      <c r="AO27" s="63"/>
      <c r="AP27" s="63"/>
      <c r="AQ27" s="63"/>
      <c r="AR27" s="63"/>
      <c r="AS27" s="63"/>
      <c r="AT27" s="63"/>
      <c r="AU27" s="63"/>
      <c r="AV27" s="63"/>
      <c r="AW27" s="63"/>
      <c r="AX27" s="63"/>
      <c r="AY27" s="63"/>
      <c r="AZ27" s="63"/>
      <c r="BA27" s="63"/>
      <c r="BB27" s="63"/>
      <c r="BC27" s="63"/>
      <c r="BD27" s="63"/>
      <c r="BE27" s="63"/>
      <c r="BF27" s="63"/>
      <c r="BG27" s="63"/>
      <c r="BH27" s="63"/>
      <c r="BI27" s="63"/>
      <c r="BJ27" s="63"/>
      <c r="BK27" s="63"/>
      <c r="BL27" s="63"/>
      <c r="BM27" s="63"/>
      <c r="BN27" s="63"/>
    </row>
    <row r="28" spans="2:120" s="3" customFormat="1" ht="15" customHeight="1" x14ac:dyDescent="0.25">
      <c r="B28" s="306" t="s">
        <v>536</v>
      </c>
      <c r="C28" s="12"/>
      <c r="D28" s="307"/>
      <c r="E28" s="70">
        <f>MIN(E29:F38)</f>
        <v>58</v>
      </c>
      <c r="F28" s="70">
        <f>MAX(E29:F38)</f>
        <v>76</v>
      </c>
      <c r="G28" s="70">
        <f>F28-E28+1</f>
        <v>19</v>
      </c>
      <c r="H28" s="63"/>
      <c r="I28" s="63"/>
      <c r="J28" s="63"/>
      <c r="K28" s="63"/>
      <c r="L28" s="63"/>
      <c r="M28" s="63"/>
      <c r="N28" s="63"/>
      <c r="O28" s="63"/>
      <c r="P28" s="63"/>
      <c r="Q28" s="63"/>
      <c r="R28" s="63"/>
      <c r="S28" s="63"/>
      <c r="T28" s="63"/>
      <c r="U28" s="63"/>
      <c r="V28" s="63"/>
      <c r="W28" s="63"/>
      <c r="X28" s="63"/>
      <c r="Y28" s="63"/>
      <c r="Z28" s="63"/>
      <c r="AA28" s="63"/>
      <c r="AB28" s="63"/>
      <c r="AC28" s="63"/>
      <c r="AD28" s="63"/>
      <c r="AE28" s="63"/>
      <c r="AF28" s="63"/>
      <c r="AG28" s="63"/>
      <c r="AH28" s="63"/>
      <c r="AI28" s="63"/>
      <c r="AJ28" s="63"/>
      <c r="AK28" s="63"/>
      <c r="AL28" s="63"/>
      <c r="AM28" s="63"/>
      <c r="AN28" s="63"/>
      <c r="AO28" s="63"/>
      <c r="AP28" s="63"/>
      <c r="AQ28" s="63"/>
      <c r="AR28" s="63"/>
      <c r="AS28" s="63"/>
      <c r="AT28" s="63"/>
      <c r="AU28" s="63"/>
      <c r="AV28" s="63"/>
      <c r="AW28" s="63"/>
      <c r="AX28" s="63"/>
      <c r="AY28" s="63"/>
      <c r="AZ28" s="63"/>
      <c r="BA28" s="63"/>
      <c r="BB28" s="63"/>
      <c r="BC28" s="63"/>
      <c r="BD28" s="309">
        <f t="shared" ref="BD28:BV28" si="9">SUM(BD29:BD38)</f>
        <v>2</v>
      </c>
      <c r="BE28" s="309">
        <f t="shared" si="9"/>
        <v>2</v>
      </c>
      <c r="BF28" s="309">
        <f t="shared" si="9"/>
        <v>2</v>
      </c>
      <c r="BG28" s="309">
        <f t="shared" si="9"/>
        <v>2</v>
      </c>
      <c r="BH28" s="309">
        <f t="shared" si="9"/>
        <v>2</v>
      </c>
      <c r="BI28" s="309">
        <f t="shared" si="9"/>
        <v>2</v>
      </c>
      <c r="BJ28" s="309">
        <f t="shared" si="9"/>
        <v>2</v>
      </c>
      <c r="BK28" s="309">
        <f t="shared" si="9"/>
        <v>4</v>
      </c>
      <c r="BL28" s="309">
        <f t="shared" si="9"/>
        <v>2</v>
      </c>
      <c r="BM28" s="309">
        <f t="shared" si="9"/>
        <v>4</v>
      </c>
      <c r="BN28" s="309">
        <f t="shared" si="9"/>
        <v>2</v>
      </c>
      <c r="BO28" s="309">
        <f t="shared" si="9"/>
        <v>4</v>
      </c>
      <c r="BP28" s="309">
        <f t="shared" si="9"/>
        <v>2</v>
      </c>
      <c r="BQ28" s="309">
        <f t="shared" si="9"/>
        <v>6</v>
      </c>
      <c r="BR28" s="309">
        <f t="shared" si="9"/>
        <v>2</v>
      </c>
      <c r="BS28" s="309">
        <f t="shared" si="9"/>
        <v>4</v>
      </c>
      <c r="BT28" s="309">
        <f t="shared" si="9"/>
        <v>6</v>
      </c>
      <c r="BU28" s="309">
        <f t="shared" si="9"/>
        <v>2</v>
      </c>
      <c r="BV28" s="309">
        <f t="shared" si="9"/>
        <v>2</v>
      </c>
      <c r="BW28" s="309"/>
      <c r="BX28" s="309"/>
      <c r="BY28" s="309"/>
      <c r="BZ28" s="309"/>
      <c r="CA28" s="309"/>
      <c r="CB28" s="309"/>
      <c r="CC28" s="309"/>
      <c r="CD28" s="309"/>
      <c r="CE28" s="309"/>
      <c r="CF28" s="309"/>
      <c r="CG28" s="309"/>
      <c r="CH28" s="309"/>
      <c r="CI28" s="309"/>
      <c r="CJ28" s="309"/>
      <c r="CK28" s="309"/>
    </row>
    <row r="29" spans="2:120" s="3" customFormat="1" ht="15" customHeight="1" x14ac:dyDescent="0.25">
      <c r="B29" s="427" t="s">
        <v>555</v>
      </c>
      <c r="C29" s="15"/>
      <c r="D29" s="428"/>
      <c r="E29" s="31">
        <f>'Crono fisico'!E33</f>
        <v>58</v>
      </c>
      <c r="F29" s="31">
        <f>'Crono fisico'!F33</f>
        <v>61</v>
      </c>
      <c r="G29" s="31">
        <f>F29-E29+1</f>
        <v>4</v>
      </c>
      <c r="H29" s="63"/>
      <c r="I29" s="63"/>
      <c r="J29" s="63"/>
      <c r="K29" s="63"/>
      <c r="L29" s="63"/>
      <c r="M29" s="63"/>
      <c r="N29" s="63"/>
      <c r="O29" s="63"/>
      <c r="P29" s="63"/>
      <c r="Q29" s="63"/>
      <c r="R29" s="63"/>
      <c r="S29" s="63"/>
      <c r="T29" s="63"/>
      <c r="U29" s="63"/>
      <c r="V29" s="63"/>
      <c r="W29" s="63"/>
      <c r="X29" s="63"/>
      <c r="Y29" s="63"/>
      <c r="Z29" s="63"/>
      <c r="AA29" s="63"/>
      <c r="AB29" s="63"/>
      <c r="AC29" s="63"/>
      <c r="AD29" s="63"/>
      <c r="AE29" s="63"/>
      <c r="AF29" s="63"/>
      <c r="AG29" s="63"/>
      <c r="AH29" s="63"/>
      <c r="AI29" s="63"/>
      <c r="AJ29" s="63"/>
      <c r="AK29" s="63"/>
      <c r="AL29" s="63"/>
      <c r="AM29" s="63"/>
      <c r="AN29" s="63"/>
      <c r="AO29" s="63"/>
      <c r="AP29" s="63"/>
      <c r="AQ29" s="63"/>
      <c r="AR29" s="63"/>
      <c r="AS29" s="63"/>
      <c r="AT29" s="63"/>
      <c r="AU29" s="63"/>
      <c r="AV29" s="63"/>
      <c r="AW29" s="63"/>
      <c r="AX29" s="63"/>
      <c r="AY29" s="63"/>
      <c r="AZ29" s="63"/>
      <c r="BA29" s="63"/>
      <c r="BB29" s="63"/>
      <c r="BC29" s="63"/>
      <c r="BD29" s="63">
        <f>'Memo calc'!$J$624</f>
        <v>2</v>
      </c>
      <c r="BE29" s="63">
        <f>'Memo calc'!$J$624</f>
        <v>2</v>
      </c>
      <c r="BF29" s="63">
        <f>'Memo calc'!$J$624</f>
        <v>2</v>
      </c>
      <c r="BG29" s="63">
        <f>'Memo calc'!$J$624</f>
        <v>2</v>
      </c>
      <c r="BH29" s="63">
        <f>'Memo calc'!$J$624</f>
        <v>2</v>
      </c>
      <c r="BI29" s="63"/>
      <c r="BJ29" s="63"/>
      <c r="BK29" s="63"/>
      <c r="BL29" s="63"/>
      <c r="BM29" s="63"/>
      <c r="BN29" s="63"/>
    </row>
    <row r="30" spans="2:120" s="3" customFormat="1" ht="15" customHeight="1" x14ac:dyDescent="0.25">
      <c r="B30" s="427" t="s">
        <v>540</v>
      </c>
      <c r="C30" s="15"/>
      <c r="D30" s="428"/>
      <c r="E30" s="31">
        <f>'Crono fisico'!E35</f>
        <v>61</v>
      </c>
      <c r="F30" s="31">
        <f>'Crono fisico'!F35</f>
        <v>63</v>
      </c>
      <c r="G30" s="31">
        <f t="shared" ref="G30:G38" si="10">F30-E30+1</f>
        <v>3</v>
      </c>
      <c r="H30" s="63"/>
      <c r="I30" s="63"/>
      <c r="J30" s="63"/>
      <c r="K30" s="63"/>
      <c r="L30" s="63"/>
      <c r="M30" s="63"/>
      <c r="N30" s="63"/>
      <c r="O30" s="63"/>
      <c r="P30" s="63"/>
      <c r="Q30" s="63"/>
      <c r="R30" s="63"/>
      <c r="S30" s="63"/>
      <c r="T30" s="63"/>
      <c r="U30" s="63"/>
      <c r="V30" s="63"/>
      <c r="W30" s="63"/>
      <c r="X30" s="63"/>
      <c r="Y30" s="63"/>
      <c r="Z30" s="63"/>
      <c r="AA30" s="63"/>
      <c r="AB30" s="63"/>
      <c r="AC30" s="63"/>
      <c r="AD30" s="63"/>
      <c r="AE30" s="63"/>
      <c r="AF30" s="63"/>
      <c r="AG30" s="63"/>
      <c r="AH30" s="63"/>
      <c r="AI30" s="63"/>
      <c r="AJ30" s="63"/>
      <c r="AK30" s="63"/>
      <c r="AL30" s="63"/>
      <c r="AM30" s="63"/>
      <c r="AN30" s="63"/>
      <c r="AO30" s="63"/>
      <c r="AP30" s="63"/>
      <c r="AQ30" s="63"/>
      <c r="AR30" s="63"/>
      <c r="AS30" s="63"/>
      <c r="AT30" s="63"/>
      <c r="AU30" s="63"/>
      <c r="AV30" s="63"/>
      <c r="AW30" s="63"/>
      <c r="AX30" s="63"/>
      <c r="AY30" s="63"/>
      <c r="AZ30" s="63"/>
      <c r="BA30" s="63"/>
      <c r="BB30" s="63"/>
      <c r="BC30" s="63"/>
      <c r="BD30" s="63"/>
      <c r="BE30" s="63"/>
      <c r="BF30" s="63"/>
      <c r="BG30" s="63"/>
      <c r="BH30" s="63"/>
      <c r="BI30" s="63">
        <f>'Memo calc'!$J$759</f>
        <v>2</v>
      </c>
      <c r="BJ30" s="63">
        <f>'Memo calc'!$J$759</f>
        <v>2</v>
      </c>
      <c r="BK30" s="63">
        <f>'Memo calc'!$J$759</f>
        <v>2</v>
      </c>
      <c r="BL30" s="63"/>
      <c r="BM30" s="63"/>
      <c r="BN30" s="63"/>
    </row>
    <row r="31" spans="2:120" s="3" customFormat="1" ht="15" customHeight="1" x14ac:dyDescent="0.25">
      <c r="B31" s="304" t="s">
        <v>541</v>
      </c>
      <c r="C31" s="15"/>
      <c r="D31" s="305"/>
      <c r="E31" s="31">
        <f>'Crono fisico'!E36</f>
        <v>63</v>
      </c>
      <c r="F31" s="31">
        <f>'Crono fisico'!F36</f>
        <v>68</v>
      </c>
      <c r="G31" s="31">
        <f t="shared" si="10"/>
        <v>6</v>
      </c>
      <c r="H31" s="63"/>
      <c r="I31" s="63"/>
      <c r="J31" s="63"/>
      <c r="K31" s="63"/>
      <c r="L31" s="63"/>
      <c r="M31" s="63"/>
      <c r="N31" s="63"/>
      <c r="O31" s="63"/>
      <c r="P31" s="63"/>
      <c r="Q31" s="63"/>
      <c r="R31" s="63"/>
      <c r="S31" s="63"/>
      <c r="T31" s="63"/>
      <c r="U31" s="63"/>
      <c r="V31" s="63"/>
      <c r="W31" s="63"/>
      <c r="X31" s="63"/>
      <c r="Y31" s="63"/>
      <c r="Z31" s="63"/>
      <c r="AA31" s="63"/>
      <c r="AB31" s="63"/>
      <c r="AC31" s="63"/>
      <c r="AD31" s="63"/>
      <c r="AE31" s="63"/>
      <c r="AF31" s="63"/>
      <c r="AG31" s="63"/>
      <c r="AH31" s="63"/>
      <c r="AI31" s="63"/>
      <c r="AJ31" s="63"/>
      <c r="AK31" s="63"/>
      <c r="AL31" s="63"/>
      <c r="AM31" s="63"/>
      <c r="AN31" s="63"/>
      <c r="AO31" s="63"/>
      <c r="AP31" s="63"/>
      <c r="AQ31" s="63"/>
      <c r="AR31" s="63"/>
      <c r="AS31" s="63"/>
      <c r="AT31" s="63"/>
      <c r="AU31" s="63"/>
      <c r="AV31" s="63"/>
      <c r="AW31" s="63"/>
      <c r="AX31" s="63"/>
      <c r="AY31" s="63"/>
      <c r="AZ31" s="63"/>
      <c r="BA31" s="63"/>
      <c r="BB31" s="63"/>
      <c r="BC31" s="63"/>
      <c r="BD31" s="63"/>
      <c r="BE31" s="63"/>
      <c r="BF31" s="63"/>
      <c r="BG31" s="63"/>
      <c r="BH31" s="63"/>
      <c r="BI31" s="63"/>
      <c r="BJ31" s="63"/>
      <c r="BK31" s="63">
        <f>'Memo calc'!$J$805</f>
        <v>2</v>
      </c>
      <c r="BL31" s="63">
        <f>'Memo calc'!$J$805</f>
        <v>2</v>
      </c>
      <c r="BM31" s="63">
        <f>'Memo calc'!$J$805</f>
        <v>2</v>
      </c>
      <c r="BN31" s="63"/>
    </row>
    <row r="32" spans="2:120" s="3" customFormat="1" ht="15" customHeight="1" x14ac:dyDescent="0.25">
      <c r="B32" s="304" t="s">
        <v>782</v>
      </c>
      <c r="C32" s="15"/>
      <c r="D32" s="305"/>
      <c r="E32" s="31">
        <f>'Crono fisico'!E37</f>
        <v>68</v>
      </c>
      <c r="F32" s="31">
        <f>'Crono fisico'!F37</f>
        <v>73</v>
      </c>
      <c r="G32" s="31">
        <f t="shared" si="10"/>
        <v>6</v>
      </c>
      <c r="H32" s="63"/>
      <c r="I32" s="63"/>
      <c r="J32" s="63"/>
      <c r="K32" s="63"/>
      <c r="L32" s="63"/>
      <c r="M32" s="63"/>
      <c r="N32" s="63"/>
      <c r="O32" s="63"/>
      <c r="P32" s="63"/>
      <c r="Q32" s="63"/>
      <c r="R32" s="63"/>
      <c r="S32" s="63"/>
      <c r="T32" s="63"/>
      <c r="U32" s="63"/>
      <c r="V32" s="63"/>
      <c r="W32" s="63"/>
      <c r="X32" s="63"/>
      <c r="Y32" s="63"/>
      <c r="Z32" s="63"/>
      <c r="AA32" s="63"/>
      <c r="AB32" s="63"/>
      <c r="AC32" s="63"/>
      <c r="AD32" s="63"/>
      <c r="AE32" s="63"/>
      <c r="AF32" s="63"/>
      <c r="AG32" s="63"/>
      <c r="AH32" s="63"/>
      <c r="AI32" s="63"/>
      <c r="AJ32" s="63"/>
      <c r="AK32" s="63"/>
      <c r="AL32" s="63"/>
      <c r="AM32" s="63"/>
      <c r="AN32" s="63"/>
      <c r="AO32" s="63"/>
      <c r="AP32" s="63"/>
      <c r="AQ32" s="63"/>
      <c r="AR32" s="63"/>
      <c r="AS32" s="63"/>
      <c r="AT32" s="63"/>
      <c r="AU32" s="63"/>
      <c r="AV32" s="63"/>
      <c r="AW32" s="63"/>
      <c r="AX32" s="63"/>
      <c r="AY32" s="63"/>
      <c r="AZ32" s="63"/>
      <c r="BA32" s="63"/>
      <c r="BB32" s="63"/>
      <c r="BC32" s="63"/>
      <c r="BD32" s="63"/>
      <c r="BE32" s="63"/>
      <c r="BF32" s="63"/>
      <c r="BG32" s="63"/>
      <c r="BH32" s="63"/>
      <c r="BI32" s="63"/>
      <c r="BJ32" s="63"/>
      <c r="BK32" s="63"/>
      <c r="BL32" s="63"/>
      <c r="BM32" s="63">
        <f>'Memo calc'!$J$851</f>
        <v>2</v>
      </c>
      <c r="BN32" s="63">
        <f>'Memo calc'!$J$851</f>
        <v>2</v>
      </c>
      <c r="BO32" s="63">
        <f>'Memo calc'!$J$851</f>
        <v>2</v>
      </c>
    </row>
    <row r="33" spans="2:218" s="3" customFormat="1" ht="15" customHeight="1" x14ac:dyDescent="0.25">
      <c r="B33" s="304" t="s">
        <v>542</v>
      </c>
      <c r="C33" s="15"/>
      <c r="D33" s="305"/>
      <c r="E33" s="31">
        <f>'Crono fisico'!E38</f>
        <v>73</v>
      </c>
      <c r="F33" s="31">
        <f>'Crono fisico'!F38</f>
        <v>76</v>
      </c>
      <c r="G33" s="31">
        <f t="shared" si="10"/>
        <v>4</v>
      </c>
      <c r="H33" s="63"/>
      <c r="I33" s="63"/>
      <c r="J33" s="63"/>
      <c r="K33" s="63"/>
      <c r="L33" s="63"/>
      <c r="M33" s="63"/>
      <c r="N33" s="63"/>
      <c r="O33" s="63"/>
      <c r="P33" s="63"/>
      <c r="Q33" s="63"/>
      <c r="R33" s="63"/>
      <c r="S33" s="63"/>
      <c r="T33" s="63"/>
      <c r="U33" s="63"/>
      <c r="V33" s="63"/>
      <c r="W33" s="63"/>
      <c r="X33" s="63"/>
      <c r="Y33" s="63"/>
      <c r="Z33" s="63"/>
      <c r="AA33" s="63"/>
      <c r="AB33" s="63"/>
      <c r="AC33" s="63"/>
      <c r="AD33" s="63"/>
      <c r="AE33" s="63"/>
      <c r="AF33" s="63"/>
      <c r="AG33" s="63"/>
      <c r="AH33" s="63"/>
      <c r="AI33" s="63"/>
      <c r="AJ33" s="63"/>
      <c r="AK33" s="63"/>
      <c r="AL33" s="63"/>
      <c r="AM33" s="63"/>
      <c r="AN33" s="63"/>
      <c r="AO33" s="63"/>
      <c r="AP33" s="63"/>
      <c r="AQ33" s="63"/>
      <c r="AR33" s="63"/>
      <c r="AS33" s="63"/>
      <c r="AT33" s="63"/>
      <c r="AU33" s="63"/>
      <c r="AV33" s="63"/>
      <c r="AW33" s="63"/>
      <c r="AX33" s="63"/>
      <c r="AY33" s="63"/>
      <c r="AZ33" s="63"/>
      <c r="BA33" s="63"/>
      <c r="BB33" s="63"/>
      <c r="BC33" s="63"/>
      <c r="BD33" s="63"/>
      <c r="BE33" s="63"/>
      <c r="BF33" s="63"/>
      <c r="BG33" s="63"/>
      <c r="BH33" s="63"/>
      <c r="BI33" s="63"/>
      <c r="BJ33" s="63"/>
      <c r="BK33" s="63"/>
      <c r="BL33" s="63"/>
      <c r="BM33" s="63"/>
      <c r="BN33" s="63"/>
      <c r="BO33" s="3">
        <f>'Memo calc'!$J$897</f>
        <v>2</v>
      </c>
      <c r="BP33" s="3">
        <f>'Memo calc'!$J$897</f>
        <v>2</v>
      </c>
      <c r="BQ33" s="3">
        <f>'Memo calc'!$J$897</f>
        <v>2</v>
      </c>
    </row>
    <row r="34" spans="2:218" s="3" customFormat="1" ht="15" customHeight="1" x14ac:dyDescent="0.25">
      <c r="B34" s="304" t="s">
        <v>543</v>
      </c>
      <c r="C34" s="15"/>
      <c r="D34" s="305"/>
      <c r="E34" s="31">
        <f>'Crono fisico'!E39</f>
        <v>76</v>
      </c>
      <c r="F34" s="31">
        <f>'Crono fisico'!F39</f>
        <v>76</v>
      </c>
      <c r="G34" s="31">
        <f t="shared" si="10"/>
        <v>1</v>
      </c>
      <c r="H34" s="63"/>
      <c r="I34" s="63"/>
      <c r="J34" s="63"/>
      <c r="K34" s="63"/>
      <c r="L34" s="63"/>
      <c r="M34" s="63"/>
      <c r="N34" s="63"/>
      <c r="O34" s="63"/>
      <c r="P34" s="63"/>
      <c r="Q34" s="63"/>
      <c r="R34" s="63"/>
      <c r="S34" s="63"/>
      <c r="T34" s="63"/>
      <c r="U34" s="63"/>
      <c r="V34" s="63"/>
      <c r="W34" s="63"/>
      <c r="X34" s="63"/>
      <c r="Y34" s="63"/>
      <c r="Z34" s="63"/>
      <c r="AA34" s="63"/>
      <c r="AB34" s="63"/>
      <c r="AC34" s="63"/>
      <c r="AD34" s="63"/>
      <c r="AE34" s="63"/>
      <c r="AF34" s="63"/>
      <c r="AG34" s="63"/>
      <c r="AH34" s="63"/>
      <c r="AI34" s="63"/>
      <c r="AJ34" s="63"/>
      <c r="AK34" s="63"/>
      <c r="AL34" s="63"/>
      <c r="AM34" s="63"/>
      <c r="AN34" s="63"/>
      <c r="AO34" s="63"/>
      <c r="AP34" s="63"/>
      <c r="AQ34" s="63"/>
      <c r="AR34" s="63"/>
      <c r="AS34" s="63"/>
      <c r="AT34" s="63"/>
      <c r="AU34" s="63"/>
      <c r="AV34" s="63"/>
      <c r="AW34" s="63"/>
      <c r="AX34" s="63"/>
      <c r="AY34" s="63"/>
      <c r="AZ34" s="63"/>
      <c r="BA34" s="63"/>
      <c r="BB34" s="63"/>
      <c r="BC34" s="63"/>
      <c r="BD34" s="63"/>
      <c r="BE34" s="63"/>
      <c r="BF34" s="63"/>
      <c r="BG34" s="63"/>
      <c r="BH34" s="63"/>
      <c r="BI34" s="63"/>
      <c r="BJ34" s="63"/>
      <c r="BK34" s="63"/>
      <c r="BL34" s="63"/>
      <c r="BM34" s="63"/>
      <c r="BN34" s="63"/>
      <c r="BQ34" s="3">
        <f>'Memo calc'!J943</f>
        <v>2</v>
      </c>
    </row>
    <row r="35" spans="2:218" s="3" customFormat="1" ht="15" customHeight="1" x14ac:dyDescent="0.25">
      <c r="B35" s="304" t="s">
        <v>544</v>
      </c>
      <c r="C35" s="15"/>
      <c r="D35" s="305"/>
      <c r="E35" s="31">
        <f>'Crono fisico'!E40</f>
        <v>68</v>
      </c>
      <c r="F35" s="31">
        <f>'Crono fisico'!F40</f>
        <v>71</v>
      </c>
      <c r="G35" s="31">
        <f t="shared" si="10"/>
        <v>4</v>
      </c>
      <c r="H35" s="63"/>
      <c r="I35" s="63"/>
      <c r="J35" s="63"/>
      <c r="K35" s="63"/>
      <c r="L35" s="63"/>
      <c r="M35" s="63"/>
      <c r="N35" s="63"/>
      <c r="O35" s="63"/>
      <c r="P35" s="63"/>
      <c r="Q35" s="63"/>
      <c r="R35" s="63"/>
      <c r="S35" s="63"/>
      <c r="T35" s="63"/>
      <c r="U35" s="63"/>
      <c r="V35" s="63"/>
      <c r="W35" s="63"/>
      <c r="X35" s="63"/>
      <c r="Y35" s="63"/>
      <c r="Z35" s="63"/>
      <c r="AA35" s="63"/>
      <c r="AB35" s="63"/>
      <c r="AC35" s="63"/>
      <c r="AD35" s="63"/>
      <c r="AE35" s="63"/>
      <c r="AF35" s="63"/>
      <c r="AG35" s="63"/>
      <c r="AH35" s="63"/>
      <c r="AI35" s="63"/>
      <c r="AJ35" s="63"/>
      <c r="AK35" s="63"/>
      <c r="AL35" s="63"/>
      <c r="AM35" s="63"/>
      <c r="AN35" s="63"/>
      <c r="AO35" s="63"/>
      <c r="AP35" s="63"/>
      <c r="AQ35" s="63"/>
      <c r="AR35" s="63"/>
      <c r="AS35" s="63"/>
      <c r="AT35" s="63"/>
      <c r="AU35" s="63"/>
      <c r="AV35" s="63"/>
      <c r="AW35" s="63"/>
      <c r="AX35" s="63"/>
      <c r="AY35" s="63"/>
      <c r="AZ35" s="63"/>
      <c r="BA35" s="63"/>
      <c r="BB35" s="63"/>
      <c r="BC35" s="63"/>
      <c r="BD35" s="63"/>
      <c r="BE35" s="63"/>
      <c r="BF35" s="63"/>
      <c r="BG35" s="63"/>
      <c r="BH35" s="63"/>
      <c r="BI35" s="63"/>
      <c r="BJ35" s="63"/>
      <c r="BK35" s="63"/>
      <c r="BL35" s="63"/>
      <c r="BM35" s="63"/>
      <c r="BN35" s="63"/>
      <c r="BQ35" s="3">
        <f>'Memo calc'!$J$989</f>
        <v>2</v>
      </c>
      <c r="BR35" s="3">
        <f>'Memo calc'!$J$989</f>
        <v>2</v>
      </c>
      <c r="BS35" s="3">
        <f>'Memo calc'!$J$989</f>
        <v>2</v>
      </c>
    </row>
    <row r="36" spans="2:218" s="3" customFormat="1" ht="15" customHeight="1" x14ac:dyDescent="0.25">
      <c r="B36" s="304" t="s">
        <v>556</v>
      </c>
      <c r="C36" s="15"/>
      <c r="D36" s="305"/>
      <c r="E36" s="31">
        <f>'Crono fisico'!E41</f>
        <v>71</v>
      </c>
      <c r="F36" s="31">
        <f>'Crono fisico'!F41</f>
        <v>73</v>
      </c>
      <c r="G36" s="31">
        <f t="shared" si="10"/>
        <v>3</v>
      </c>
      <c r="H36" s="63"/>
      <c r="I36" s="63"/>
      <c r="J36" s="63"/>
      <c r="K36" s="63"/>
      <c r="L36" s="63"/>
      <c r="M36" s="63"/>
      <c r="N36" s="63"/>
      <c r="O36" s="63"/>
      <c r="P36" s="63"/>
      <c r="Q36" s="63"/>
      <c r="R36" s="63"/>
      <c r="S36" s="63"/>
      <c r="T36" s="63"/>
      <c r="U36" s="63"/>
      <c r="V36" s="63"/>
      <c r="W36" s="63"/>
      <c r="X36" s="63"/>
      <c r="Y36" s="63"/>
      <c r="Z36" s="63"/>
      <c r="AA36" s="63"/>
      <c r="AB36" s="63"/>
      <c r="AC36" s="63"/>
      <c r="AD36" s="63"/>
      <c r="AE36" s="63"/>
      <c r="AF36" s="63"/>
      <c r="AG36" s="63"/>
      <c r="AH36" s="63"/>
      <c r="AI36" s="63"/>
      <c r="AJ36" s="63"/>
      <c r="AK36" s="63"/>
      <c r="AL36" s="63"/>
      <c r="AM36" s="63"/>
      <c r="AN36" s="63"/>
      <c r="AO36" s="63"/>
      <c r="AP36" s="63"/>
      <c r="AQ36" s="63"/>
      <c r="AR36" s="63"/>
      <c r="AS36" s="63"/>
      <c r="AT36" s="63"/>
      <c r="AU36" s="63"/>
      <c r="AV36" s="63"/>
      <c r="AW36" s="63"/>
      <c r="AX36" s="63"/>
      <c r="AY36" s="63"/>
      <c r="AZ36" s="63"/>
      <c r="BA36" s="63"/>
      <c r="BB36" s="63"/>
      <c r="BC36" s="63"/>
      <c r="BD36" s="63"/>
      <c r="BE36" s="63"/>
      <c r="BF36" s="63"/>
      <c r="BG36" s="63"/>
      <c r="BH36" s="63"/>
      <c r="BI36" s="63"/>
      <c r="BJ36" s="63"/>
      <c r="BK36" s="63"/>
      <c r="BL36" s="63"/>
      <c r="BM36" s="63"/>
      <c r="BN36" s="63"/>
      <c r="BS36" s="3">
        <f>'Memo calc'!$J$1035</f>
        <v>2</v>
      </c>
      <c r="BT36" s="3">
        <f>'Memo calc'!$J$1035</f>
        <v>2</v>
      </c>
    </row>
    <row r="37" spans="2:218" s="3" customFormat="1" ht="15" customHeight="1" x14ac:dyDescent="0.25">
      <c r="B37" s="304" t="s">
        <v>557</v>
      </c>
      <c r="C37" s="15"/>
      <c r="D37" s="305"/>
      <c r="E37" s="31">
        <f>'Crono fisico'!E42</f>
        <v>73</v>
      </c>
      <c r="F37" s="31">
        <f>'Crono fisico'!F42</f>
        <v>73</v>
      </c>
      <c r="G37" s="31">
        <f t="shared" si="10"/>
        <v>1</v>
      </c>
      <c r="H37" s="63"/>
      <c r="I37" s="63"/>
      <c r="J37" s="63"/>
      <c r="K37" s="63"/>
      <c r="L37" s="63"/>
      <c r="M37" s="63"/>
      <c r="N37" s="63"/>
      <c r="O37" s="63"/>
      <c r="P37" s="63"/>
      <c r="Q37" s="63"/>
      <c r="R37" s="63"/>
      <c r="S37" s="63"/>
      <c r="T37" s="63"/>
      <c r="U37" s="63"/>
      <c r="V37" s="63"/>
      <c r="W37" s="63"/>
      <c r="X37" s="63"/>
      <c r="Y37" s="63"/>
      <c r="Z37" s="63"/>
      <c r="AA37" s="63"/>
      <c r="AB37" s="63"/>
      <c r="AC37" s="63"/>
      <c r="AD37" s="63"/>
      <c r="AE37" s="63"/>
      <c r="AF37" s="63"/>
      <c r="AG37" s="63"/>
      <c r="AH37" s="63"/>
      <c r="AI37" s="63"/>
      <c r="AJ37" s="63"/>
      <c r="AK37" s="63"/>
      <c r="AL37" s="63"/>
      <c r="AM37" s="63"/>
      <c r="AN37" s="63"/>
      <c r="AO37" s="63"/>
      <c r="AP37" s="63"/>
      <c r="AQ37" s="63"/>
      <c r="AR37" s="63"/>
      <c r="AS37" s="63"/>
      <c r="AT37" s="63"/>
      <c r="AU37" s="63"/>
      <c r="AV37" s="63"/>
      <c r="AW37" s="63"/>
      <c r="AX37" s="63"/>
      <c r="AY37" s="63"/>
      <c r="AZ37" s="63"/>
      <c r="BA37" s="63"/>
      <c r="BB37" s="63"/>
      <c r="BC37" s="63"/>
      <c r="BD37" s="63"/>
      <c r="BE37" s="63"/>
      <c r="BF37" s="63"/>
      <c r="BG37" s="63"/>
      <c r="BH37" s="63"/>
      <c r="BI37" s="63"/>
      <c r="BJ37" s="63"/>
      <c r="BK37" s="63"/>
      <c r="BL37" s="63"/>
      <c r="BM37" s="63"/>
      <c r="BN37" s="63"/>
      <c r="BT37" s="3">
        <f>'Memo calc'!J1081</f>
        <v>2</v>
      </c>
    </row>
    <row r="38" spans="2:218" s="3" customFormat="1" ht="15" customHeight="1" x14ac:dyDescent="0.25">
      <c r="B38" s="304" t="s">
        <v>560</v>
      </c>
      <c r="C38" s="15"/>
      <c r="D38" s="305"/>
      <c r="E38" s="31">
        <f>'Crono fisico'!E43</f>
        <v>73</v>
      </c>
      <c r="F38" s="31">
        <f>'Crono fisico'!F43</f>
        <v>75</v>
      </c>
      <c r="G38" s="31">
        <f t="shared" si="10"/>
        <v>3</v>
      </c>
      <c r="H38" s="63"/>
      <c r="I38" s="63"/>
      <c r="J38" s="63"/>
      <c r="K38" s="63"/>
      <c r="L38" s="63"/>
      <c r="M38" s="63"/>
      <c r="N38" s="63"/>
      <c r="O38" s="63"/>
      <c r="P38" s="63"/>
      <c r="Q38" s="63"/>
      <c r="R38" s="63"/>
      <c r="S38" s="63"/>
      <c r="T38" s="63"/>
      <c r="U38" s="63"/>
      <c r="V38" s="63"/>
      <c r="W38" s="63"/>
      <c r="X38" s="63"/>
      <c r="Y38" s="63"/>
      <c r="Z38" s="63"/>
      <c r="AA38" s="63"/>
      <c r="AB38" s="63"/>
      <c r="AC38" s="63"/>
      <c r="AD38" s="63"/>
      <c r="AE38" s="63"/>
      <c r="AF38" s="63"/>
      <c r="AG38" s="63"/>
      <c r="AH38" s="63"/>
      <c r="AI38" s="63"/>
      <c r="AJ38" s="63"/>
      <c r="AK38" s="63"/>
      <c r="AL38" s="63"/>
      <c r="AM38" s="63"/>
      <c r="AN38" s="63"/>
      <c r="AO38" s="63"/>
      <c r="AP38" s="63"/>
      <c r="AQ38" s="63"/>
      <c r="AR38" s="63"/>
      <c r="AS38" s="63"/>
      <c r="AT38" s="63"/>
      <c r="AU38" s="63"/>
      <c r="AV38" s="63"/>
      <c r="AW38" s="63"/>
      <c r="AX38" s="63"/>
      <c r="AY38" s="63"/>
      <c r="AZ38" s="63"/>
      <c r="BA38" s="63"/>
      <c r="BB38" s="63"/>
      <c r="BC38" s="63"/>
      <c r="BD38" s="63"/>
      <c r="BE38" s="63"/>
      <c r="BF38" s="63"/>
      <c r="BG38" s="63"/>
      <c r="BH38" s="63"/>
      <c r="BI38" s="63"/>
      <c r="BJ38" s="63"/>
      <c r="BK38" s="63"/>
      <c r="BL38" s="63"/>
      <c r="BM38" s="63"/>
      <c r="BN38" s="63"/>
      <c r="BT38" s="3">
        <f>'Memo calc'!$J1127</f>
        <v>2</v>
      </c>
      <c r="BU38" s="3">
        <f>'Memo calc'!$J1127</f>
        <v>2</v>
      </c>
      <c r="BV38" s="3">
        <f>'Memo calc'!$J1127</f>
        <v>2</v>
      </c>
    </row>
    <row r="39" spans="2:218" s="3" customFormat="1" ht="15" customHeight="1" x14ac:dyDescent="0.25">
      <c r="B39" s="306" t="s">
        <v>565</v>
      </c>
      <c r="C39" s="12"/>
      <c r="D39" s="307"/>
      <c r="E39" s="70">
        <f>MIN(E40:F41)</f>
        <v>1</v>
      </c>
      <c r="F39" s="70">
        <f>MAX(E40:F41)</f>
        <v>130</v>
      </c>
      <c r="G39" s="70">
        <f>F39-E39+1</f>
        <v>130</v>
      </c>
      <c r="H39" s="63"/>
      <c r="I39" s="68">
        <f t="shared" ref="I39:BT39" si="11">SUM(I40:I41)</f>
        <v>1</v>
      </c>
      <c r="J39" s="68">
        <f t="shared" si="11"/>
        <v>1</v>
      </c>
      <c r="K39" s="68">
        <f t="shared" si="11"/>
        <v>1</v>
      </c>
      <c r="L39" s="68">
        <f t="shared" si="11"/>
        <v>1</v>
      </c>
      <c r="M39" s="68">
        <f t="shared" si="11"/>
        <v>1</v>
      </c>
      <c r="N39" s="68">
        <f t="shared" si="11"/>
        <v>1</v>
      </c>
      <c r="O39" s="68">
        <f t="shared" si="11"/>
        <v>1</v>
      </c>
      <c r="P39" s="68">
        <f t="shared" si="11"/>
        <v>1</v>
      </c>
      <c r="Q39" s="68">
        <f t="shared" si="11"/>
        <v>1</v>
      </c>
      <c r="R39" s="68">
        <f t="shared" si="11"/>
        <v>1</v>
      </c>
      <c r="S39" s="68">
        <f t="shared" si="11"/>
        <v>1</v>
      </c>
      <c r="T39" s="68">
        <f t="shared" si="11"/>
        <v>1</v>
      </c>
      <c r="U39" s="68">
        <f t="shared" si="11"/>
        <v>1</v>
      </c>
      <c r="V39" s="68">
        <f t="shared" si="11"/>
        <v>1</v>
      </c>
      <c r="W39" s="68">
        <f t="shared" si="11"/>
        <v>1</v>
      </c>
      <c r="X39" s="68">
        <f t="shared" si="11"/>
        <v>1</v>
      </c>
      <c r="Y39" s="68">
        <f t="shared" si="11"/>
        <v>1</v>
      </c>
      <c r="Z39" s="68">
        <f t="shared" si="11"/>
        <v>1</v>
      </c>
      <c r="AA39" s="68">
        <f t="shared" si="11"/>
        <v>1</v>
      </c>
      <c r="AB39" s="68">
        <f t="shared" si="11"/>
        <v>1</v>
      </c>
      <c r="AC39" s="68">
        <f t="shared" si="11"/>
        <v>1</v>
      </c>
      <c r="AD39" s="68">
        <f t="shared" si="11"/>
        <v>1</v>
      </c>
      <c r="AE39" s="68">
        <f t="shared" si="11"/>
        <v>1</v>
      </c>
      <c r="AF39" s="68">
        <f t="shared" si="11"/>
        <v>1</v>
      </c>
      <c r="AG39" s="68">
        <f t="shared" si="11"/>
        <v>1</v>
      </c>
      <c r="AH39" s="68">
        <f t="shared" si="11"/>
        <v>1</v>
      </c>
      <c r="AI39" s="68">
        <f t="shared" si="11"/>
        <v>1</v>
      </c>
      <c r="AJ39" s="68">
        <f t="shared" si="11"/>
        <v>1</v>
      </c>
      <c r="AK39" s="68">
        <f t="shared" si="11"/>
        <v>1</v>
      </c>
      <c r="AL39" s="68">
        <f t="shared" si="11"/>
        <v>1</v>
      </c>
      <c r="AM39" s="68">
        <f t="shared" si="11"/>
        <v>1</v>
      </c>
      <c r="AN39" s="68">
        <f t="shared" si="11"/>
        <v>1</v>
      </c>
      <c r="AO39" s="68">
        <f t="shared" si="11"/>
        <v>1</v>
      </c>
      <c r="AP39" s="68">
        <f t="shared" si="11"/>
        <v>1</v>
      </c>
      <c r="AQ39" s="68">
        <f t="shared" si="11"/>
        <v>1</v>
      </c>
      <c r="AR39" s="68">
        <f t="shared" si="11"/>
        <v>1</v>
      </c>
      <c r="AS39" s="68">
        <f t="shared" si="11"/>
        <v>1</v>
      </c>
      <c r="AT39" s="68">
        <f t="shared" si="11"/>
        <v>1</v>
      </c>
      <c r="AU39" s="68">
        <f t="shared" si="11"/>
        <v>1</v>
      </c>
      <c r="AV39" s="68">
        <f t="shared" si="11"/>
        <v>1</v>
      </c>
      <c r="AW39" s="68">
        <f t="shared" si="11"/>
        <v>1</v>
      </c>
      <c r="AX39" s="68">
        <f t="shared" si="11"/>
        <v>1</v>
      </c>
      <c r="AY39" s="68">
        <f t="shared" si="11"/>
        <v>1</v>
      </c>
      <c r="AZ39" s="68">
        <f t="shared" si="11"/>
        <v>1</v>
      </c>
      <c r="BA39" s="68">
        <f t="shared" si="11"/>
        <v>1</v>
      </c>
      <c r="BB39" s="68">
        <f t="shared" si="11"/>
        <v>1</v>
      </c>
      <c r="BC39" s="68">
        <f t="shared" si="11"/>
        <v>1</v>
      </c>
      <c r="BD39" s="68">
        <f t="shared" si="11"/>
        <v>1</v>
      </c>
      <c r="BE39" s="68">
        <f t="shared" si="11"/>
        <v>1</v>
      </c>
      <c r="BF39" s="68">
        <f t="shared" si="11"/>
        <v>1</v>
      </c>
      <c r="BG39" s="68">
        <f t="shared" si="11"/>
        <v>1</v>
      </c>
      <c r="BH39" s="68">
        <f t="shared" si="11"/>
        <v>1</v>
      </c>
      <c r="BI39" s="68">
        <f t="shared" si="11"/>
        <v>1</v>
      </c>
      <c r="BJ39" s="68">
        <f t="shared" si="11"/>
        <v>1</v>
      </c>
      <c r="BK39" s="68">
        <f t="shared" si="11"/>
        <v>1</v>
      </c>
      <c r="BL39" s="68">
        <f t="shared" si="11"/>
        <v>1</v>
      </c>
      <c r="BM39" s="68">
        <f t="shared" si="11"/>
        <v>1</v>
      </c>
      <c r="BN39" s="68">
        <f t="shared" si="11"/>
        <v>1</v>
      </c>
      <c r="BO39" s="68">
        <f t="shared" si="11"/>
        <v>1</v>
      </c>
      <c r="BP39" s="68">
        <f t="shared" si="11"/>
        <v>1</v>
      </c>
      <c r="BQ39" s="68">
        <f t="shared" si="11"/>
        <v>1</v>
      </c>
      <c r="BR39" s="68">
        <f t="shared" si="11"/>
        <v>1</v>
      </c>
      <c r="BS39" s="68">
        <f t="shared" si="11"/>
        <v>1</v>
      </c>
      <c r="BT39" s="68">
        <f t="shared" si="11"/>
        <v>1</v>
      </c>
      <c r="BU39" s="68">
        <f t="shared" ref="BU39:CT39" si="12">SUM(BU40:BU41)</f>
        <v>1</v>
      </c>
      <c r="BV39" s="68">
        <f t="shared" si="12"/>
        <v>1</v>
      </c>
      <c r="BW39" s="68">
        <f t="shared" si="12"/>
        <v>1</v>
      </c>
      <c r="BX39" s="68">
        <f t="shared" si="12"/>
        <v>1</v>
      </c>
      <c r="BY39" s="68">
        <f t="shared" si="12"/>
        <v>1</v>
      </c>
      <c r="BZ39" s="68">
        <f t="shared" si="12"/>
        <v>1</v>
      </c>
      <c r="CA39" s="68">
        <f t="shared" si="12"/>
        <v>1</v>
      </c>
      <c r="CB39" s="68">
        <f t="shared" si="12"/>
        <v>1</v>
      </c>
      <c r="CC39" s="68">
        <f t="shared" si="12"/>
        <v>1</v>
      </c>
      <c r="CD39" s="68">
        <f t="shared" si="12"/>
        <v>1</v>
      </c>
      <c r="CE39" s="68">
        <f t="shared" si="12"/>
        <v>1</v>
      </c>
      <c r="CF39" s="68">
        <f t="shared" si="12"/>
        <v>1</v>
      </c>
      <c r="CG39" s="68">
        <f t="shared" si="12"/>
        <v>1</v>
      </c>
      <c r="CH39" s="68">
        <f t="shared" si="12"/>
        <v>1</v>
      </c>
      <c r="CI39" s="68">
        <f t="shared" si="12"/>
        <v>1</v>
      </c>
      <c r="CJ39" s="68">
        <f t="shared" si="12"/>
        <v>1</v>
      </c>
      <c r="CK39" s="68">
        <f t="shared" si="12"/>
        <v>1</v>
      </c>
      <c r="CL39" s="68">
        <f t="shared" si="12"/>
        <v>1</v>
      </c>
      <c r="CM39" s="68">
        <f t="shared" si="12"/>
        <v>1</v>
      </c>
      <c r="CN39" s="68">
        <f t="shared" si="12"/>
        <v>1</v>
      </c>
      <c r="CO39" s="68">
        <f t="shared" si="12"/>
        <v>1</v>
      </c>
      <c r="CP39" s="68">
        <f t="shared" si="12"/>
        <v>1</v>
      </c>
      <c r="CQ39" s="68">
        <f t="shared" si="12"/>
        <v>1</v>
      </c>
      <c r="CR39" s="68">
        <f t="shared" si="12"/>
        <v>1</v>
      </c>
      <c r="CS39" s="68">
        <f t="shared" si="12"/>
        <v>1</v>
      </c>
      <c r="CT39" s="68">
        <f t="shared" si="12"/>
        <v>1</v>
      </c>
      <c r="CU39" s="68">
        <f>SUM(CU40:CU41)</f>
        <v>3</v>
      </c>
      <c r="CV39" s="68">
        <f>SUM(CV40:CV41)</f>
        <v>3</v>
      </c>
      <c r="CW39" s="68">
        <f>SUM(CW40:CW41)</f>
        <v>3</v>
      </c>
      <c r="CX39" s="68">
        <f>SUM(CX40:CX41)</f>
        <v>3</v>
      </c>
      <c r="CY39" s="68">
        <f>SUM(CY40:CY41)</f>
        <v>3</v>
      </c>
      <c r="CZ39" s="68">
        <f t="shared" ref="CZ39:DA39" si="13">SUM(CZ40:CZ41)</f>
        <v>1</v>
      </c>
      <c r="DA39" s="68">
        <f t="shared" si="13"/>
        <v>1</v>
      </c>
      <c r="DB39" s="68"/>
      <c r="DC39" s="68"/>
      <c r="DD39" s="68"/>
      <c r="DE39" s="68"/>
      <c r="DF39" s="68"/>
      <c r="DG39" s="68"/>
      <c r="DH39" s="68"/>
      <c r="DI39" s="68"/>
      <c r="DJ39" s="68"/>
      <c r="DK39" s="68"/>
      <c r="DL39" s="68"/>
      <c r="DM39" s="68"/>
      <c r="DN39" s="68"/>
      <c r="DO39" s="68"/>
      <c r="DP39" s="68"/>
      <c r="GS39" s="63"/>
      <c r="GT39" s="63"/>
      <c r="GU39" s="63"/>
      <c r="GV39" s="63"/>
      <c r="GW39" s="63"/>
      <c r="GX39" s="63"/>
      <c r="GY39" s="63"/>
      <c r="GZ39" s="63"/>
      <c r="HA39" s="63"/>
      <c r="HB39" s="63"/>
      <c r="HC39" s="63"/>
      <c r="HD39" s="63"/>
      <c r="HE39" s="63"/>
      <c r="HF39" s="63"/>
      <c r="HG39" s="63"/>
      <c r="HH39" s="63"/>
      <c r="HI39" s="63"/>
      <c r="HJ39" s="63"/>
    </row>
    <row r="40" spans="2:218" s="3" customFormat="1" ht="15" customHeight="1" x14ac:dyDescent="0.25">
      <c r="B40" s="304" t="s">
        <v>926</v>
      </c>
      <c r="C40" s="15"/>
      <c r="D40" s="305"/>
      <c r="E40" s="31">
        <v>125</v>
      </c>
      <c r="F40" s="31">
        <v>130</v>
      </c>
      <c r="G40" s="31">
        <f t="shared" ref="G40:G41" si="14">F40-E40+1</f>
        <v>6</v>
      </c>
      <c r="H40" s="63"/>
      <c r="I40" s="63"/>
      <c r="J40" s="63"/>
      <c r="K40" s="63"/>
      <c r="L40" s="63"/>
      <c r="M40" s="63"/>
      <c r="N40" s="63"/>
      <c r="O40" s="63"/>
      <c r="P40" s="63"/>
      <c r="Q40" s="63"/>
      <c r="R40" s="63"/>
      <c r="S40" s="63"/>
      <c r="T40" s="63"/>
      <c r="U40" s="63"/>
      <c r="V40" s="63"/>
      <c r="W40" s="63"/>
      <c r="X40" s="63"/>
      <c r="Y40" s="63"/>
      <c r="Z40" s="63"/>
      <c r="AA40" s="63"/>
      <c r="AB40" s="63"/>
      <c r="AC40" s="63"/>
      <c r="AD40" s="63"/>
      <c r="AE40" s="63"/>
      <c r="AF40" s="63"/>
      <c r="AG40" s="63"/>
      <c r="AH40" s="63"/>
      <c r="AI40" s="63"/>
      <c r="AJ40" s="63"/>
      <c r="AK40" s="63"/>
      <c r="AL40" s="63"/>
      <c r="AM40" s="63"/>
      <c r="AN40" s="63"/>
      <c r="AO40" s="63"/>
      <c r="AP40" s="63"/>
      <c r="AQ40" s="63"/>
      <c r="AR40" s="63"/>
      <c r="AS40" s="63"/>
      <c r="AT40" s="63"/>
      <c r="AU40" s="63"/>
      <c r="AV40" s="63"/>
      <c r="AW40" s="63"/>
      <c r="AX40" s="63"/>
      <c r="AY40" s="63"/>
      <c r="AZ40" s="63"/>
      <c r="BA40" s="63"/>
      <c r="BB40" s="63"/>
      <c r="BC40" s="63"/>
      <c r="BD40" s="63"/>
      <c r="BE40" s="63"/>
      <c r="BF40" s="63"/>
      <c r="BG40" s="63"/>
      <c r="BH40" s="63"/>
      <c r="BI40" s="63"/>
      <c r="BJ40" s="63"/>
      <c r="BK40" s="63"/>
      <c r="BL40" s="63"/>
      <c r="BM40" s="63"/>
      <c r="BN40" s="63"/>
      <c r="CU40" s="3">
        <f>'Memo calc'!$J$1172</f>
        <v>2</v>
      </c>
      <c r="CV40" s="3">
        <f>'Memo calc'!$J$1172</f>
        <v>2</v>
      </c>
      <c r="CW40" s="3">
        <f>'Memo calc'!$J$1172</f>
        <v>2</v>
      </c>
      <c r="CX40" s="3">
        <f>'Memo calc'!$J$1172</f>
        <v>2</v>
      </c>
      <c r="CY40" s="3">
        <f>'Memo calc'!$J$1172</f>
        <v>2</v>
      </c>
      <c r="GS40" s="63"/>
      <c r="GT40" s="63"/>
      <c r="GU40" s="63"/>
      <c r="GV40" s="63"/>
      <c r="GW40" s="63"/>
      <c r="GX40" s="63"/>
      <c r="GY40" s="63"/>
      <c r="GZ40" s="63"/>
      <c r="HA40" s="63"/>
      <c r="HB40" s="63"/>
      <c r="HC40" s="63"/>
      <c r="HD40" s="63"/>
      <c r="HE40" s="63"/>
      <c r="HF40" s="63"/>
      <c r="HG40" s="63"/>
      <c r="HH40" s="63"/>
      <c r="HI40" s="63"/>
      <c r="HJ40" s="63"/>
    </row>
    <row r="41" spans="2:218" s="3" customFormat="1" ht="15" customHeight="1" x14ac:dyDescent="0.25">
      <c r="B41" s="304" t="s">
        <v>611</v>
      </c>
      <c r="C41" s="15"/>
      <c r="D41" s="305"/>
      <c r="E41" s="31">
        <f>E20</f>
        <v>1</v>
      </c>
      <c r="F41" s="31">
        <v>97</v>
      </c>
      <c r="G41" s="31">
        <f t="shared" si="14"/>
        <v>97</v>
      </c>
      <c r="H41" s="63"/>
      <c r="I41" s="63">
        <f>'Memo calc'!$J$1219</f>
        <v>1</v>
      </c>
      <c r="J41" s="63">
        <f>'Memo calc'!$J$1219</f>
        <v>1</v>
      </c>
      <c r="K41" s="63">
        <f>'Memo calc'!$J$1219</f>
        <v>1</v>
      </c>
      <c r="L41" s="63">
        <f>'Memo calc'!$J$1219</f>
        <v>1</v>
      </c>
      <c r="M41" s="63">
        <f>'Memo calc'!$J$1219</f>
        <v>1</v>
      </c>
      <c r="N41" s="63">
        <f>'Memo calc'!$J$1219</f>
        <v>1</v>
      </c>
      <c r="O41" s="63">
        <f>'Memo calc'!$J$1219</f>
        <v>1</v>
      </c>
      <c r="P41" s="63">
        <f>'Memo calc'!$J$1219</f>
        <v>1</v>
      </c>
      <c r="Q41" s="63">
        <f>'Memo calc'!$J$1219</f>
        <v>1</v>
      </c>
      <c r="R41" s="63">
        <f>'Memo calc'!$J$1219</f>
        <v>1</v>
      </c>
      <c r="S41" s="63">
        <f>'Memo calc'!$J$1219</f>
        <v>1</v>
      </c>
      <c r="T41" s="63">
        <f>'Memo calc'!$J$1219</f>
        <v>1</v>
      </c>
      <c r="U41" s="63">
        <f>'Memo calc'!$J$1219</f>
        <v>1</v>
      </c>
      <c r="V41" s="63">
        <f>'Memo calc'!$J$1219</f>
        <v>1</v>
      </c>
      <c r="W41" s="63">
        <f>'Memo calc'!$J$1219</f>
        <v>1</v>
      </c>
      <c r="X41" s="63">
        <f>'Memo calc'!$J$1219</f>
        <v>1</v>
      </c>
      <c r="Y41" s="63">
        <f>'Memo calc'!$J$1219</f>
        <v>1</v>
      </c>
      <c r="Z41" s="63">
        <f>'Memo calc'!$J$1219</f>
        <v>1</v>
      </c>
      <c r="AA41" s="63">
        <f>'Memo calc'!$J$1219</f>
        <v>1</v>
      </c>
      <c r="AB41" s="63">
        <f>'Memo calc'!$J$1219</f>
        <v>1</v>
      </c>
      <c r="AC41" s="63">
        <f>'Memo calc'!$J$1219</f>
        <v>1</v>
      </c>
      <c r="AD41" s="63">
        <f>'Memo calc'!$J$1219</f>
        <v>1</v>
      </c>
      <c r="AE41" s="63">
        <f>'Memo calc'!$J$1219</f>
        <v>1</v>
      </c>
      <c r="AF41" s="63">
        <f>'Memo calc'!$J$1219</f>
        <v>1</v>
      </c>
      <c r="AG41" s="63">
        <f>'Memo calc'!$J$1219</f>
        <v>1</v>
      </c>
      <c r="AH41" s="63">
        <f>'Memo calc'!$J$1219</f>
        <v>1</v>
      </c>
      <c r="AI41" s="63">
        <f>'Memo calc'!$J$1219</f>
        <v>1</v>
      </c>
      <c r="AJ41" s="63">
        <f>'Memo calc'!$J$1219</f>
        <v>1</v>
      </c>
      <c r="AK41" s="63">
        <f>'Memo calc'!$J$1219</f>
        <v>1</v>
      </c>
      <c r="AL41" s="63">
        <f>'Memo calc'!$J$1219</f>
        <v>1</v>
      </c>
      <c r="AM41" s="63">
        <f>'Memo calc'!$J$1219</f>
        <v>1</v>
      </c>
      <c r="AN41" s="63">
        <f>'Memo calc'!$J$1219</f>
        <v>1</v>
      </c>
      <c r="AO41" s="63">
        <f>'Memo calc'!$J$1219</f>
        <v>1</v>
      </c>
      <c r="AP41" s="63">
        <f>'Memo calc'!$J$1219</f>
        <v>1</v>
      </c>
      <c r="AQ41" s="63">
        <f>'Memo calc'!$J$1219</f>
        <v>1</v>
      </c>
      <c r="AR41" s="63">
        <f>'Memo calc'!$J$1219</f>
        <v>1</v>
      </c>
      <c r="AS41" s="63">
        <f>'Memo calc'!$J$1219</f>
        <v>1</v>
      </c>
      <c r="AT41" s="63">
        <f>'Memo calc'!$J$1219</f>
        <v>1</v>
      </c>
      <c r="AU41" s="63">
        <f>'Memo calc'!$J$1219</f>
        <v>1</v>
      </c>
      <c r="AV41" s="63">
        <f>'Memo calc'!$J$1219</f>
        <v>1</v>
      </c>
      <c r="AW41" s="63">
        <f>'Memo calc'!$J$1219</f>
        <v>1</v>
      </c>
      <c r="AX41" s="63">
        <f>'Memo calc'!$J$1219</f>
        <v>1</v>
      </c>
      <c r="AY41" s="63">
        <f>'Memo calc'!$J$1219</f>
        <v>1</v>
      </c>
      <c r="AZ41" s="63">
        <f>'Memo calc'!$J$1219</f>
        <v>1</v>
      </c>
      <c r="BA41" s="63">
        <f>'Memo calc'!$J$1219</f>
        <v>1</v>
      </c>
      <c r="BB41" s="63">
        <f>'Memo calc'!$J$1219</f>
        <v>1</v>
      </c>
      <c r="BC41" s="63">
        <f>'Memo calc'!$J$1219</f>
        <v>1</v>
      </c>
      <c r="BD41" s="63">
        <f>'Memo calc'!$J$1219</f>
        <v>1</v>
      </c>
      <c r="BE41" s="63">
        <f>'Memo calc'!$J$1219</f>
        <v>1</v>
      </c>
      <c r="BF41" s="63">
        <f>'Memo calc'!$J$1219</f>
        <v>1</v>
      </c>
      <c r="BG41" s="63">
        <f>'Memo calc'!$J$1219</f>
        <v>1</v>
      </c>
      <c r="BH41" s="63">
        <f>'Memo calc'!$J$1219</f>
        <v>1</v>
      </c>
      <c r="BI41" s="63">
        <f>'Memo calc'!$J$1219</f>
        <v>1</v>
      </c>
      <c r="BJ41" s="63">
        <f>'Memo calc'!$J$1219</f>
        <v>1</v>
      </c>
      <c r="BK41" s="63">
        <f>'Memo calc'!$J$1219</f>
        <v>1</v>
      </c>
      <c r="BL41" s="63">
        <f>'Memo calc'!$J$1219</f>
        <v>1</v>
      </c>
      <c r="BM41" s="63">
        <f>'Memo calc'!$J$1219</f>
        <v>1</v>
      </c>
      <c r="BN41" s="63">
        <f>'Memo calc'!$J$1219</f>
        <v>1</v>
      </c>
      <c r="BO41" s="63">
        <f>'Memo calc'!$J$1219</f>
        <v>1</v>
      </c>
      <c r="BP41" s="63">
        <f>'Memo calc'!$J$1219</f>
        <v>1</v>
      </c>
      <c r="BQ41" s="63">
        <f>'Memo calc'!$J$1219</f>
        <v>1</v>
      </c>
      <c r="BR41" s="63">
        <f>'Memo calc'!$J$1219</f>
        <v>1</v>
      </c>
      <c r="BS41" s="63">
        <f>'Memo calc'!$J$1219</f>
        <v>1</v>
      </c>
      <c r="BT41" s="63">
        <f>'Memo calc'!$J$1219</f>
        <v>1</v>
      </c>
      <c r="BU41" s="63">
        <f>'Memo calc'!$J$1219</f>
        <v>1</v>
      </c>
      <c r="BV41" s="63">
        <f>'Memo calc'!$J$1219</f>
        <v>1</v>
      </c>
      <c r="BW41" s="63">
        <f>'Memo calc'!$J$1219</f>
        <v>1</v>
      </c>
      <c r="BX41" s="63">
        <f>'Memo calc'!$J$1219</f>
        <v>1</v>
      </c>
      <c r="BY41" s="63">
        <f>'Memo calc'!$J$1219</f>
        <v>1</v>
      </c>
      <c r="BZ41" s="63">
        <f>'Memo calc'!$J$1219</f>
        <v>1</v>
      </c>
      <c r="CA41" s="63">
        <f>'Memo calc'!$J$1219</f>
        <v>1</v>
      </c>
      <c r="CB41" s="63">
        <f>'Memo calc'!$J$1219</f>
        <v>1</v>
      </c>
      <c r="CC41" s="63">
        <f>'Memo calc'!$J$1219</f>
        <v>1</v>
      </c>
      <c r="CD41" s="63">
        <f>'Memo calc'!$J$1219</f>
        <v>1</v>
      </c>
      <c r="CE41" s="63">
        <f>'Memo calc'!$J$1219</f>
        <v>1</v>
      </c>
      <c r="CF41" s="63">
        <f>'Memo calc'!$J$1219</f>
        <v>1</v>
      </c>
      <c r="CG41" s="63">
        <f>'Memo calc'!$J$1219</f>
        <v>1</v>
      </c>
      <c r="CH41" s="63">
        <f>'Memo calc'!$J$1219</f>
        <v>1</v>
      </c>
      <c r="CI41" s="63">
        <f>'Memo calc'!$J$1219</f>
        <v>1</v>
      </c>
      <c r="CJ41" s="63">
        <f>'Memo calc'!$J$1219</f>
        <v>1</v>
      </c>
      <c r="CK41" s="63">
        <f>'Memo calc'!$J$1219</f>
        <v>1</v>
      </c>
      <c r="CL41" s="63">
        <f>'Memo calc'!$J$1219</f>
        <v>1</v>
      </c>
      <c r="CM41" s="63">
        <f>'Memo calc'!$J$1219</f>
        <v>1</v>
      </c>
      <c r="CN41" s="63">
        <f>'Memo calc'!$J$1219</f>
        <v>1</v>
      </c>
      <c r="CO41" s="63">
        <f>'Memo calc'!$J$1219</f>
        <v>1</v>
      </c>
      <c r="CP41" s="63">
        <f>'Memo calc'!$J$1219</f>
        <v>1</v>
      </c>
      <c r="CQ41" s="63">
        <f>'Memo calc'!$J$1219</f>
        <v>1</v>
      </c>
      <c r="CR41" s="63">
        <f>'Memo calc'!$J$1219</f>
        <v>1</v>
      </c>
      <c r="CS41" s="63">
        <f>'Memo calc'!$J$1219</f>
        <v>1</v>
      </c>
      <c r="CT41" s="63">
        <f>'Memo calc'!$J$1219</f>
        <v>1</v>
      </c>
      <c r="CU41" s="63">
        <f>'Memo calc'!$J$1219</f>
        <v>1</v>
      </c>
      <c r="CV41" s="63">
        <f>'Memo calc'!$J$1219</f>
        <v>1</v>
      </c>
      <c r="CW41" s="63">
        <f>'Memo calc'!$J$1219</f>
        <v>1</v>
      </c>
      <c r="CX41" s="63">
        <f>'Memo calc'!$J$1219</f>
        <v>1</v>
      </c>
      <c r="CY41" s="63">
        <f>'Memo calc'!$J$1219</f>
        <v>1</v>
      </c>
      <c r="CZ41" s="63">
        <f>'Memo calc'!$J$1219</f>
        <v>1</v>
      </c>
      <c r="DA41" s="63">
        <f>'Memo calc'!$J$1219</f>
        <v>1</v>
      </c>
      <c r="GS41" s="63"/>
      <c r="GT41" s="63"/>
      <c r="GU41" s="63"/>
      <c r="GV41" s="63"/>
      <c r="GW41" s="63"/>
      <c r="GX41" s="63"/>
      <c r="GY41" s="63"/>
      <c r="GZ41" s="63"/>
      <c r="HA41" s="63"/>
      <c r="HB41" s="63"/>
      <c r="HC41" s="63"/>
      <c r="HD41" s="63"/>
      <c r="HE41" s="63"/>
      <c r="HF41" s="63"/>
      <c r="HG41" s="63"/>
      <c r="HH41" s="63"/>
      <c r="HI41" s="63"/>
      <c r="HJ41" s="63"/>
    </row>
    <row r="42" spans="2:218" s="3" customFormat="1" ht="15" customHeight="1" x14ac:dyDescent="0.25">
      <c r="B42" s="431" t="s">
        <v>1179</v>
      </c>
      <c r="C42" s="12"/>
      <c r="D42" s="432"/>
      <c r="E42" s="70">
        <f>MIN(E43:F46)</f>
        <v>195</v>
      </c>
      <c r="F42" s="70">
        <f>MAX(E43:F46)</f>
        <v>203</v>
      </c>
      <c r="G42" s="70">
        <f>F42-E42+1</f>
        <v>9</v>
      </c>
      <c r="H42" s="63"/>
      <c r="I42" s="63"/>
      <c r="J42" s="63"/>
      <c r="K42" s="63"/>
      <c r="L42" s="63"/>
      <c r="M42" s="63"/>
      <c r="N42" s="63"/>
      <c r="O42" s="63"/>
      <c r="P42" s="63"/>
      <c r="Q42" s="63"/>
      <c r="R42" s="63"/>
      <c r="S42" s="63"/>
      <c r="T42" s="63"/>
      <c r="U42" s="63"/>
      <c r="V42" s="63"/>
      <c r="W42" s="63"/>
      <c r="X42" s="63"/>
      <c r="Y42" s="63"/>
      <c r="Z42" s="63"/>
      <c r="AA42" s="63"/>
      <c r="AB42" s="63"/>
      <c r="AC42" s="63"/>
      <c r="AD42" s="63"/>
      <c r="AE42" s="63"/>
      <c r="AF42" s="63"/>
      <c r="AG42" s="63"/>
      <c r="AH42" s="63"/>
      <c r="AI42" s="63"/>
      <c r="AJ42" s="63"/>
      <c r="AK42" s="63"/>
      <c r="AL42" s="63"/>
      <c r="AM42" s="63"/>
      <c r="AN42" s="63"/>
      <c r="AO42" s="63"/>
      <c r="AP42" s="63"/>
      <c r="AQ42" s="63"/>
      <c r="AR42" s="63"/>
      <c r="AS42" s="63"/>
      <c r="AT42" s="63"/>
      <c r="AU42" s="63"/>
      <c r="AV42" s="63"/>
      <c r="AW42" s="63"/>
      <c r="AX42" s="63"/>
      <c r="AY42" s="63"/>
      <c r="AZ42" s="63"/>
      <c r="BA42" s="63"/>
      <c r="BB42" s="63"/>
      <c r="BC42" s="63"/>
      <c r="BD42" s="63"/>
      <c r="BE42" s="63"/>
      <c r="BF42" s="63"/>
      <c r="BG42" s="63"/>
      <c r="BH42" s="63"/>
      <c r="BI42" s="63"/>
      <c r="BJ42" s="63"/>
      <c r="BK42" s="63"/>
      <c r="BL42" s="63"/>
      <c r="BM42" s="63"/>
      <c r="BN42" s="63"/>
      <c r="BO42" s="63"/>
      <c r="BP42" s="63"/>
      <c r="BQ42" s="63"/>
      <c r="BR42" s="68"/>
      <c r="BS42" s="68"/>
      <c r="BT42" s="68"/>
      <c r="BU42" s="68"/>
      <c r="BV42" s="68"/>
      <c r="BW42" s="68"/>
      <c r="BX42" s="68"/>
      <c r="BY42" s="68"/>
      <c r="BZ42" s="68"/>
      <c r="CA42" s="68"/>
      <c r="CB42" s="68"/>
      <c r="CC42" s="68"/>
      <c r="CD42" s="68"/>
      <c r="CE42" s="68"/>
      <c r="CF42" s="68"/>
      <c r="CG42" s="68"/>
      <c r="CH42" s="68"/>
      <c r="CI42" s="68"/>
      <c r="CJ42" s="68"/>
      <c r="CK42" s="68"/>
      <c r="CL42" s="68"/>
      <c r="CM42" s="68"/>
      <c r="CN42" s="68"/>
      <c r="CO42" s="68"/>
      <c r="CP42" s="68"/>
      <c r="CQ42" s="68"/>
      <c r="CR42" s="68"/>
      <c r="CS42" s="68"/>
      <c r="CT42" s="68"/>
      <c r="CU42" s="68"/>
      <c r="CV42" s="68"/>
      <c r="CW42" s="68"/>
      <c r="CX42" s="68"/>
      <c r="CY42" s="68"/>
      <c r="CZ42" s="68"/>
      <c r="DA42" s="68"/>
      <c r="DB42" s="68"/>
      <c r="DC42" s="68"/>
      <c r="DD42" s="68"/>
      <c r="DE42" s="68"/>
      <c r="DF42" s="68"/>
      <c r="DG42" s="68"/>
      <c r="DH42" s="68"/>
      <c r="DI42" s="68"/>
      <c r="DJ42" s="68"/>
      <c r="DK42" s="68"/>
      <c r="DL42" s="68"/>
      <c r="DM42" s="68"/>
      <c r="DN42" s="68"/>
      <c r="DO42" s="68"/>
      <c r="DP42" s="68"/>
      <c r="DQ42" s="68"/>
      <c r="DR42" s="68"/>
      <c r="DS42" s="68"/>
      <c r="DT42" s="68"/>
      <c r="DU42" s="68"/>
      <c r="DV42" s="68"/>
      <c r="DW42" s="68"/>
      <c r="DX42" s="68"/>
      <c r="DY42" s="68"/>
      <c r="DZ42" s="68"/>
      <c r="EA42" s="68"/>
      <c r="EB42" s="68"/>
      <c r="EC42" s="68"/>
      <c r="ED42" s="68"/>
      <c r="EE42" s="68"/>
      <c r="EF42" s="68"/>
      <c r="EG42" s="68"/>
      <c r="EH42" s="68"/>
      <c r="EI42" s="68"/>
      <c r="EJ42" s="68"/>
      <c r="EK42" s="68"/>
      <c r="EL42" s="68"/>
      <c r="EM42" s="68"/>
      <c r="EN42" s="68"/>
      <c r="EO42" s="68"/>
      <c r="EP42" s="68"/>
      <c r="EQ42" s="68"/>
      <c r="ER42" s="68"/>
      <c r="ES42" s="68"/>
      <c r="ET42" s="68"/>
      <c r="EU42" s="68"/>
      <c r="EV42" s="68"/>
      <c r="EW42" s="68"/>
      <c r="EX42" s="68"/>
      <c r="EY42" s="68"/>
      <c r="EZ42" s="68"/>
      <c r="FA42" s="68"/>
      <c r="FB42" s="68"/>
      <c r="FC42" s="68"/>
      <c r="GS42" s="63"/>
      <c r="GT42" s="63"/>
      <c r="GU42" s="309">
        <v>4</v>
      </c>
      <c r="GV42" s="309">
        <v>4</v>
      </c>
      <c r="GW42" s="309">
        <v>4</v>
      </c>
      <c r="GX42" s="309">
        <v>4</v>
      </c>
      <c r="GY42" s="309">
        <v>5</v>
      </c>
      <c r="GZ42" s="309">
        <v>1</v>
      </c>
      <c r="HA42" s="63"/>
      <c r="HB42" s="63"/>
      <c r="HC42" s="63"/>
      <c r="HD42" s="63"/>
      <c r="HE42" s="63"/>
      <c r="HF42" s="63"/>
      <c r="HG42" s="63"/>
      <c r="HH42" s="63"/>
      <c r="HI42" s="63"/>
      <c r="HJ42" s="63"/>
    </row>
    <row r="43" spans="2:218" s="3" customFormat="1" ht="15" customHeight="1" x14ac:dyDescent="0.25">
      <c r="B43" s="427" t="s">
        <v>1186</v>
      </c>
      <c r="C43" s="15"/>
      <c r="D43" s="428"/>
      <c r="E43" s="31">
        <f>'Crono fisico'!E66</f>
        <v>196</v>
      </c>
      <c r="F43" s="31">
        <f>'Crono fisico'!F66</f>
        <v>198</v>
      </c>
      <c r="G43" s="31">
        <f t="shared" ref="G43:G46" si="15">F43-E43+1</f>
        <v>3</v>
      </c>
      <c r="H43" s="63"/>
      <c r="I43" s="63"/>
      <c r="J43" s="63"/>
      <c r="K43" s="63"/>
      <c r="L43" s="63"/>
      <c r="M43" s="63"/>
      <c r="N43" s="63"/>
      <c r="O43" s="63"/>
      <c r="P43" s="63"/>
      <c r="Q43" s="63"/>
      <c r="R43" s="63"/>
      <c r="S43" s="63"/>
      <c r="T43" s="63"/>
      <c r="U43" s="63"/>
      <c r="V43" s="63"/>
      <c r="W43" s="63"/>
      <c r="X43" s="63"/>
      <c r="Y43" s="63"/>
      <c r="Z43" s="63"/>
      <c r="AA43" s="63"/>
      <c r="AB43" s="63"/>
      <c r="AC43" s="63"/>
      <c r="AD43" s="63"/>
      <c r="AE43" s="63"/>
      <c r="AF43" s="63"/>
      <c r="AG43" s="63"/>
      <c r="AH43" s="63"/>
      <c r="AI43" s="63"/>
      <c r="AJ43" s="63"/>
      <c r="AK43" s="63"/>
      <c r="AL43" s="63"/>
      <c r="AM43" s="63"/>
      <c r="AN43" s="63"/>
      <c r="AO43" s="63"/>
      <c r="AP43" s="63"/>
      <c r="AQ43" s="63"/>
      <c r="AR43" s="63"/>
      <c r="AS43" s="63"/>
      <c r="AT43" s="63"/>
      <c r="AU43" s="63"/>
      <c r="AV43" s="63"/>
      <c r="AW43" s="63"/>
      <c r="AX43" s="63"/>
      <c r="AY43" s="63"/>
      <c r="AZ43" s="63"/>
      <c r="BA43" s="63"/>
      <c r="BB43" s="63"/>
      <c r="BC43" s="63"/>
      <c r="BD43" s="63"/>
      <c r="BE43" s="63"/>
      <c r="BF43" s="63"/>
      <c r="BG43" s="63"/>
      <c r="BH43" s="63"/>
      <c r="BI43" s="63"/>
      <c r="BJ43" s="63"/>
      <c r="BK43" s="63"/>
      <c r="BL43" s="63"/>
      <c r="BM43" s="63"/>
      <c r="BN43" s="63"/>
      <c r="BO43" s="63"/>
      <c r="BP43" s="63"/>
      <c r="BQ43" s="63"/>
      <c r="BR43" s="68"/>
      <c r="BS43" s="68"/>
      <c r="BT43" s="68"/>
      <c r="BU43" s="68"/>
      <c r="BV43" s="68"/>
      <c r="BW43" s="68"/>
      <c r="BX43" s="68"/>
      <c r="BY43" s="68"/>
      <c r="BZ43" s="68"/>
      <c r="CA43" s="68"/>
      <c r="CB43" s="68"/>
      <c r="CC43" s="68"/>
      <c r="CD43" s="68"/>
      <c r="CE43" s="68"/>
      <c r="CF43" s="68"/>
      <c r="CG43" s="68"/>
      <c r="CH43" s="68"/>
      <c r="CI43" s="68"/>
      <c r="CJ43" s="68"/>
      <c r="CK43" s="68"/>
      <c r="CL43" s="68"/>
      <c r="CM43" s="68"/>
      <c r="CN43" s="68"/>
      <c r="CO43" s="68"/>
      <c r="CP43" s="68"/>
      <c r="CQ43" s="68"/>
      <c r="CR43" s="68"/>
      <c r="CS43" s="68"/>
      <c r="CT43" s="68"/>
      <c r="CU43" s="68"/>
      <c r="CV43" s="68"/>
      <c r="CW43" s="68"/>
      <c r="CX43" s="68"/>
      <c r="CY43" s="68"/>
      <c r="CZ43" s="68"/>
      <c r="DA43" s="68"/>
      <c r="DB43" s="68"/>
      <c r="DC43" s="68"/>
      <c r="DD43" s="68"/>
      <c r="DE43" s="68"/>
      <c r="DF43" s="68"/>
      <c r="DG43" s="68"/>
      <c r="DH43" s="68"/>
      <c r="DI43" s="68"/>
      <c r="DJ43" s="68"/>
      <c r="DK43" s="68"/>
      <c r="DL43" s="68"/>
      <c r="DM43" s="68"/>
      <c r="DN43" s="68"/>
      <c r="DO43" s="68"/>
      <c r="DP43" s="68"/>
      <c r="DQ43" s="68"/>
      <c r="DR43" s="68"/>
      <c r="DS43" s="68"/>
      <c r="DT43" s="68"/>
      <c r="DU43" s="68"/>
      <c r="DV43" s="68"/>
      <c r="DW43" s="68"/>
      <c r="DX43" s="68"/>
      <c r="DY43" s="63"/>
      <c r="DZ43" s="63"/>
      <c r="EA43" s="63"/>
      <c r="EB43" s="63"/>
      <c r="EC43" s="63"/>
      <c r="ED43" s="63"/>
      <c r="EE43" s="63"/>
      <c r="EF43" s="63"/>
      <c r="EG43" s="63"/>
      <c r="EH43" s="63"/>
      <c r="EI43" s="63"/>
      <c r="EJ43" s="63"/>
      <c r="EK43" s="63"/>
      <c r="EL43" s="63"/>
      <c r="EM43" s="63"/>
      <c r="EN43" s="63"/>
      <c r="EO43" s="63"/>
      <c r="EP43" s="63"/>
      <c r="EQ43" s="63"/>
      <c r="ER43" s="63"/>
      <c r="ES43" s="63"/>
      <c r="ET43" s="63"/>
      <c r="EU43" s="63"/>
      <c r="EV43" s="63"/>
      <c r="EW43" s="63"/>
      <c r="EX43" s="63"/>
      <c r="EY43" s="63"/>
      <c r="EZ43" s="63"/>
      <c r="FA43" s="63"/>
      <c r="FB43" s="63"/>
      <c r="FC43" s="63"/>
      <c r="FD43" s="63"/>
      <c r="FE43" s="63"/>
      <c r="FF43" s="63"/>
      <c r="FG43" s="63"/>
      <c r="FH43" s="63"/>
      <c r="FI43" s="63"/>
      <c r="FJ43" s="63"/>
      <c r="FK43" s="63"/>
      <c r="FL43" s="63"/>
      <c r="FM43" s="63"/>
      <c r="FN43" s="63"/>
      <c r="FO43" s="63"/>
      <c r="FP43" s="63"/>
      <c r="FQ43" s="63"/>
      <c r="FR43" s="63"/>
      <c r="FS43" s="63"/>
      <c r="FT43" s="63"/>
      <c r="FU43" s="63"/>
      <c r="FV43" s="63"/>
      <c r="FW43" s="63"/>
      <c r="FX43" s="63"/>
      <c r="FY43" s="63"/>
      <c r="FZ43" s="63"/>
      <c r="GA43" s="63"/>
      <c r="GB43" s="63"/>
      <c r="GC43" s="63"/>
      <c r="GD43" s="63"/>
      <c r="GE43" s="63"/>
      <c r="GF43" s="63"/>
      <c r="GG43" s="63"/>
      <c r="GH43" s="63"/>
      <c r="GI43" s="63"/>
      <c r="GJ43" s="63"/>
      <c r="GK43" s="63"/>
      <c r="GL43" s="63"/>
      <c r="GM43" s="63"/>
      <c r="GN43" s="63"/>
      <c r="GO43" s="63"/>
      <c r="GP43" s="63"/>
      <c r="GQ43" s="63"/>
      <c r="GR43" s="63"/>
      <c r="GS43" s="63"/>
      <c r="GT43" s="63"/>
      <c r="GU43" s="63">
        <f>'Memo calc'!$J$1380</f>
        <v>4</v>
      </c>
      <c r="GV43" s="63">
        <f>'Memo calc'!$J$1380</f>
        <v>4</v>
      </c>
      <c r="GW43" s="63">
        <f>'Memo calc'!$J$1380</f>
        <v>4</v>
      </c>
      <c r="GX43" s="63"/>
      <c r="GY43" s="63"/>
      <c r="GZ43" s="63"/>
      <c r="HA43" s="63"/>
      <c r="HB43" s="63"/>
      <c r="HC43" s="63"/>
      <c r="HD43" s="63"/>
      <c r="HE43" s="63"/>
      <c r="HF43" s="63"/>
      <c r="HG43" s="63"/>
      <c r="HH43" s="63"/>
      <c r="HI43" s="63"/>
      <c r="HJ43" s="63"/>
    </row>
    <row r="44" spans="2:218" s="3" customFormat="1" ht="15" customHeight="1" x14ac:dyDescent="0.25">
      <c r="B44" s="427" t="s">
        <v>1210</v>
      </c>
      <c r="C44" s="15"/>
      <c r="D44" s="428"/>
      <c r="E44" s="31">
        <f>'Crono fisico'!E67</f>
        <v>195</v>
      </c>
      <c r="F44" s="31">
        <f>'Crono fisico'!F67</f>
        <v>195</v>
      </c>
      <c r="G44" s="31">
        <f t="shared" si="15"/>
        <v>1</v>
      </c>
      <c r="H44" s="63"/>
      <c r="I44" s="63"/>
      <c r="J44" s="63"/>
      <c r="K44" s="63"/>
      <c r="L44" s="63"/>
      <c r="M44" s="63"/>
      <c r="N44" s="63"/>
      <c r="O44" s="63"/>
      <c r="P44" s="63"/>
      <c r="Q44" s="63"/>
      <c r="R44" s="63"/>
      <c r="S44" s="63"/>
      <c r="T44" s="63"/>
      <c r="U44" s="63"/>
      <c r="V44" s="63"/>
      <c r="W44" s="63"/>
      <c r="X44" s="63"/>
      <c r="Y44" s="63"/>
      <c r="Z44" s="63"/>
      <c r="AA44" s="63"/>
      <c r="AB44" s="63"/>
      <c r="AC44" s="63"/>
      <c r="AD44" s="63"/>
      <c r="AE44" s="63"/>
      <c r="AF44" s="63"/>
      <c r="AG44" s="63"/>
      <c r="AH44" s="63"/>
      <c r="AI44" s="63"/>
      <c r="AJ44" s="63"/>
      <c r="AK44" s="63"/>
      <c r="AL44" s="63"/>
      <c r="AM44" s="63"/>
      <c r="AN44" s="63"/>
      <c r="AO44" s="63"/>
      <c r="AP44" s="63"/>
      <c r="AQ44" s="63"/>
      <c r="AR44" s="63"/>
      <c r="AS44" s="63"/>
      <c r="AT44" s="63"/>
      <c r="AU44" s="63"/>
      <c r="AV44" s="63"/>
      <c r="AW44" s="63"/>
      <c r="AX44" s="63"/>
      <c r="AY44" s="63"/>
      <c r="AZ44" s="63"/>
      <c r="BA44" s="63"/>
      <c r="BB44" s="63"/>
      <c r="BC44" s="63"/>
      <c r="BD44" s="63"/>
      <c r="BE44" s="63"/>
      <c r="BF44" s="63"/>
      <c r="BG44" s="63"/>
      <c r="BH44" s="63"/>
      <c r="BI44" s="63"/>
      <c r="BJ44" s="63"/>
      <c r="BK44" s="63"/>
      <c r="BL44" s="63"/>
      <c r="BM44" s="63"/>
      <c r="BN44" s="63"/>
      <c r="BO44" s="63"/>
      <c r="BP44" s="63"/>
      <c r="BQ44" s="63"/>
      <c r="BR44" s="68"/>
      <c r="BS44" s="68"/>
      <c r="BT44" s="68"/>
      <c r="BU44" s="68"/>
      <c r="BV44" s="68"/>
      <c r="BW44" s="68"/>
      <c r="BX44" s="68"/>
      <c r="BY44" s="68"/>
      <c r="BZ44" s="68"/>
      <c r="CA44" s="68"/>
      <c r="CB44" s="68"/>
      <c r="CC44" s="68"/>
      <c r="CD44" s="68"/>
      <c r="CE44" s="68"/>
      <c r="CF44" s="68"/>
      <c r="CG44" s="68"/>
      <c r="CH44" s="68"/>
      <c r="CI44" s="68"/>
      <c r="CJ44" s="68"/>
      <c r="CK44" s="68"/>
      <c r="CL44" s="68"/>
      <c r="CM44" s="68"/>
      <c r="CN44" s="68"/>
      <c r="CO44" s="68"/>
      <c r="CP44" s="68"/>
      <c r="CQ44" s="68"/>
      <c r="CR44" s="68"/>
      <c r="CS44" s="68"/>
      <c r="CT44" s="68"/>
      <c r="CU44" s="68"/>
      <c r="CV44" s="68"/>
      <c r="CW44" s="68"/>
      <c r="CX44" s="68"/>
      <c r="CY44" s="68"/>
      <c r="CZ44" s="68"/>
      <c r="DA44" s="68"/>
      <c r="DB44" s="68"/>
      <c r="DC44" s="68"/>
      <c r="DD44" s="68"/>
      <c r="DE44" s="68"/>
      <c r="DF44" s="68"/>
      <c r="DG44" s="68"/>
      <c r="DH44" s="68"/>
      <c r="DI44" s="68"/>
      <c r="DJ44" s="68"/>
      <c r="DK44" s="68"/>
      <c r="DL44" s="68"/>
      <c r="DM44" s="68"/>
      <c r="DN44" s="68"/>
      <c r="DO44" s="68"/>
      <c r="DP44" s="68"/>
      <c r="DQ44" s="68"/>
      <c r="DR44" s="68"/>
      <c r="DS44" s="68"/>
      <c r="DT44" s="68"/>
      <c r="DU44" s="68"/>
      <c r="DV44" s="68"/>
      <c r="DW44" s="68"/>
      <c r="DX44" s="68"/>
      <c r="DY44" s="63"/>
      <c r="DZ44" s="63"/>
      <c r="EA44" s="63"/>
      <c r="EB44" s="63"/>
      <c r="EC44" s="63"/>
      <c r="ED44" s="63"/>
      <c r="EE44" s="63"/>
      <c r="EF44" s="63"/>
      <c r="EG44" s="63"/>
      <c r="EH44" s="63"/>
      <c r="EI44" s="63"/>
      <c r="EJ44" s="63"/>
      <c r="EK44" s="63"/>
      <c r="EL44" s="63"/>
      <c r="EM44" s="63"/>
      <c r="EN44" s="63"/>
      <c r="EO44" s="63"/>
      <c r="EP44" s="63"/>
      <c r="EQ44" s="63"/>
      <c r="ER44" s="63"/>
      <c r="ES44" s="63"/>
      <c r="ET44" s="63"/>
      <c r="EU44" s="63"/>
      <c r="EV44" s="63"/>
      <c r="EW44" s="63"/>
      <c r="EX44" s="63"/>
      <c r="EY44" s="63"/>
      <c r="EZ44" s="63"/>
      <c r="FA44" s="63"/>
      <c r="FB44" s="63"/>
      <c r="FC44" s="63"/>
      <c r="FD44" s="63"/>
      <c r="FE44" s="63"/>
      <c r="FF44" s="63"/>
      <c r="FG44" s="63"/>
      <c r="FH44" s="63"/>
      <c r="FI44" s="63"/>
      <c r="FJ44" s="63"/>
      <c r="FK44" s="63"/>
      <c r="FL44" s="63"/>
      <c r="FM44" s="63"/>
      <c r="FN44" s="63"/>
      <c r="FO44" s="63"/>
      <c r="FP44" s="63"/>
      <c r="FQ44" s="63"/>
      <c r="FR44" s="63"/>
      <c r="FS44" s="63"/>
      <c r="FT44" s="63"/>
      <c r="FU44" s="63"/>
      <c r="FV44" s="63"/>
      <c r="FW44" s="63"/>
      <c r="FX44" s="63"/>
      <c r="FY44" s="63"/>
      <c r="FZ44" s="63"/>
      <c r="GA44" s="63"/>
      <c r="GB44" s="63"/>
      <c r="GC44" s="63"/>
      <c r="GD44" s="63"/>
      <c r="GE44" s="63"/>
      <c r="GF44" s="63"/>
      <c r="GG44" s="63"/>
      <c r="GH44" s="63"/>
      <c r="GI44" s="63"/>
      <c r="GJ44" s="63"/>
      <c r="GK44" s="63"/>
      <c r="GL44" s="63"/>
      <c r="GM44" s="63"/>
      <c r="GN44" s="63"/>
      <c r="GO44" s="63"/>
      <c r="GP44" s="63"/>
      <c r="GQ44" s="63"/>
      <c r="GR44" s="63"/>
      <c r="GS44" s="63"/>
      <c r="GT44" s="63"/>
      <c r="GU44" s="63"/>
      <c r="GV44" s="63"/>
      <c r="GW44" s="63"/>
      <c r="GX44" s="63"/>
      <c r="GY44" s="63"/>
      <c r="GZ44" s="63"/>
      <c r="HA44" s="63"/>
      <c r="HB44" s="63"/>
      <c r="HC44" s="63"/>
      <c r="HD44" s="63"/>
      <c r="HE44" s="63"/>
      <c r="HF44" s="63"/>
      <c r="HG44" s="63"/>
      <c r="HH44" s="63"/>
      <c r="HI44" s="63"/>
      <c r="HJ44" s="63"/>
    </row>
    <row r="45" spans="2:218" s="3" customFormat="1" ht="15" customHeight="1" x14ac:dyDescent="0.25">
      <c r="B45" s="427" t="s">
        <v>1187</v>
      </c>
      <c r="C45" s="15"/>
      <c r="D45" s="428"/>
      <c r="E45" s="31">
        <f>'Crono fisico'!E68</f>
        <v>196</v>
      </c>
      <c r="F45" s="31">
        <f>'Crono fisico'!F68</f>
        <v>202</v>
      </c>
      <c r="G45" s="31">
        <f t="shared" si="15"/>
        <v>7</v>
      </c>
      <c r="H45" s="63"/>
      <c r="I45" s="63"/>
      <c r="J45" s="63"/>
      <c r="K45" s="63"/>
      <c r="L45" s="63"/>
      <c r="M45" s="63"/>
      <c r="N45" s="63"/>
      <c r="O45" s="63"/>
      <c r="P45" s="63"/>
      <c r="Q45" s="63"/>
      <c r="R45" s="63"/>
      <c r="S45" s="63"/>
      <c r="T45" s="63"/>
      <c r="U45" s="63"/>
      <c r="V45" s="63"/>
      <c r="W45" s="63"/>
      <c r="X45" s="63"/>
      <c r="Y45" s="63"/>
      <c r="Z45" s="63"/>
      <c r="AA45" s="63"/>
      <c r="AB45" s="63"/>
      <c r="AC45" s="63"/>
      <c r="AD45" s="63"/>
      <c r="AE45" s="63"/>
      <c r="AF45" s="63"/>
      <c r="AG45" s="63"/>
      <c r="AH45" s="63"/>
      <c r="AI45" s="63"/>
      <c r="AJ45" s="63"/>
      <c r="AK45" s="63"/>
      <c r="AL45" s="63"/>
      <c r="AM45" s="63"/>
      <c r="AN45" s="63"/>
      <c r="AO45" s="63"/>
      <c r="AP45" s="63"/>
      <c r="AQ45" s="63"/>
      <c r="AR45" s="63"/>
      <c r="AS45" s="63"/>
      <c r="AT45" s="63"/>
      <c r="AU45" s="63"/>
      <c r="AV45" s="63"/>
      <c r="AW45" s="63"/>
      <c r="AX45" s="63"/>
      <c r="AY45" s="63"/>
      <c r="AZ45" s="63"/>
      <c r="BA45" s="63"/>
      <c r="BB45" s="63"/>
      <c r="BC45" s="63"/>
      <c r="BD45" s="63"/>
      <c r="BE45" s="63"/>
      <c r="BF45" s="63"/>
      <c r="BG45" s="63"/>
      <c r="BH45" s="63"/>
      <c r="BI45" s="63"/>
      <c r="BJ45" s="63"/>
      <c r="BK45" s="63"/>
      <c r="BL45" s="63"/>
      <c r="BM45" s="63"/>
      <c r="BN45" s="63"/>
      <c r="BO45" s="63"/>
      <c r="BP45" s="63"/>
      <c r="BQ45" s="63"/>
      <c r="BR45" s="68"/>
      <c r="BS45" s="68"/>
      <c r="BT45" s="68"/>
      <c r="BU45" s="68"/>
      <c r="BV45" s="68"/>
      <c r="BW45" s="68"/>
      <c r="BX45" s="68"/>
      <c r="BY45" s="68"/>
      <c r="BZ45" s="68"/>
      <c r="CA45" s="68"/>
      <c r="CB45" s="68"/>
      <c r="CC45" s="68"/>
      <c r="CD45" s="68"/>
      <c r="CE45" s="68"/>
      <c r="CF45" s="68"/>
      <c r="CG45" s="68"/>
      <c r="CH45" s="68"/>
      <c r="CI45" s="68"/>
      <c r="CJ45" s="68"/>
      <c r="CK45" s="68"/>
      <c r="CL45" s="68"/>
      <c r="CM45" s="68"/>
      <c r="CN45" s="68"/>
      <c r="CO45" s="68"/>
      <c r="CP45" s="68"/>
      <c r="CQ45" s="68"/>
      <c r="CR45" s="68"/>
      <c r="CS45" s="68"/>
      <c r="CT45" s="68"/>
      <c r="CU45" s="68"/>
      <c r="CV45" s="68"/>
      <c r="CW45" s="68"/>
      <c r="CX45" s="68"/>
      <c r="CY45" s="68"/>
      <c r="CZ45" s="68"/>
      <c r="DA45" s="68"/>
      <c r="DB45" s="68"/>
      <c r="DC45" s="68"/>
      <c r="DD45" s="68"/>
      <c r="DE45" s="68"/>
      <c r="DF45" s="68"/>
      <c r="DG45" s="68"/>
      <c r="DH45" s="68"/>
      <c r="DI45" s="68"/>
      <c r="DJ45" s="68"/>
      <c r="DK45" s="68"/>
      <c r="DL45" s="68"/>
      <c r="DM45" s="68"/>
      <c r="DN45" s="68"/>
      <c r="DO45" s="68"/>
      <c r="DP45" s="68"/>
      <c r="DQ45" s="68"/>
      <c r="DR45" s="68"/>
      <c r="DS45" s="68"/>
      <c r="DT45" s="68"/>
      <c r="DU45" s="68"/>
      <c r="DV45" s="68"/>
      <c r="DW45" s="68"/>
      <c r="DX45" s="68"/>
      <c r="DY45" s="63"/>
      <c r="DZ45" s="63"/>
      <c r="EA45" s="63"/>
      <c r="EB45" s="63"/>
      <c r="EC45" s="63"/>
      <c r="ED45" s="63"/>
      <c r="EE45" s="63"/>
      <c r="EF45" s="63"/>
      <c r="EG45" s="63"/>
      <c r="EH45" s="63"/>
      <c r="EI45" s="63"/>
      <c r="EJ45" s="63"/>
      <c r="EK45" s="63"/>
      <c r="EL45" s="63"/>
      <c r="EM45" s="63"/>
      <c r="EN45" s="63"/>
      <c r="EO45" s="63"/>
      <c r="EP45" s="63"/>
      <c r="EQ45" s="63"/>
      <c r="ER45" s="63"/>
      <c r="ES45" s="63"/>
      <c r="ET45" s="63"/>
      <c r="EU45" s="63"/>
      <c r="EV45" s="63"/>
      <c r="EW45" s="63"/>
      <c r="EX45" s="63"/>
      <c r="EY45" s="63"/>
      <c r="EZ45" s="63"/>
      <c r="FA45" s="63"/>
      <c r="FB45" s="63"/>
      <c r="FC45" s="63"/>
      <c r="FD45" s="63"/>
      <c r="FE45" s="63"/>
      <c r="FF45" s="63"/>
      <c r="FG45" s="63"/>
      <c r="FH45" s="63"/>
      <c r="FI45" s="63"/>
      <c r="FJ45" s="63"/>
      <c r="FK45" s="63"/>
      <c r="FL45" s="63"/>
      <c r="FM45" s="63"/>
      <c r="FN45" s="63"/>
      <c r="FO45" s="63"/>
      <c r="FP45" s="63"/>
      <c r="FQ45" s="63"/>
      <c r="FR45" s="63"/>
      <c r="FS45" s="63"/>
      <c r="FT45" s="63"/>
      <c r="FU45" s="63"/>
      <c r="FV45" s="63"/>
      <c r="FW45" s="63"/>
      <c r="FX45" s="63"/>
      <c r="FY45" s="63"/>
      <c r="FZ45" s="63"/>
      <c r="GA45" s="63"/>
      <c r="GB45" s="63"/>
      <c r="GC45" s="63"/>
      <c r="GD45" s="63"/>
      <c r="GE45" s="63"/>
      <c r="GF45" s="63"/>
      <c r="GG45" s="63"/>
      <c r="GH45" s="63"/>
      <c r="GI45" s="63"/>
      <c r="GJ45" s="63"/>
      <c r="GK45" s="63"/>
      <c r="GL45" s="63"/>
      <c r="GM45" s="63"/>
      <c r="GN45" s="63"/>
      <c r="GO45" s="63"/>
      <c r="GP45" s="63"/>
      <c r="GQ45" s="63"/>
      <c r="GR45" s="63"/>
      <c r="GS45" s="63"/>
      <c r="GT45" s="63"/>
      <c r="GU45" s="63">
        <f>'Memo calc'!$J$1476</f>
        <v>4</v>
      </c>
      <c r="GV45" s="63">
        <f>'Memo calc'!$J$1476</f>
        <v>4</v>
      </c>
      <c r="GW45" s="63">
        <f>'Memo calc'!$J$1476</f>
        <v>4</v>
      </c>
      <c r="GX45" s="63">
        <f>'Memo calc'!$J$1476</f>
        <v>4</v>
      </c>
      <c r="GY45" s="63">
        <f>'Memo calc'!$J$1476</f>
        <v>4</v>
      </c>
      <c r="GZ45" s="63"/>
      <c r="HA45" s="63"/>
      <c r="HB45" s="63"/>
      <c r="HC45" s="63"/>
      <c r="HD45" s="63"/>
      <c r="HE45" s="63"/>
      <c r="HF45" s="63"/>
      <c r="HG45" s="63"/>
      <c r="HH45" s="63"/>
      <c r="HI45" s="63"/>
      <c r="HJ45" s="63"/>
    </row>
    <row r="46" spans="2:218" s="3" customFormat="1" ht="15" customHeight="1" x14ac:dyDescent="0.25">
      <c r="B46" s="427" t="s">
        <v>1190</v>
      </c>
      <c r="C46" s="15"/>
      <c r="D46" s="428"/>
      <c r="E46" s="31">
        <f>'Crono fisico'!E69</f>
        <v>202</v>
      </c>
      <c r="F46" s="31">
        <f>'Crono fisico'!F69</f>
        <v>203</v>
      </c>
      <c r="G46" s="31">
        <f t="shared" si="15"/>
        <v>2</v>
      </c>
      <c r="H46" s="63"/>
      <c r="I46" s="63"/>
      <c r="J46" s="63"/>
      <c r="K46" s="63"/>
      <c r="L46" s="63"/>
      <c r="M46" s="63"/>
      <c r="N46" s="63"/>
      <c r="O46" s="63"/>
      <c r="P46" s="63"/>
      <c r="Q46" s="63"/>
      <c r="R46" s="63"/>
      <c r="S46" s="63"/>
      <c r="T46" s="63"/>
      <c r="U46" s="63"/>
      <c r="V46" s="63"/>
      <c r="W46" s="63"/>
      <c r="X46" s="63"/>
      <c r="Y46" s="63"/>
      <c r="Z46" s="63"/>
      <c r="AA46" s="63"/>
      <c r="AB46" s="63"/>
      <c r="AC46" s="63"/>
      <c r="AD46" s="63"/>
      <c r="AE46" s="63"/>
      <c r="AF46" s="63"/>
      <c r="AG46" s="63"/>
      <c r="AH46" s="63"/>
      <c r="AI46" s="63"/>
      <c r="AJ46" s="63"/>
      <c r="AK46" s="63"/>
      <c r="AL46" s="63"/>
      <c r="AM46" s="63"/>
      <c r="AN46" s="63"/>
      <c r="AO46" s="63"/>
      <c r="AP46" s="63"/>
      <c r="AQ46" s="63"/>
      <c r="AR46" s="63"/>
      <c r="AS46" s="63"/>
      <c r="AT46" s="63"/>
      <c r="AU46" s="63"/>
      <c r="AV46" s="63"/>
      <c r="AW46" s="63"/>
      <c r="AX46" s="63"/>
      <c r="AY46" s="63"/>
      <c r="AZ46" s="63"/>
      <c r="BA46" s="63"/>
      <c r="BB46" s="63"/>
      <c r="BC46" s="63"/>
      <c r="BD46" s="63"/>
      <c r="BE46" s="63"/>
      <c r="BF46" s="63"/>
      <c r="BG46" s="63"/>
      <c r="BH46" s="63"/>
      <c r="BI46" s="63"/>
      <c r="BJ46" s="63"/>
      <c r="BK46" s="63"/>
      <c r="BL46" s="63"/>
      <c r="BM46" s="63"/>
      <c r="BN46" s="63"/>
      <c r="BO46" s="63"/>
      <c r="BP46" s="63"/>
      <c r="BQ46" s="63"/>
      <c r="BR46" s="68"/>
      <c r="BS46" s="68"/>
      <c r="BT46" s="68"/>
      <c r="BU46" s="68"/>
      <c r="BV46" s="68"/>
      <c r="BW46" s="68"/>
      <c r="BX46" s="68"/>
      <c r="BY46" s="68"/>
      <c r="BZ46" s="68"/>
      <c r="CA46" s="68"/>
      <c r="CB46" s="68"/>
      <c r="CC46" s="68"/>
      <c r="CD46" s="68"/>
      <c r="CE46" s="68"/>
      <c r="CF46" s="68"/>
      <c r="CG46" s="68"/>
      <c r="CH46" s="68"/>
      <c r="CI46" s="68"/>
      <c r="CJ46" s="68"/>
      <c r="CK46" s="68"/>
      <c r="CL46" s="68"/>
      <c r="CM46" s="68"/>
      <c r="CN46" s="68"/>
      <c r="CO46" s="68"/>
      <c r="CP46" s="68"/>
      <c r="CQ46" s="68"/>
      <c r="CR46" s="68"/>
      <c r="CS46" s="68"/>
      <c r="CT46" s="68"/>
      <c r="CU46" s="68"/>
      <c r="CV46" s="68"/>
      <c r="CW46" s="68"/>
      <c r="CX46" s="68"/>
      <c r="CY46" s="68"/>
      <c r="CZ46" s="68"/>
      <c r="DA46" s="68"/>
      <c r="DB46" s="68"/>
      <c r="DC46" s="68"/>
      <c r="DD46" s="68"/>
      <c r="DE46" s="68"/>
      <c r="DF46" s="68"/>
      <c r="DG46" s="68"/>
      <c r="DH46" s="68"/>
      <c r="DI46" s="68"/>
      <c r="DJ46" s="68"/>
      <c r="DK46" s="68"/>
      <c r="DL46" s="68"/>
      <c r="DM46" s="68"/>
      <c r="DN46" s="68"/>
      <c r="DO46" s="68"/>
      <c r="DP46" s="68"/>
      <c r="DQ46" s="68"/>
      <c r="DR46" s="68"/>
      <c r="DS46" s="68"/>
      <c r="DT46" s="68"/>
      <c r="DU46" s="68"/>
      <c r="DV46" s="68"/>
      <c r="DW46" s="68"/>
      <c r="DX46" s="68"/>
      <c r="DY46" s="63"/>
      <c r="DZ46" s="63"/>
      <c r="EA46" s="63"/>
      <c r="EB46" s="63"/>
      <c r="EC46" s="63"/>
      <c r="ED46" s="63"/>
      <c r="EE46" s="63"/>
      <c r="EF46" s="63"/>
      <c r="EG46" s="63"/>
      <c r="EH46" s="63"/>
      <c r="EI46" s="63"/>
      <c r="EJ46" s="63"/>
      <c r="EK46" s="63"/>
      <c r="EL46" s="63"/>
      <c r="EM46" s="63"/>
      <c r="EN46" s="63"/>
      <c r="EO46" s="63"/>
      <c r="EP46" s="63"/>
      <c r="EQ46" s="63"/>
      <c r="ER46" s="63"/>
      <c r="ES46" s="63"/>
      <c r="ET46" s="63"/>
      <c r="EU46" s="63"/>
      <c r="EV46" s="63"/>
      <c r="EW46" s="63"/>
      <c r="EX46" s="63"/>
      <c r="EY46" s="63"/>
      <c r="EZ46" s="63"/>
      <c r="FA46" s="63"/>
      <c r="FB46" s="63"/>
      <c r="FC46" s="63"/>
      <c r="FD46" s="63"/>
      <c r="FE46" s="63"/>
      <c r="FF46" s="63"/>
      <c r="FG46" s="63"/>
      <c r="FH46" s="63"/>
      <c r="FI46" s="63"/>
      <c r="FJ46" s="63"/>
      <c r="FK46" s="63"/>
      <c r="FL46" s="63"/>
      <c r="FM46" s="63"/>
      <c r="FN46" s="63"/>
      <c r="FO46" s="63"/>
      <c r="FP46" s="63"/>
      <c r="FQ46" s="63"/>
      <c r="FR46" s="63"/>
      <c r="FS46" s="63"/>
      <c r="FT46" s="63"/>
      <c r="FU46" s="63"/>
      <c r="FV46" s="63"/>
      <c r="FW46" s="63"/>
      <c r="FX46" s="63"/>
      <c r="FY46" s="63"/>
      <c r="FZ46" s="63"/>
      <c r="GA46" s="63"/>
      <c r="GB46" s="63"/>
      <c r="GC46" s="63"/>
      <c r="GD46" s="63"/>
      <c r="GE46" s="63"/>
      <c r="GF46" s="63"/>
      <c r="GG46" s="63"/>
      <c r="GH46" s="63"/>
      <c r="GI46" s="63"/>
      <c r="GJ46" s="63"/>
      <c r="GK46" s="63"/>
      <c r="GL46" s="63"/>
      <c r="GM46" s="63"/>
      <c r="GN46" s="63"/>
      <c r="GO46" s="63"/>
      <c r="GP46" s="63"/>
      <c r="GQ46" s="63"/>
      <c r="GR46" s="63"/>
      <c r="GS46" s="63"/>
      <c r="GT46" s="63"/>
      <c r="GU46" s="63"/>
      <c r="GV46" s="63"/>
      <c r="GW46" s="63"/>
      <c r="GX46" s="63"/>
      <c r="GY46" s="63">
        <f>'Memo calc'!$J$1520</f>
        <v>1</v>
      </c>
      <c r="GZ46" s="63">
        <f>'Memo calc'!$J$1520</f>
        <v>1</v>
      </c>
      <c r="HA46" s="63"/>
      <c r="HB46" s="63"/>
      <c r="HC46" s="63"/>
      <c r="HD46" s="63"/>
      <c r="HE46" s="63"/>
      <c r="HF46" s="63"/>
      <c r="HG46" s="63"/>
      <c r="HH46" s="63"/>
      <c r="HI46" s="63"/>
      <c r="HJ46" s="63"/>
    </row>
    <row r="47" spans="2:218" s="3" customFormat="1" ht="15" customHeight="1" x14ac:dyDescent="0.25">
      <c r="B47" s="431" t="s">
        <v>1007</v>
      </c>
      <c r="C47" s="12"/>
      <c r="D47" s="432"/>
      <c r="E47" s="70">
        <f>MIN(E48:F48)</f>
        <v>118</v>
      </c>
      <c r="F47" s="70">
        <f>MAX(E48:F48)</f>
        <v>163</v>
      </c>
      <c r="G47" s="70">
        <f>F47-E47+1</f>
        <v>46</v>
      </c>
      <c r="H47" s="63"/>
      <c r="I47" s="63"/>
      <c r="J47" s="63"/>
      <c r="K47" s="63"/>
      <c r="L47" s="63"/>
      <c r="M47" s="63"/>
      <c r="N47" s="63"/>
      <c r="O47" s="63"/>
      <c r="P47" s="63"/>
      <c r="Q47" s="63"/>
      <c r="R47" s="63"/>
      <c r="S47" s="63"/>
      <c r="T47" s="63"/>
      <c r="U47" s="63"/>
      <c r="V47" s="63"/>
      <c r="W47" s="63"/>
      <c r="X47" s="63"/>
      <c r="Y47" s="63"/>
      <c r="Z47" s="63"/>
      <c r="AA47" s="63"/>
      <c r="AB47" s="63"/>
      <c r="AC47" s="63"/>
      <c r="AD47" s="63"/>
      <c r="AE47" s="63"/>
      <c r="AF47" s="63"/>
      <c r="AG47" s="63"/>
      <c r="AH47" s="63"/>
      <c r="AI47" s="63"/>
      <c r="AJ47" s="63"/>
      <c r="AK47" s="63"/>
      <c r="AL47" s="63"/>
      <c r="AM47" s="63"/>
      <c r="AN47" s="63"/>
      <c r="AO47" s="63"/>
      <c r="AP47" s="63"/>
      <c r="AQ47" s="63"/>
      <c r="AR47" s="63"/>
      <c r="AS47" s="63"/>
      <c r="AT47" s="63"/>
      <c r="AU47" s="63"/>
      <c r="AV47" s="63"/>
      <c r="AW47" s="63"/>
      <c r="AX47" s="63"/>
      <c r="AY47" s="63"/>
      <c r="AZ47" s="63"/>
      <c r="BA47" s="63"/>
      <c r="BB47" s="63"/>
      <c r="BC47" s="63"/>
      <c r="BD47" s="63"/>
      <c r="BE47" s="63"/>
      <c r="BF47" s="63"/>
      <c r="BG47" s="63"/>
      <c r="BH47" s="63"/>
      <c r="BI47" s="63"/>
      <c r="BJ47" s="63"/>
      <c r="BK47" s="63"/>
      <c r="BL47" s="63"/>
      <c r="BM47" s="63"/>
      <c r="BN47" s="63"/>
      <c r="BO47" s="63"/>
      <c r="BP47" s="63"/>
      <c r="BQ47" s="63"/>
      <c r="BR47" s="68"/>
      <c r="BS47" s="68"/>
      <c r="BT47" s="68"/>
      <c r="BU47" s="68"/>
      <c r="BV47" s="68"/>
      <c r="BW47" s="68"/>
      <c r="BX47" s="68"/>
      <c r="BY47" s="68"/>
      <c r="BZ47" s="68"/>
      <c r="CA47" s="68"/>
      <c r="CB47" s="68"/>
      <c r="CC47" s="68"/>
      <c r="CD47" s="68"/>
      <c r="CE47" s="68"/>
      <c r="CF47" s="68"/>
      <c r="CG47" s="68"/>
      <c r="CH47" s="68"/>
      <c r="CI47" s="68"/>
      <c r="CJ47" s="68"/>
      <c r="CK47" s="68"/>
      <c r="CL47" s="68"/>
      <c r="CM47" s="68"/>
      <c r="CN47" s="68"/>
      <c r="CO47" s="68"/>
      <c r="CP47" s="68"/>
      <c r="CQ47" s="68"/>
      <c r="CR47" s="68"/>
      <c r="CS47" s="68"/>
      <c r="CT47" s="68"/>
      <c r="CU47" s="68"/>
      <c r="CV47" s="68"/>
      <c r="CW47" s="68"/>
      <c r="CX47" s="68"/>
      <c r="CY47" s="68"/>
      <c r="CZ47" s="68"/>
      <c r="DA47" s="68"/>
      <c r="DB47" s="68"/>
      <c r="DC47" s="68"/>
      <c r="DD47" s="68"/>
      <c r="DE47" s="68"/>
      <c r="DF47" s="68"/>
      <c r="DG47" s="68"/>
      <c r="DH47" s="68"/>
      <c r="DI47" s="68"/>
      <c r="DJ47" s="68"/>
      <c r="DK47" s="68"/>
      <c r="DL47" s="68"/>
      <c r="DM47" s="68"/>
      <c r="DN47" s="68"/>
      <c r="DO47" s="68"/>
      <c r="DP47" s="68"/>
      <c r="DQ47" s="68"/>
      <c r="DR47" s="68"/>
      <c r="DS47" s="68"/>
      <c r="DT47" s="68"/>
      <c r="DU47" s="68">
        <f>'Memo calc'!$J$1566</f>
        <v>2</v>
      </c>
      <c r="DV47" s="68">
        <f>'Memo calc'!$J$1566</f>
        <v>2</v>
      </c>
      <c r="DW47" s="68">
        <f>'Memo calc'!$J$1566</f>
        <v>2</v>
      </c>
      <c r="DX47" s="68">
        <f>'Memo calc'!$J$1566</f>
        <v>2</v>
      </c>
      <c r="DY47" s="68">
        <f>'Memo calc'!$J$1566</f>
        <v>2</v>
      </c>
      <c r="DZ47" s="68">
        <f>'Memo calc'!$J$1566</f>
        <v>2</v>
      </c>
      <c r="EA47" s="68">
        <f>'Memo calc'!$J$1566</f>
        <v>2</v>
      </c>
      <c r="EB47" s="68">
        <f>'Memo calc'!$J$1566</f>
        <v>2</v>
      </c>
      <c r="EC47" s="68">
        <f>'Memo calc'!$J$1566</f>
        <v>2</v>
      </c>
      <c r="ED47" s="68">
        <f>'Memo calc'!$J$1566</f>
        <v>2</v>
      </c>
      <c r="EE47" s="68">
        <f>'Memo calc'!$J$1566</f>
        <v>2</v>
      </c>
      <c r="EF47" s="68">
        <f>'Memo calc'!$J$1566</f>
        <v>2</v>
      </c>
      <c r="EG47" s="68">
        <f>'Memo calc'!$J$1566</f>
        <v>2</v>
      </c>
      <c r="EH47" s="68">
        <f>'Memo calc'!$J$1566</f>
        <v>2</v>
      </c>
      <c r="EI47" s="68">
        <f>'Memo calc'!$J$1566</f>
        <v>2</v>
      </c>
      <c r="EJ47" s="68">
        <f>'Memo calc'!$J$1566</f>
        <v>2</v>
      </c>
      <c r="EK47" s="68">
        <f>'Memo calc'!$J$1566</f>
        <v>2</v>
      </c>
      <c r="EL47" s="68">
        <f>'Memo calc'!$J$1566</f>
        <v>2</v>
      </c>
      <c r="EM47" s="68">
        <f>'Memo calc'!$J$1566</f>
        <v>2</v>
      </c>
      <c r="EN47" s="68">
        <f>'Memo calc'!$J$1566</f>
        <v>2</v>
      </c>
      <c r="EO47" s="68">
        <f>'Memo calc'!$J$1566</f>
        <v>2</v>
      </c>
      <c r="EP47" s="68">
        <f>'Memo calc'!$J$1566</f>
        <v>2</v>
      </c>
      <c r="EQ47" s="68">
        <f>'Memo calc'!$J$1566</f>
        <v>2</v>
      </c>
      <c r="ER47" s="68">
        <f>'Memo calc'!$J$1566</f>
        <v>2</v>
      </c>
      <c r="ES47" s="68">
        <f>'Memo calc'!$J$1566</f>
        <v>2</v>
      </c>
      <c r="ET47" s="68">
        <f>'Memo calc'!$J$1566</f>
        <v>2</v>
      </c>
      <c r="EU47" s="68">
        <f>'Memo calc'!$J$1566</f>
        <v>2</v>
      </c>
      <c r="EV47" s="68">
        <f>'Memo calc'!$J$1566</f>
        <v>2</v>
      </c>
      <c r="EW47" s="68">
        <f>'Memo calc'!$J$1566</f>
        <v>2</v>
      </c>
      <c r="EX47" s="68">
        <f>'Memo calc'!$J$1566</f>
        <v>2</v>
      </c>
      <c r="EY47" s="68">
        <f>'Memo calc'!$J$1566</f>
        <v>2</v>
      </c>
      <c r="EZ47" s="68">
        <f>'Memo calc'!$J$1566</f>
        <v>2</v>
      </c>
      <c r="FA47" s="68">
        <f>'Memo calc'!$J$1566</f>
        <v>2</v>
      </c>
      <c r="FB47" s="68">
        <f>'Memo calc'!$J$1566</f>
        <v>2</v>
      </c>
      <c r="FC47" s="68">
        <f>'Memo calc'!$J$1566</f>
        <v>2</v>
      </c>
      <c r="FD47" s="68">
        <f>'Memo calc'!$J$1566</f>
        <v>2</v>
      </c>
      <c r="FE47" s="68">
        <f>'Memo calc'!$J$1566</f>
        <v>2</v>
      </c>
      <c r="FF47" s="68">
        <f>'Memo calc'!$J$1566</f>
        <v>2</v>
      </c>
      <c r="FG47" s="68">
        <f>'Memo calc'!$J$1566</f>
        <v>2</v>
      </c>
      <c r="FH47" s="68">
        <f>'Memo calc'!$J$1566</f>
        <v>2</v>
      </c>
      <c r="FI47" s="68">
        <f>'Memo calc'!$J$1566</f>
        <v>2</v>
      </c>
      <c r="FJ47" s="68">
        <f>'Memo calc'!$J$1566</f>
        <v>2</v>
      </c>
      <c r="FK47" s="68">
        <f>'Memo calc'!$J$1566</f>
        <v>2</v>
      </c>
      <c r="FL47" s="68">
        <f>'Memo calc'!$J$1566</f>
        <v>2</v>
      </c>
      <c r="FM47" s="68">
        <f>'Memo calc'!$J$1566</f>
        <v>2</v>
      </c>
      <c r="FN47" s="68">
        <f>'Memo calc'!$J$1566</f>
        <v>2</v>
      </c>
      <c r="FO47" s="63"/>
      <c r="FP47" s="63"/>
      <c r="FQ47" s="63"/>
      <c r="FR47" s="63"/>
      <c r="FS47" s="63"/>
      <c r="FT47" s="63"/>
      <c r="FU47" s="63"/>
      <c r="FV47" s="63"/>
      <c r="FW47" s="63"/>
      <c r="FX47" s="63"/>
      <c r="FY47" s="63"/>
      <c r="FZ47" s="63"/>
      <c r="GA47" s="63"/>
      <c r="GB47" s="63"/>
      <c r="GC47" s="63"/>
      <c r="GD47" s="63"/>
      <c r="GE47" s="63"/>
      <c r="GF47" s="63"/>
      <c r="GG47" s="63"/>
      <c r="GH47" s="63"/>
      <c r="GI47" s="63"/>
      <c r="GJ47" s="63"/>
      <c r="GK47" s="63"/>
      <c r="GL47" s="63"/>
      <c r="GM47" s="63"/>
      <c r="GN47" s="63"/>
      <c r="GO47" s="63"/>
      <c r="GP47" s="63"/>
      <c r="GQ47" s="63"/>
      <c r="GR47" s="63"/>
      <c r="GS47" s="63"/>
      <c r="GT47" s="63"/>
      <c r="GU47" s="63"/>
      <c r="GV47" s="63"/>
      <c r="GW47" s="63"/>
      <c r="GX47" s="63"/>
      <c r="GY47" s="63"/>
      <c r="GZ47" s="63"/>
      <c r="HA47" s="63"/>
      <c r="HB47" s="63"/>
      <c r="HC47" s="63"/>
      <c r="HD47" s="63"/>
      <c r="HE47" s="63"/>
      <c r="HF47" s="63"/>
      <c r="HG47" s="63"/>
      <c r="HH47" s="63"/>
      <c r="HI47" s="63"/>
      <c r="HJ47" s="63"/>
    </row>
    <row r="48" spans="2:218" s="3" customFormat="1" ht="15" customHeight="1" x14ac:dyDescent="0.25">
      <c r="B48" s="427" t="s">
        <v>1104</v>
      </c>
      <c r="C48" s="15"/>
      <c r="D48" s="428"/>
      <c r="E48" s="31">
        <f>'Crono fisico'!E71</f>
        <v>118</v>
      </c>
      <c r="F48" s="31">
        <f>'Crono fisico'!F71</f>
        <v>163</v>
      </c>
      <c r="G48" s="31">
        <f t="shared" ref="G48" si="16">F48-E48+1</f>
        <v>46</v>
      </c>
      <c r="H48" s="63"/>
      <c r="I48" s="63"/>
      <c r="J48" s="63"/>
      <c r="K48" s="63"/>
      <c r="L48" s="63"/>
      <c r="M48" s="63"/>
      <c r="N48" s="63"/>
      <c r="O48" s="63"/>
      <c r="P48" s="63"/>
      <c r="Q48" s="63"/>
      <c r="R48" s="63"/>
      <c r="S48" s="63"/>
      <c r="T48" s="63"/>
      <c r="U48" s="63"/>
      <c r="V48" s="63"/>
      <c r="W48" s="63"/>
      <c r="X48" s="63"/>
      <c r="Y48" s="63"/>
      <c r="Z48" s="63"/>
      <c r="AA48" s="63"/>
      <c r="AB48" s="63"/>
      <c r="AC48" s="63"/>
      <c r="AD48" s="63"/>
      <c r="AE48" s="63"/>
      <c r="AF48" s="63"/>
      <c r="AG48" s="63"/>
      <c r="AH48" s="63"/>
      <c r="AI48" s="63"/>
      <c r="AJ48" s="63"/>
      <c r="AK48" s="63"/>
      <c r="AL48" s="63"/>
      <c r="AM48" s="63"/>
      <c r="AN48" s="63"/>
      <c r="AO48" s="63"/>
      <c r="AP48" s="63"/>
      <c r="AQ48" s="63"/>
      <c r="AR48" s="63"/>
      <c r="AS48" s="63"/>
      <c r="AT48" s="63"/>
      <c r="AU48" s="63"/>
      <c r="AV48" s="63"/>
      <c r="AW48" s="63"/>
      <c r="AX48" s="63"/>
      <c r="AY48" s="63"/>
      <c r="AZ48" s="63"/>
      <c r="BA48" s="63"/>
      <c r="BB48" s="63"/>
      <c r="BC48" s="63"/>
      <c r="BD48" s="63"/>
      <c r="BE48" s="63"/>
      <c r="BF48" s="63"/>
      <c r="BG48" s="63"/>
      <c r="BH48" s="63"/>
      <c r="BI48" s="63"/>
      <c r="BJ48" s="63"/>
      <c r="BK48" s="63"/>
      <c r="BL48" s="63"/>
      <c r="BM48" s="63"/>
      <c r="BN48" s="63"/>
      <c r="BO48" s="63"/>
      <c r="BP48" s="63"/>
      <c r="BQ48" s="63"/>
      <c r="BR48" s="68"/>
      <c r="BS48" s="68"/>
      <c r="BT48" s="68"/>
      <c r="BU48" s="68"/>
      <c r="BV48" s="68"/>
      <c r="BW48" s="68"/>
      <c r="BX48" s="68"/>
      <c r="BY48" s="68"/>
      <c r="BZ48" s="68"/>
      <c r="CA48" s="68"/>
      <c r="CB48" s="68"/>
      <c r="CC48" s="68"/>
      <c r="CD48" s="68"/>
      <c r="CE48" s="68"/>
      <c r="CF48" s="68"/>
      <c r="CG48" s="68"/>
      <c r="CH48" s="68"/>
      <c r="CI48" s="68"/>
      <c r="CJ48" s="68"/>
      <c r="CK48" s="68"/>
      <c r="CL48" s="68"/>
      <c r="CM48" s="68"/>
      <c r="CN48" s="68"/>
      <c r="CO48" s="68"/>
      <c r="CP48" s="68"/>
      <c r="CQ48" s="68"/>
      <c r="CR48" s="68"/>
      <c r="CS48" s="68"/>
      <c r="CT48" s="68"/>
      <c r="CU48" s="68"/>
      <c r="CV48" s="68"/>
      <c r="CW48" s="68"/>
      <c r="CX48" s="68"/>
      <c r="CY48" s="68"/>
      <c r="CZ48" s="68"/>
      <c r="DA48" s="68"/>
      <c r="DB48" s="68"/>
      <c r="DC48" s="68"/>
      <c r="DD48" s="68"/>
      <c r="DE48" s="68"/>
      <c r="DF48" s="68"/>
      <c r="DG48" s="68"/>
      <c r="DH48" s="68"/>
      <c r="DI48" s="68"/>
      <c r="DJ48" s="68"/>
      <c r="DK48" s="68"/>
      <c r="DL48" s="68"/>
      <c r="DM48" s="68"/>
      <c r="DN48" s="68"/>
      <c r="DO48" s="68"/>
      <c r="DP48" s="68"/>
      <c r="DQ48" s="68"/>
      <c r="DR48" s="68"/>
      <c r="DS48" s="68"/>
      <c r="DT48" s="68"/>
      <c r="DU48" s="68">
        <f>'Memo calc'!$J$1566</f>
        <v>2</v>
      </c>
      <c r="DV48" s="68">
        <f>'Memo calc'!$J$1566</f>
        <v>2</v>
      </c>
      <c r="DW48" s="68">
        <f>'Memo calc'!$J$1566</f>
        <v>2</v>
      </c>
      <c r="DX48" s="68">
        <f>'Memo calc'!$J$1566</f>
        <v>2</v>
      </c>
      <c r="DY48" s="68">
        <f>'Memo calc'!$J$1566</f>
        <v>2</v>
      </c>
      <c r="DZ48" s="68">
        <f>'Memo calc'!$J$1566</f>
        <v>2</v>
      </c>
      <c r="EA48" s="68">
        <f>'Memo calc'!$J$1566</f>
        <v>2</v>
      </c>
      <c r="EB48" s="68">
        <f>'Memo calc'!$J$1566</f>
        <v>2</v>
      </c>
      <c r="EC48" s="68">
        <f>'Memo calc'!$J$1566</f>
        <v>2</v>
      </c>
      <c r="ED48" s="68">
        <f>'Memo calc'!$J$1566</f>
        <v>2</v>
      </c>
      <c r="EE48" s="68">
        <f>'Memo calc'!$J$1566</f>
        <v>2</v>
      </c>
      <c r="EF48" s="68">
        <f>'Memo calc'!$J$1566</f>
        <v>2</v>
      </c>
      <c r="EG48" s="68">
        <f>'Memo calc'!$J$1566</f>
        <v>2</v>
      </c>
      <c r="EH48" s="68">
        <f>'Memo calc'!$J$1566</f>
        <v>2</v>
      </c>
      <c r="EI48" s="68">
        <f>'Memo calc'!$J$1566</f>
        <v>2</v>
      </c>
      <c r="EJ48" s="68">
        <f>'Memo calc'!$J$1566</f>
        <v>2</v>
      </c>
      <c r="EK48" s="68">
        <f>'Memo calc'!$J$1566</f>
        <v>2</v>
      </c>
      <c r="EL48" s="68">
        <f>'Memo calc'!$J$1566</f>
        <v>2</v>
      </c>
      <c r="EM48" s="68">
        <f>'Memo calc'!$J$1566</f>
        <v>2</v>
      </c>
      <c r="EN48" s="68">
        <f>'Memo calc'!$J$1566</f>
        <v>2</v>
      </c>
      <c r="EO48" s="68">
        <f>'Memo calc'!$J$1566</f>
        <v>2</v>
      </c>
      <c r="EP48" s="68">
        <f>'Memo calc'!$J$1566</f>
        <v>2</v>
      </c>
      <c r="EQ48" s="68">
        <f>'Memo calc'!$J$1566</f>
        <v>2</v>
      </c>
      <c r="ER48" s="68">
        <f>'Memo calc'!$J$1566</f>
        <v>2</v>
      </c>
      <c r="ES48" s="68">
        <f>'Memo calc'!$J$1566</f>
        <v>2</v>
      </c>
      <c r="ET48" s="68">
        <f>'Memo calc'!$J$1566</f>
        <v>2</v>
      </c>
      <c r="EU48" s="68">
        <f>'Memo calc'!$J$1566</f>
        <v>2</v>
      </c>
      <c r="EV48" s="68">
        <f>'Memo calc'!$J$1566</f>
        <v>2</v>
      </c>
      <c r="EW48" s="68">
        <f>'Memo calc'!$J$1566</f>
        <v>2</v>
      </c>
      <c r="EX48" s="68">
        <f>'Memo calc'!$J$1566</f>
        <v>2</v>
      </c>
      <c r="EY48" s="68">
        <f>'Memo calc'!$J$1566</f>
        <v>2</v>
      </c>
      <c r="EZ48" s="68">
        <f>'Memo calc'!$J$1566</f>
        <v>2</v>
      </c>
      <c r="FA48" s="68">
        <f>'Memo calc'!$J$1566</f>
        <v>2</v>
      </c>
      <c r="FB48" s="68">
        <f>'Memo calc'!$J$1566</f>
        <v>2</v>
      </c>
      <c r="FC48" s="68">
        <f>'Memo calc'!$J$1566</f>
        <v>2</v>
      </c>
      <c r="FD48" s="68">
        <f>'Memo calc'!$J$1566</f>
        <v>2</v>
      </c>
      <c r="FE48" s="68">
        <f>'Memo calc'!$J$1566</f>
        <v>2</v>
      </c>
      <c r="FF48" s="68">
        <f>'Memo calc'!$J$1566</f>
        <v>2</v>
      </c>
      <c r="FG48" s="68">
        <f>'Memo calc'!$J$1566</f>
        <v>2</v>
      </c>
      <c r="FH48" s="68">
        <f>'Memo calc'!$J$1566</f>
        <v>2</v>
      </c>
      <c r="FI48" s="68">
        <f>'Memo calc'!$J$1566</f>
        <v>2</v>
      </c>
      <c r="FJ48" s="68">
        <f>'Memo calc'!$J$1566</f>
        <v>2</v>
      </c>
      <c r="FK48" s="68">
        <f>'Memo calc'!$J$1566</f>
        <v>2</v>
      </c>
      <c r="FL48" s="68">
        <f>'Memo calc'!$J$1566</f>
        <v>2</v>
      </c>
      <c r="FM48" s="68">
        <f>'Memo calc'!$J$1566</f>
        <v>2</v>
      </c>
      <c r="FN48" s="68">
        <f>'Memo calc'!$J$1566</f>
        <v>2</v>
      </c>
      <c r="FO48" s="63"/>
      <c r="FP48" s="63"/>
      <c r="FQ48" s="63"/>
      <c r="FR48" s="63"/>
      <c r="FS48" s="63"/>
      <c r="FT48" s="63"/>
      <c r="FU48" s="63"/>
      <c r="FV48" s="63"/>
      <c r="FW48" s="63"/>
      <c r="FX48" s="63"/>
      <c r="FY48" s="63"/>
      <c r="FZ48" s="63"/>
      <c r="GA48" s="63"/>
      <c r="GB48" s="63"/>
      <c r="GC48" s="63"/>
      <c r="GD48" s="63"/>
      <c r="GE48" s="63"/>
      <c r="GF48" s="63"/>
      <c r="GG48" s="63"/>
      <c r="GH48" s="63"/>
      <c r="GI48" s="63"/>
      <c r="GJ48" s="63"/>
      <c r="GK48" s="63"/>
      <c r="GL48" s="63"/>
      <c r="GM48" s="63"/>
      <c r="GN48" s="63"/>
      <c r="GO48" s="63"/>
      <c r="GP48" s="63"/>
      <c r="GQ48" s="63"/>
      <c r="GR48" s="63"/>
      <c r="GS48" s="63"/>
      <c r="GT48" s="63"/>
      <c r="GU48" s="63"/>
      <c r="GV48" s="63"/>
      <c r="GW48" s="63"/>
      <c r="GX48" s="63"/>
      <c r="GY48" s="63"/>
      <c r="GZ48" s="63"/>
      <c r="HA48" s="63"/>
      <c r="HB48" s="63"/>
      <c r="HC48" s="63"/>
      <c r="HD48" s="63"/>
      <c r="HE48" s="63"/>
      <c r="HF48" s="63"/>
      <c r="HG48" s="63"/>
      <c r="HH48" s="63"/>
      <c r="HI48" s="63"/>
      <c r="HJ48" s="63"/>
    </row>
    <row r="49" spans="2:218" s="3" customFormat="1" ht="15" customHeight="1" x14ac:dyDescent="0.25">
      <c r="B49" s="306" t="s">
        <v>329</v>
      </c>
      <c r="C49" s="12"/>
      <c r="D49" s="307"/>
      <c r="E49" s="70">
        <f>MIN(E13:F48)</f>
        <v>1</v>
      </c>
      <c r="F49" s="70">
        <f>MAX(E13:F48)</f>
        <v>203</v>
      </c>
      <c r="G49" s="70">
        <f>F49-E49+1-32-19</f>
        <v>152</v>
      </c>
      <c r="H49" s="310"/>
      <c r="I49" s="310">
        <f>I13+I18+I20+I28+I39</f>
        <v>3</v>
      </c>
      <c r="J49" s="310">
        <f t="shared" ref="J49:BU49" si="17">J13+J18+J20+J28+J39</f>
        <v>3</v>
      </c>
      <c r="K49" s="310">
        <f t="shared" si="17"/>
        <v>6</v>
      </c>
      <c r="L49" s="310">
        <f t="shared" si="17"/>
        <v>6</v>
      </c>
      <c r="M49" s="310">
        <f t="shared" si="17"/>
        <v>5</v>
      </c>
      <c r="N49" s="310">
        <f t="shared" si="17"/>
        <v>5</v>
      </c>
      <c r="O49" s="310">
        <f t="shared" si="17"/>
        <v>5</v>
      </c>
      <c r="P49" s="310">
        <f t="shared" si="17"/>
        <v>5</v>
      </c>
      <c r="Q49" s="310">
        <f t="shared" si="17"/>
        <v>10</v>
      </c>
      <c r="R49" s="310">
        <f t="shared" si="17"/>
        <v>10</v>
      </c>
      <c r="S49" s="310">
        <f t="shared" si="17"/>
        <v>8</v>
      </c>
      <c r="T49" s="310">
        <f t="shared" si="17"/>
        <v>8</v>
      </c>
      <c r="U49" s="310">
        <f t="shared" si="17"/>
        <v>3</v>
      </c>
      <c r="V49" s="310">
        <f t="shared" si="17"/>
        <v>3</v>
      </c>
      <c r="W49" s="310">
        <f t="shared" si="17"/>
        <v>3</v>
      </c>
      <c r="X49" s="310">
        <f t="shared" si="17"/>
        <v>3</v>
      </c>
      <c r="Y49" s="310">
        <f t="shared" si="17"/>
        <v>3</v>
      </c>
      <c r="Z49" s="310">
        <f t="shared" si="17"/>
        <v>3</v>
      </c>
      <c r="AA49" s="310">
        <f t="shared" si="17"/>
        <v>3</v>
      </c>
      <c r="AB49" s="310">
        <f t="shared" si="17"/>
        <v>3</v>
      </c>
      <c r="AC49" s="310">
        <f t="shared" si="17"/>
        <v>3</v>
      </c>
      <c r="AD49" s="310">
        <f t="shared" si="17"/>
        <v>3</v>
      </c>
      <c r="AE49" s="310">
        <f t="shared" si="17"/>
        <v>3</v>
      </c>
      <c r="AF49" s="310">
        <f t="shared" si="17"/>
        <v>3</v>
      </c>
      <c r="AG49" s="310">
        <f t="shared" si="17"/>
        <v>3</v>
      </c>
      <c r="AH49" s="310">
        <f t="shared" si="17"/>
        <v>3</v>
      </c>
      <c r="AI49" s="310">
        <f t="shared" si="17"/>
        <v>1</v>
      </c>
      <c r="AJ49" s="310">
        <f t="shared" si="17"/>
        <v>1</v>
      </c>
      <c r="AK49" s="310">
        <f t="shared" si="17"/>
        <v>1</v>
      </c>
      <c r="AL49" s="310">
        <f t="shared" si="17"/>
        <v>1</v>
      </c>
      <c r="AM49" s="310">
        <f t="shared" si="17"/>
        <v>1</v>
      </c>
      <c r="AN49" s="310">
        <f t="shared" si="17"/>
        <v>1</v>
      </c>
      <c r="AO49" s="310">
        <f t="shared" si="17"/>
        <v>1</v>
      </c>
      <c r="AP49" s="310">
        <f t="shared" si="17"/>
        <v>1</v>
      </c>
      <c r="AQ49" s="310">
        <f t="shared" si="17"/>
        <v>1</v>
      </c>
      <c r="AR49" s="310">
        <f t="shared" si="17"/>
        <v>1</v>
      </c>
      <c r="AS49" s="310">
        <f t="shared" si="17"/>
        <v>1</v>
      </c>
      <c r="AT49" s="310">
        <f t="shared" si="17"/>
        <v>1</v>
      </c>
      <c r="AU49" s="310">
        <f t="shared" si="17"/>
        <v>1</v>
      </c>
      <c r="AV49" s="310">
        <f t="shared" si="17"/>
        <v>1</v>
      </c>
      <c r="AW49" s="310">
        <f t="shared" si="17"/>
        <v>1</v>
      </c>
      <c r="AX49" s="310">
        <f t="shared" si="17"/>
        <v>1</v>
      </c>
      <c r="AY49" s="310">
        <f t="shared" si="17"/>
        <v>1</v>
      </c>
      <c r="AZ49" s="310">
        <f t="shared" si="17"/>
        <v>1</v>
      </c>
      <c r="BA49" s="310">
        <f t="shared" si="17"/>
        <v>1</v>
      </c>
      <c r="BB49" s="310">
        <f t="shared" si="17"/>
        <v>1</v>
      </c>
      <c r="BC49" s="310">
        <f t="shared" si="17"/>
        <v>1</v>
      </c>
      <c r="BD49" s="310">
        <f t="shared" si="17"/>
        <v>5</v>
      </c>
      <c r="BE49" s="310">
        <f t="shared" si="17"/>
        <v>5</v>
      </c>
      <c r="BF49" s="310">
        <f t="shared" si="17"/>
        <v>5</v>
      </c>
      <c r="BG49" s="310">
        <f t="shared" si="17"/>
        <v>5</v>
      </c>
      <c r="BH49" s="310">
        <f t="shared" si="17"/>
        <v>5</v>
      </c>
      <c r="BI49" s="310">
        <f t="shared" si="17"/>
        <v>5</v>
      </c>
      <c r="BJ49" s="310">
        <f t="shared" si="17"/>
        <v>5</v>
      </c>
      <c r="BK49" s="310">
        <f t="shared" si="17"/>
        <v>9</v>
      </c>
      <c r="BL49" s="310">
        <f t="shared" si="17"/>
        <v>5</v>
      </c>
      <c r="BM49" s="310">
        <f t="shared" si="17"/>
        <v>9</v>
      </c>
      <c r="BN49" s="310">
        <f t="shared" si="17"/>
        <v>5</v>
      </c>
      <c r="BO49" s="310">
        <f t="shared" si="17"/>
        <v>9</v>
      </c>
      <c r="BP49" s="310">
        <f t="shared" si="17"/>
        <v>5</v>
      </c>
      <c r="BQ49" s="310">
        <f t="shared" si="17"/>
        <v>13</v>
      </c>
      <c r="BR49" s="310">
        <f t="shared" si="17"/>
        <v>5</v>
      </c>
      <c r="BS49" s="310">
        <f t="shared" si="17"/>
        <v>9</v>
      </c>
      <c r="BT49" s="310">
        <f t="shared" si="17"/>
        <v>13</v>
      </c>
      <c r="BU49" s="310">
        <f t="shared" si="17"/>
        <v>5</v>
      </c>
      <c r="BV49" s="310">
        <f t="shared" ref="BV49:DA49" si="18">BV13+BV18+BV20+BV28+BV39</f>
        <v>5</v>
      </c>
      <c r="BW49" s="310">
        <f t="shared" si="18"/>
        <v>1</v>
      </c>
      <c r="BX49" s="310">
        <f t="shared" si="18"/>
        <v>1</v>
      </c>
      <c r="BY49" s="310">
        <f t="shared" si="18"/>
        <v>1</v>
      </c>
      <c r="BZ49" s="310">
        <f t="shared" si="18"/>
        <v>1</v>
      </c>
      <c r="CA49" s="310">
        <f t="shared" si="18"/>
        <v>1</v>
      </c>
      <c r="CB49" s="310">
        <f t="shared" si="18"/>
        <v>1</v>
      </c>
      <c r="CC49" s="310">
        <f t="shared" si="18"/>
        <v>1</v>
      </c>
      <c r="CD49" s="310">
        <f t="shared" si="18"/>
        <v>1</v>
      </c>
      <c r="CE49" s="310">
        <f t="shared" si="18"/>
        <v>1</v>
      </c>
      <c r="CF49" s="310">
        <f t="shared" si="18"/>
        <v>1</v>
      </c>
      <c r="CG49" s="310">
        <f t="shared" si="18"/>
        <v>1</v>
      </c>
      <c r="CH49" s="310">
        <f t="shared" si="18"/>
        <v>1</v>
      </c>
      <c r="CI49" s="310">
        <f t="shared" si="18"/>
        <v>1</v>
      </c>
      <c r="CJ49" s="310">
        <f t="shared" si="18"/>
        <v>1</v>
      </c>
      <c r="CK49" s="310">
        <f t="shared" si="18"/>
        <v>1</v>
      </c>
      <c r="CL49" s="310">
        <f t="shared" si="18"/>
        <v>1</v>
      </c>
      <c r="CM49" s="310">
        <f t="shared" si="18"/>
        <v>1</v>
      </c>
      <c r="CN49" s="310">
        <f t="shared" si="18"/>
        <v>1</v>
      </c>
      <c r="CO49" s="310">
        <f t="shared" si="18"/>
        <v>1</v>
      </c>
      <c r="CP49" s="310">
        <f t="shared" si="18"/>
        <v>1</v>
      </c>
      <c r="CQ49" s="310">
        <f t="shared" si="18"/>
        <v>1</v>
      </c>
      <c r="CR49" s="310">
        <f t="shared" si="18"/>
        <v>1</v>
      </c>
      <c r="CS49" s="310">
        <f t="shared" si="18"/>
        <v>1</v>
      </c>
      <c r="CT49" s="310">
        <f t="shared" si="18"/>
        <v>1</v>
      </c>
      <c r="CU49" s="310">
        <f t="shared" si="18"/>
        <v>3</v>
      </c>
      <c r="CV49" s="310">
        <f t="shared" si="18"/>
        <v>3</v>
      </c>
      <c r="CW49" s="310">
        <f t="shared" si="18"/>
        <v>3</v>
      </c>
      <c r="CX49" s="310">
        <f t="shared" si="18"/>
        <v>3</v>
      </c>
      <c r="CY49" s="310">
        <f t="shared" si="18"/>
        <v>3</v>
      </c>
      <c r="CZ49" s="310">
        <f t="shared" si="18"/>
        <v>1</v>
      </c>
      <c r="DA49" s="310">
        <f t="shared" si="18"/>
        <v>1</v>
      </c>
      <c r="DB49" s="310"/>
      <c r="DC49" s="310"/>
      <c r="DD49" s="310"/>
      <c r="DE49" s="310"/>
      <c r="DF49" s="310"/>
      <c r="DG49" s="310"/>
      <c r="DH49" s="310"/>
      <c r="DI49" s="310"/>
      <c r="DJ49" s="310"/>
      <c r="DK49" s="310"/>
      <c r="DL49" s="310"/>
      <c r="DM49" s="310"/>
      <c r="DN49" s="310"/>
      <c r="DO49" s="310"/>
      <c r="DP49" s="310"/>
      <c r="DQ49" s="310"/>
      <c r="DR49" s="310"/>
      <c r="DS49" s="310"/>
      <c r="DT49" s="310"/>
      <c r="DU49" s="310">
        <f t="shared" ref="DU49:FM49" si="19">DU13+DU18+DU20+DU28+DU39+DU42+DU47</f>
        <v>2</v>
      </c>
      <c r="DV49" s="310">
        <f t="shared" si="19"/>
        <v>2</v>
      </c>
      <c r="DW49" s="310">
        <f t="shared" si="19"/>
        <v>2</v>
      </c>
      <c r="DX49" s="310">
        <f t="shared" si="19"/>
        <v>2</v>
      </c>
      <c r="DY49" s="310">
        <f t="shared" si="19"/>
        <v>2</v>
      </c>
      <c r="DZ49" s="310">
        <f t="shared" si="19"/>
        <v>2</v>
      </c>
      <c r="EA49" s="310">
        <f t="shared" si="19"/>
        <v>2</v>
      </c>
      <c r="EB49" s="310">
        <f t="shared" si="19"/>
        <v>2</v>
      </c>
      <c r="EC49" s="310">
        <f t="shared" si="19"/>
        <v>2</v>
      </c>
      <c r="ED49" s="310">
        <f t="shared" si="19"/>
        <v>2</v>
      </c>
      <c r="EE49" s="310">
        <f t="shared" si="19"/>
        <v>2</v>
      </c>
      <c r="EF49" s="310">
        <f t="shared" si="19"/>
        <v>2</v>
      </c>
      <c r="EG49" s="310">
        <f t="shared" si="19"/>
        <v>2</v>
      </c>
      <c r="EH49" s="310">
        <f t="shared" si="19"/>
        <v>2</v>
      </c>
      <c r="EI49" s="310">
        <f t="shared" si="19"/>
        <v>2</v>
      </c>
      <c r="EJ49" s="310">
        <f t="shared" si="19"/>
        <v>2</v>
      </c>
      <c r="EK49" s="310">
        <f t="shared" si="19"/>
        <v>2</v>
      </c>
      <c r="EL49" s="310">
        <f t="shared" si="19"/>
        <v>2</v>
      </c>
      <c r="EM49" s="310">
        <f t="shared" si="19"/>
        <v>2</v>
      </c>
      <c r="EN49" s="310">
        <f t="shared" si="19"/>
        <v>2</v>
      </c>
      <c r="EO49" s="310">
        <f t="shared" si="19"/>
        <v>2</v>
      </c>
      <c r="EP49" s="310">
        <f t="shared" si="19"/>
        <v>2</v>
      </c>
      <c r="EQ49" s="310">
        <f t="shared" si="19"/>
        <v>2</v>
      </c>
      <c r="ER49" s="310">
        <f t="shared" si="19"/>
        <v>2</v>
      </c>
      <c r="ES49" s="310">
        <f t="shared" si="19"/>
        <v>2</v>
      </c>
      <c r="ET49" s="310">
        <f t="shared" si="19"/>
        <v>2</v>
      </c>
      <c r="EU49" s="310">
        <f t="shared" si="19"/>
        <v>2</v>
      </c>
      <c r="EV49" s="310">
        <f t="shared" si="19"/>
        <v>2</v>
      </c>
      <c r="EW49" s="310">
        <f t="shared" si="19"/>
        <v>2</v>
      </c>
      <c r="EX49" s="310">
        <f t="shared" si="19"/>
        <v>2</v>
      </c>
      <c r="EY49" s="310">
        <f t="shared" si="19"/>
        <v>2</v>
      </c>
      <c r="EZ49" s="310">
        <f t="shared" si="19"/>
        <v>2</v>
      </c>
      <c r="FA49" s="310">
        <f t="shared" si="19"/>
        <v>2</v>
      </c>
      <c r="FB49" s="310">
        <f t="shared" si="19"/>
        <v>2</v>
      </c>
      <c r="FC49" s="310">
        <f t="shared" si="19"/>
        <v>2</v>
      </c>
      <c r="FD49" s="310">
        <f t="shared" si="19"/>
        <v>2</v>
      </c>
      <c r="FE49" s="310">
        <f t="shared" si="19"/>
        <v>2</v>
      </c>
      <c r="FF49" s="310">
        <f t="shared" si="19"/>
        <v>2</v>
      </c>
      <c r="FG49" s="310">
        <f t="shared" si="19"/>
        <v>2</v>
      </c>
      <c r="FH49" s="310">
        <f t="shared" si="19"/>
        <v>2</v>
      </c>
      <c r="FI49" s="310">
        <f t="shared" si="19"/>
        <v>2</v>
      </c>
      <c r="FJ49" s="310">
        <f t="shared" si="19"/>
        <v>2</v>
      </c>
      <c r="FK49" s="310">
        <f t="shared" si="19"/>
        <v>2</v>
      </c>
      <c r="FL49" s="310">
        <f t="shared" si="19"/>
        <v>2</v>
      </c>
      <c r="FM49" s="310">
        <f t="shared" si="19"/>
        <v>2</v>
      </c>
      <c r="FN49" s="310">
        <f t="shared" ref="FN49:GY49" si="20">FN13+FN18+FN20+FN28+FN39+FN42+FN47</f>
        <v>2</v>
      </c>
      <c r="FO49" s="310"/>
      <c r="FP49" s="310"/>
      <c r="FQ49" s="310"/>
      <c r="FR49" s="310"/>
      <c r="FS49" s="310"/>
      <c r="FT49" s="310"/>
      <c r="FU49" s="310"/>
      <c r="FV49" s="310"/>
      <c r="FW49" s="310"/>
      <c r="FX49" s="310"/>
      <c r="FY49" s="310"/>
      <c r="FZ49" s="310"/>
      <c r="GA49" s="310"/>
      <c r="GB49" s="310"/>
      <c r="GC49" s="310"/>
      <c r="GD49" s="310"/>
      <c r="GE49" s="310"/>
      <c r="GF49" s="310"/>
      <c r="GG49" s="310"/>
      <c r="GH49" s="310"/>
      <c r="GI49" s="310"/>
      <c r="GJ49" s="310"/>
      <c r="GK49" s="310"/>
      <c r="GL49" s="310"/>
      <c r="GM49" s="310"/>
      <c r="GN49" s="310"/>
      <c r="GO49" s="310"/>
      <c r="GP49" s="310"/>
      <c r="GQ49" s="310"/>
      <c r="GR49" s="310"/>
      <c r="GS49" s="310"/>
      <c r="GT49" s="310"/>
      <c r="GU49" s="310">
        <f t="shared" si="20"/>
        <v>4</v>
      </c>
      <c r="GV49" s="310">
        <f t="shared" si="20"/>
        <v>4</v>
      </c>
      <c r="GW49" s="310">
        <f t="shared" si="20"/>
        <v>4</v>
      </c>
      <c r="GX49" s="310">
        <f t="shared" si="20"/>
        <v>4</v>
      </c>
      <c r="GY49" s="310">
        <f t="shared" si="20"/>
        <v>5</v>
      </c>
      <c r="GZ49" s="310">
        <f>GZ13+GZ18+GZ20+GZ28+GZ39+GZ42+GZ47</f>
        <v>1</v>
      </c>
      <c r="HA49" s="310"/>
      <c r="HB49" s="310"/>
      <c r="HC49" s="310"/>
      <c r="HD49" s="310"/>
      <c r="HE49" s="310"/>
      <c r="HF49" s="310"/>
      <c r="HG49" s="310"/>
      <c r="HH49" s="310"/>
      <c r="HI49" s="310"/>
      <c r="HJ49" s="310"/>
    </row>
    <row r="50" spans="2:218" s="3" customFormat="1" ht="15" customHeight="1" x14ac:dyDescent="0.25">
      <c r="B50" s="68" t="s">
        <v>587</v>
      </c>
    </row>
    <row r="51" spans="2:218" s="3" customFormat="1" ht="30" customHeight="1" x14ac:dyDescent="0.25">
      <c r="B51" s="522" t="s">
        <v>1037</v>
      </c>
      <c r="C51" s="522"/>
      <c r="D51" s="522"/>
      <c r="E51" s="522"/>
      <c r="F51" s="522"/>
      <c r="G51" s="522"/>
    </row>
    <row r="52" spans="2:218" s="3" customFormat="1" ht="15" customHeight="1" x14ac:dyDescent="0.25">
      <c r="B52" s="3" t="s">
        <v>923</v>
      </c>
      <c r="E52" s="31">
        <f>MIN(E17:F17)</f>
        <v>3</v>
      </c>
      <c r="F52" s="31">
        <f>MAX(E17:F17)</f>
        <v>7.8333333333333339</v>
      </c>
      <c r="G52" s="225">
        <f>F52-E52+1</f>
        <v>5.8333333333333339</v>
      </c>
    </row>
    <row r="53" spans="2:218" s="3" customFormat="1" ht="15" customHeight="1" x14ac:dyDescent="0.25"/>
    <row r="54" spans="2:218" ht="15" customHeight="1" x14ac:dyDescent="0.25">
      <c r="E54" s="2" t="s">
        <v>1131</v>
      </c>
      <c r="F54" s="2" t="s">
        <v>1040</v>
      </c>
    </row>
    <row r="55" spans="2:218" ht="15" customHeight="1" x14ac:dyDescent="0.25">
      <c r="E55" s="2">
        <f>MAX(I49:GZ49)</f>
        <v>13</v>
      </c>
      <c r="F55" s="2">
        <f>MIN(I49:GZ49)</f>
        <v>1</v>
      </c>
    </row>
  </sheetData>
  <mergeCells count="12">
    <mergeCell ref="DY11:FB11"/>
    <mergeCell ref="FC11:GF11"/>
    <mergeCell ref="GG11:HJ11"/>
    <mergeCell ref="C4:G4"/>
    <mergeCell ref="B51:G51"/>
    <mergeCell ref="H11:AL11"/>
    <mergeCell ref="AM11:BP11"/>
    <mergeCell ref="CU11:DX11"/>
    <mergeCell ref="BQ11:CT11"/>
    <mergeCell ref="B10:G10"/>
    <mergeCell ref="B12:D12"/>
    <mergeCell ref="B24:D24"/>
  </mergeCells>
  <conditionalFormatting sqref="H13:DX41 H42:BQ48 H49:HJ49 BR43:HJ48">
    <cfRule type="expression" dxfId="3" priority="4">
      <formula>AND(H$12&gt;=$E13,H$12&lt;=$F13)</formula>
    </cfRule>
  </conditionalFormatting>
  <conditionalFormatting sqref="BR42:FC42">
    <cfRule type="expression" dxfId="2" priority="3">
      <formula>AND(BR$12&gt;=$E42,BR$12&lt;=$F42)</formula>
    </cfRule>
  </conditionalFormatting>
  <conditionalFormatting sqref="GS39:HJ42">
    <cfRule type="expression" dxfId="1" priority="1">
      <formula>AND(GS$12&gt;=$E39,GS$12&lt;=$F39)</formula>
    </cfRule>
  </conditionalFormatting>
  <pageMargins left="0.511811024" right="0.511811024" top="0.78740157499999996" bottom="0.78740157499999996" header="0.31496062000000002" footer="0.31496062000000002"/>
  <pageSetup paperSize="9" orientation="portrait"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Planilha20">
    <tabColor theme="9"/>
  </sheetPr>
  <dimension ref="B1:DX22"/>
  <sheetViews>
    <sheetView showGridLines="0" zoomScaleNormal="100" workbookViewId="0">
      <pane xSplit="7" ySplit="12" topLeftCell="H13" activePane="bottomRight" state="frozen"/>
      <selection pane="topRight" activeCell="H1" sqref="H1"/>
      <selection pane="bottomLeft" activeCell="A13" sqref="A13"/>
      <selection pane="bottomRight" activeCell="B7" sqref="B7"/>
    </sheetView>
  </sheetViews>
  <sheetFormatPr defaultColWidth="9.140625" defaultRowHeight="15" customHeight="1" x14ac:dyDescent="0.25"/>
  <cols>
    <col min="1" max="1" width="1.7109375" style="2" customWidth="1"/>
    <col min="2" max="2" width="9.85546875" style="2" bestFit="1" customWidth="1"/>
    <col min="3" max="3" width="5.85546875" style="2" bestFit="1" customWidth="1"/>
    <col min="4" max="4" width="53.28515625" style="2" customWidth="1"/>
    <col min="5" max="5" width="9.140625" style="2" customWidth="1"/>
    <col min="6" max="6" width="15.140625" style="2" bestFit="1" customWidth="1"/>
    <col min="7" max="7" width="10" style="2" bestFit="1" customWidth="1"/>
    <col min="8" max="127" width="4.28515625" style="2" customWidth="1"/>
    <col min="128" max="128" width="4.28515625" style="2" bestFit="1" customWidth="1"/>
    <col min="129" max="16384" width="9.140625" style="2"/>
  </cols>
  <sheetData>
    <row r="1" spans="2:128" ht="9" customHeight="1" x14ac:dyDescent="0.25"/>
    <row r="2" spans="2:128" ht="34.5" customHeight="1" x14ac:dyDescent="0.25"/>
    <row r="4" spans="2:128" ht="45" customHeight="1" x14ac:dyDescent="0.25">
      <c r="B4" s="23" t="s">
        <v>0</v>
      </c>
      <c r="C4" s="459" t="str">
        <f>'Qd abrang'!C4</f>
        <v>Contratação de Projeto Executivo de Engenharia para Implantação do Aeródromo no município de Ribas do Rio Pardo</v>
      </c>
      <c r="D4" s="459"/>
      <c r="E4" s="459"/>
      <c r="F4" s="459"/>
      <c r="G4" s="459"/>
      <c r="H4" s="53"/>
      <c r="I4" s="53"/>
      <c r="J4" s="53"/>
    </row>
    <row r="5" spans="2:128" x14ac:dyDescent="0.25">
      <c r="B5" s="5" t="s">
        <v>862</v>
      </c>
      <c r="C5" s="1" t="str">
        <f>'Qd abrang'!C5</f>
        <v>Ribas do Rio Pardo/MS</v>
      </c>
    </row>
    <row r="6" spans="2:128" x14ac:dyDescent="0.25">
      <c r="B6" s="5" t="s">
        <v>863</v>
      </c>
      <c r="C6" s="1">
        <f>'Qd abrang'!C6</f>
        <v>0</v>
      </c>
    </row>
    <row r="7" spans="2:128" x14ac:dyDescent="0.25">
      <c r="B7" s="5" t="s">
        <v>1</v>
      </c>
      <c r="C7" s="96">
        <f>'Qd abrang'!C7</f>
        <v>1.3</v>
      </c>
      <c r="D7" s="2" t="s">
        <v>3</v>
      </c>
      <c r="E7" s="5" t="s">
        <v>16</v>
      </c>
      <c r="F7" s="6" t="str">
        <f>'Qd abrang'!N7</f>
        <v>79.009.850-2025</v>
      </c>
    </row>
    <row r="8" spans="2:128" x14ac:dyDescent="0.25">
      <c r="B8" s="5" t="s">
        <v>2</v>
      </c>
      <c r="C8" s="1">
        <f>'Qd abrang'!C8</f>
        <v>365</v>
      </c>
      <c r="D8" s="2" t="s">
        <v>4</v>
      </c>
      <c r="E8" s="69" t="s">
        <v>17</v>
      </c>
      <c r="F8" s="6">
        <f>'Qd abrang'!N8</f>
        <v>45748</v>
      </c>
    </row>
    <row r="10" spans="2:128" s="11" customFormat="1" ht="21" x14ac:dyDescent="0.25">
      <c r="B10" s="458" t="s">
        <v>590</v>
      </c>
      <c r="C10" s="458"/>
      <c r="D10" s="458"/>
      <c r="E10" s="458"/>
      <c r="F10" s="458"/>
      <c r="G10" s="458"/>
    </row>
    <row r="11" spans="2:128" ht="15" customHeight="1" x14ac:dyDescent="0.25">
      <c r="G11" s="54" t="s">
        <v>361</v>
      </c>
      <c r="H11" s="474">
        <v>1</v>
      </c>
      <c r="I11" s="474"/>
      <c r="J11" s="474"/>
      <c r="K11" s="474"/>
      <c r="L11" s="474"/>
      <c r="M11" s="474"/>
      <c r="N11" s="474"/>
      <c r="O11" s="474"/>
      <c r="P11" s="474"/>
      <c r="Q11" s="474"/>
      <c r="R11" s="474"/>
      <c r="S11" s="474"/>
      <c r="T11" s="474"/>
      <c r="U11" s="474"/>
      <c r="V11" s="474"/>
      <c r="W11" s="474"/>
      <c r="X11" s="474"/>
      <c r="Y11" s="474"/>
      <c r="Z11" s="474"/>
      <c r="AA11" s="474"/>
      <c r="AB11" s="474"/>
      <c r="AC11" s="474"/>
      <c r="AD11" s="474"/>
      <c r="AE11" s="474"/>
      <c r="AF11" s="474"/>
      <c r="AG11" s="474"/>
      <c r="AH11" s="474"/>
      <c r="AI11" s="474"/>
      <c r="AJ11" s="474"/>
      <c r="AK11" s="474"/>
      <c r="AL11" s="474"/>
      <c r="AM11" s="474">
        <v>2</v>
      </c>
      <c r="AN11" s="474"/>
      <c r="AO11" s="474"/>
      <c r="AP11" s="474"/>
      <c r="AQ11" s="474"/>
      <c r="AR11" s="474"/>
      <c r="AS11" s="474"/>
      <c r="AT11" s="474"/>
      <c r="AU11" s="474"/>
      <c r="AV11" s="474"/>
      <c r="AW11" s="474"/>
      <c r="AX11" s="474"/>
      <c r="AY11" s="474"/>
      <c r="AZ11" s="474"/>
      <c r="BA11" s="474"/>
      <c r="BB11" s="474"/>
      <c r="BC11" s="474"/>
      <c r="BD11" s="474"/>
      <c r="BE11" s="474"/>
      <c r="BF11" s="474"/>
      <c r="BG11" s="474"/>
      <c r="BH11" s="474"/>
      <c r="BI11" s="474"/>
      <c r="BJ11" s="474"/>
      <c r="BK11" s="474"/>
      <c r="BL11" s="474"/>
      <c r="BM11" s="474"/>
      <c r="BN11" s="474"/>
      <c r="BO11" s="474"/>
      <c r="BP11" s="474"/>
      <c r="BQ11" s="474">
        <v>3</v>
      </c>
      <c r="BR11" s="474"/>
      <c r="BS11" s="474"/>
      <c r="BT11" s="474"/>
      <c r="BU11" s="474"/>
      <c r="BV11" s="474"/>
      <c r="BW11" s="474"/>
      <c r="BX11" s="474"/>
      <c r="BY11" s="474"/>
      <c r="BZ11" s="474"/>
      <c r="CA11" s="474"/>
      <c r="CB11" s="474"/>
      <c r="CC11" s="474"/>
      <c r="CD11" s="474"/>
      <c r="CE11" s="474"/>
      <c r="CF11" s="474"/>
      <c r="CG11" s="474"/>
      <c r="CH11" s="474"/>
      <c r="CI11" s="474"/>
      <c r="CJ11" s="474"/>
      <c r="CK11" s="474"/>
      <c r="CL11" s="474"/>
      <c r="CM11" s="474"/>
      <c r="CN11" s="474"/>
      <c r="CO11" s="474"/>
      <c r="CP11" s="474"/>
      <c r="CQ11" s="474"/>
      <c r="CR11" s="474"/>
      <c r="CS11" s="474"/>
      <c r="CT11" s="474"/>
      <c r="CU11" s="474">
        <v>4</v>
      </c>
      <c r="CV11" s="474"/>
      <c r="CW11" s="474"/>
      <c r="CX11" s="474"/>
      <c r="CY11" s="474"/>
      <c r="CZ11" s="474"/>
      <c r="DA11" s="474"/>
      <c r="DB11" s="474"/>
      <c r="DC11" s="474"/>
      <c r="DD11" s="474"/>
      <c r="DE11" s="474"/>
      <c r="DF11" s="474"/>
      <c r="DG11" s="474"/>
      <c r="DH11" s="474"/>
      <c r="DI11" s="474"/>
      <c r="DJ11" s="474"/>
      <c r="DK11" s="474"/>
      <c r="DL11" s="474"/>
      <c r="DM11" s="474"/>
      <c r="DN11" s="474"/>
      <c r="DO11" s="474"/>
      <c r="DP11" s="474"/>
      <c r="DQ11" s="474"/>
      <c r="DR11" s="474"/>
      <c r="DS11" s="474"/>
      <c r="DT11" s="474"/>
      <c r="DU11" s="474"/>
      <c r="DV11" s="474"/>
      <c r="DW11" s="474"/>
      <c r="DX11" s="474"/>
    </row>
    <row r="12" spans="2:128" ht="30" customHeight="1" x14ac:dyDescent="0.25">
      <c r="B12" s="474" t="s">
        <v>15</v>
      </c>
      <c r="C12" s="474"/>
      <c r="D12" s="474"/>
      <c r="E12" s="54" t="s">
        <v>10</v>
      </c>
      <c r="F12" s="54" t="s">
        <v>522</v>
      </c>
      <c r="G12" s="55" t="s">
        <v>523</v>
      </c>
      <c r="H12" s="54">
        <v>0</v>
      </c>
      <c r="I12" s="54">
        <v>1</v>
      </c>
      <c r="J12" s="54">
        <v>2</v>
      </c>
      <c r="K12" s="54">
        <v>3</v>
      </c>
      <c r="L12" s="54">
        <v>4</v>
      </c>
      <c r="M12" s="54">
        <v>5</v>
      </c>
      <c r="N12" s="54">
        <v>6</v>
      </c>
      <c r="O12" s="54">
        <v>7</v>
      </c>
      <c r="P12" s="54">
        <v>8</v>
      </c>
      <c r="Q12" s="54">
        <v>9</v>
      </c>
      <c r="R12" s="54">
        <v>10</v>
      </c>
      <c r="S12" s="54">
        <v>11</v>
      </c>
      <c r="T12" s="54">
        <v>12</v>
      </c>
      <c r="U12" s="54">
        <v>13</v>
      </c>
      <c r="V12" s="54">
        <v>14</v>
      </c>
      <c r="W12" s="54">
        <v>15</v>
      </c>
      <c r="X12" s="54">
        <v>16</v>
      </c>
      <c r="Y12" s="54">
        <v>17</v>
      </c>
      <c r="Z12" s="54">
        <v>18</v>
      </c>
      <c r="AA12" s="54">
        <v>19</v>
      </c>
      <c r="AB12" s="54">
        <v>20</v>
      </c>
      <c r="AC12" s="54">
        <v>21</v>
      </c>
      <c r="AD12" s="54">
        <v>22</v>
      </c>
      <c r="AE12" s="54">
        <v>23</v>
      </c>
      <c r="AF12" s="54">
        <v>24</v>
      </c>
      <c r="AG12" s="54">
        <v>25</v>
      </c>
      <c r="AH12" s="54">
        <v>26</v>
      </c>
      <c r="AI12" s="54">
        <v>27</v>
      </c>
      <c r="AJ12" s="54">
        <v>28</v>
      </c>
      <c r="AK12" s="54">
        <v>29</v>
      </c>
      <c r="AL12" s="54">
        <v>30</v>
      </c>
      <c r="AM12" s="54">
        <v>31</v>
      </c>
      <c r="AN12" s="54">
        <v>32</v>
      </c>
      <c r="AO12" s="54">
        <v>33</v>
      </c>
      <c r="AP12" s="54">
        <v>34</v>
      </c>
      <c r="AQ12" s="54">
        <v>35</v>
      </c>
      <c r="AR12" s="54">
        <v>36</v>
      </c>
      <c r="AS12" s="54">
        <v>37</v>
      </c>
      <c r="AT12" s="54">
        <v>38</v>
      </c>
      <c r="AU12" s="54">
        <v>39</v>
      </c>
      <c r="AV12" s="54">
        <v>40</v>
      </c>
      <c r="AW12" s="54">
        <v>41</v>
      </c>
      <c r="AX12" s="54">
        <v>42</v>
      </c>
      <c r="AY12" s="54">
        <v>43</v>
      </c>
      <c r="AZ12" s="54">
        <v>44</v>
      </c>
      <c r="BA12" s="54">
        <v>45</v>
      </c>
      <c r="BB12" s="54">
        <v>46</v>
      </c>
      <c r="BC12" s="54">
        <v>47</v>
      </c>
      <c r="BD12" s="54">
        <v>48</v>
      </c>
      <c r="BE12" s="54">
        <v>49</v>
      </c>
      <c r="BF12" s="101">
        <v>50</v>
      </c>
      <c r="BG12" s="101">
        <v>51</v>
      </c>
      <c r="BH12" s="101">
        <v>52</v>
      </c>
      <c r="BI12" s="101">
        <v>53</v>
      </c>
      <c r="BJ12" s="101">
        <v>54</v>
      </c>
      <c r="BK12" s="101">
        <v>55</v>
      </c>
      <c r="BL12" s="101">
        <v>56</v>
      </c>
      <c r="BM12" s="101">
        <v>57</v>
      </c>
      <c r="BN12" s="101">
        <v>58</v>
      </c>
      <c r="BO12" s="101">
        <v>59</v>
      </c>
      <c r="BP12" s="101">
        <v>60</v>
      </c>
      <c r="BQ12" s="101">
        <v>61</v>
      </c>
      <c r="BR12" s="101">
        <v>62</v>
      </c>
      <c r="BS12" s="101">
        <v>63</v>
      </c>
      <c r="BT12" s="101">
        <v>64</v>
      </c>
      <c r="BU12" s="101">
        <v>65</v>
      </c>
      <c r="BV12" s="101">
        <v>66</v>
      </c>
      <c r="BW12" s="101">
        <v>67</v>
      </c>
      <c r="BX12" s="101">
        <v>68</v>
      </c>
      <c r="BY12" s="101">
        <v>69</v>
      </c>
      <c r="BZ12" s="101">
        <v>70</v>
      </c>
      <c r="CA12" s="101">
        <v>71</v>
      </c>
      <c r="CB12" s="101">
        <v>72</v>
      </c>
      <c r="CC12" s="101">
        <v>73</v>
      </c>
      <c r="CD12" s="101">
        <v>74</v>
      </c>
      <c r="CE12" s="101">
        <v>75</v>
      </c>
      <c r="CF12" s="101">
        <v>76</v>
      </c>
      <c r="CG12" s="101">
        <v>77</v>
      </c>
      <c r="CH12" s="101">
        <v>78</v>
      </c>
      <c r="CI12" s="101">
        <v>79</v>
      </c>
      <c r="CJ12" s="101">
        <v>80</v>
      </c>
      <c r="CK12" s="101">
        <v>81</v>
      </c>
      <c r="CL12" s="101">
        <v>82</v>
      </c>
      <c r="CM12" s="101">
        <v>83</v>
      </c>
      <c r="CN12" s="101">
        <v>84</v>
      </c>
      <c r="CO12" s="101">
        <v>85</v>
      </c>
      <c r="CP12" s="101">
        <v>86</v>
      </c>
      <c r="CQ12" s="101">
        <v>87</v>
      </c>
      <c r="CR12" s="101">
        <v>88</v>
      </c>
      <c r="CS12" s="101">
        <v>89</v>
      </c>
      <c r="CT12" s="101">
        <v>90</v>
      </c>
      <c r="CU12" s="107">
        <v>91</v>
      </c>
      <c r="CV12" s="107">
        <v>92</v>
      </c>
      <c r="CW12" s="107">
        <v>93</v>
      </c>
      <c r="CX12" s="107">
        <v>94</v>
      </c>
      <c r="CY12" s="107">
        <v>95</v>
      </c>
      <c r="CZ12" s="107">
        <v>96</v>
      </c>
      <c r="DA12" s="107">
        <v>97</v>
      </c>
      <c r="DB12" s="107">
        <v>98</v>
      </c>
      <c r="DC12" s="107">
        <v>99</v>
      </c>
      <c r="DD12" s="107">
        <v>100</v>
      </c>
      <c r="DE12" s="107">
        <v>101</v>
      </c>
      <c r="DF12" s="107">
        <v>102</v>
      </c>
      <c r="DG12" s="107">
        <v>103</v>
      </c>
      <c r="DH12" s="107">
        <v>104</v>
      </c>
      <c r="DI12" s="107">
        <v>105</v>
      </c>
      <c r="DJ12" s="107">
        <v>106</v>
      </c>
      <c r="DK12" s="107">
        <v>107</v>
      </c>
      <c r="DL12" s="107">
        <v>108</v>
      </c>
      <c r="DM12" s="107">
        <v>109</v>
      </c>
      <c r="DN12" s="107">
        <v>110</v>
      </c>
      <c r="DO12" s="107">
        <v>111</v>
      </c>
      <c r="DP12" s="107">
        <v>112</v>
      </c>
      <c r="DQ12" s="107">
        <v>113</v>
      </c>
      <c r="DR12" s="107">
        <v>114</v>
      </c>
      <c r="DS12" s="107">
        <v>115</v>
      </c>
      <c r="DT12" s="107">
        <v>116</v>
      </c>
      <c r="DU12" s="107">
        <v>117</v>
      </c>
      <c r="DV12" s="107">
        <v>118</v>
      </c>
      <c r="DW12" s="107">
        <v>119</v>
      </c>
      <c r="DX12" s="107">
        <v>120</v>
      </c>
    </row>
    <row r="13" spans="2:128" ht="15" customHeight="1" x14ac:dyDescent="0.25">
      <c r="B13" s="10" t="s">
        <v>524</v>
      </c>
      <c r="C13" s="64"/>
      <c r="D13" s="64"/>
      <c r="E13" s="70">
        <f>E14</f>
        <v>3</v>
      </c>
      <c r="F13" s="70">
        <f>F14</f>
        <v>7.8333333333333339</v>
      </c>
      <c r="G13" s="70">
        <f>G14</f>
        <v>5.8333333333333339</v>
      </c>
      <c r="H13" s="63"/>
      <c r="I13" s="63"/>
      <c r="J13" s="63"/>
      <c r="K13" s="309">
        <f>SUM(K14:K17)</f>
        <v>5</v>
      </c>
      <c r="L13" s="309">
        <f t="shared" ref="L13:S13" si="0">SUM(L14:L17)</f>
        <v>5</v>
      </c>
      <c r="M13" s="309">
        <f t="shared" si="0"/>
        <v>5</v>
      </c>
      <c r="N13" s="309">
        <f t="shared" si="0"/>
        <v>5</v>
      </c>
      <c r="O13" s="309">
        <f t="shared" si="0"/>
        <v>5</v>
      </c>
      <c r="P13" s="309">
        <f t="shared" si="0"/>
        <v>5</v>
      </c>
      <c r="Q13" s="309">
        <f t="shared" si="0"/>
        <v>3</v>
      </c>
      <c r="R13" s="309">
        <f t="shared" si="0"/>
        <v>3</v>
      </c>
      <c r="S13" s="309">
        <f t="shared" si="0"/>
        <v>3</v>
      </c>
      <c r="T13" s="63"/>
      <c r="U13" s="63"/>
      <c r="V13" s="63"/>
      <c r="W13" s="63"/>
      <c r="X13" s="63"/>
      <c r="Y13" s="63"/>
      <c r="Z13" s="63"/>
      <c r="AA13" s="63"/>
      <c r="AB13" s="63"/>
      <c r="AC13" s="63"/>
      <c r="AD13" s="63"/>
      <c r="AE13" s="63"/>
      <c r="AF13" s="63"/>
      <c r="AG13" s="63"/>
      <c r="AH13" s="63"/>
      <c r="AI13" s="63"/>
      <c r="AJ13" s="63"/>
      <c r="AK13" s="63"/>
      <c r="AL13" s="63"/>
      <c r="AM13" s="63"/>
      <c r="AN13" s="63"/>
      <c r="AO13" s="63"/>
      <c r="AP13" s="63"/>
      <c r="AQ13" s="63"/>
      <c r="AR13" s="63"/>
      <c r="AS13" s="63"/>
      <c r="AT13" s="63"/>
      <c r="AU13" s="63"/>
      <c r="AV13" s="63"/>
      <c r="AW13" s="63"/>
      <c r="AX13" s="63"/>
      <c r="AY13" s="63"/>
      <c r="AZ13" s="63"/>
      <c r="BA13" s="63"/>
      <c r="BB13" s="63"/>
      <c r="BC13" s="63"/>
      <c r="BD13" s="63"/>
      <c r="BE13" s="63"/>
      <c r="BF13" s="63"/>
      <c r="BG13" s="63"/>
      <c r="BH13" s="63"/>
      <c r="BI13" s="63"/>
      <c r="BJ13" s="63"/>
      <c r="BK13" s="63"/>
      <c r="BL13" s="63"/>
      <c r="BM13" s="63"/>
      <c r="BN13" s="63"/>
      <c r="BO13" s="63"/>
      <c r="BP13" s="63"/>
      <c r="BQ13" s="63"/>
      <c r="BR13" s="63"/>
      <c r="BS13" s="63"/>
      <c r="BT13" s="63"/>
      <c r="BU13" s="63"/>
      <c r="BV13" s="63"/>
      <c r="BW13" s="63"/>
      <c r="BX13" s="63"/>
      <c r="BY13" s="63"/>
      <c r="BZ13" s="63"/>
      <c r="CA13" s="63"/>
      <c r="CB13" s="63"/>
      <c r="CC13" s="63"/>
      <c r="CD13" s="63"/>
      <c r="CE13" s="63"/>
      <c r="CF13" s="63"/>
      <c r="CG13" s="63"/>
      <c r="CH13" s="63"/>
      <c r="CI13" s="63"/>
      <c r="CJ13" s="63"/>
      <c r="CK13" s="63"/>
      <c r="CL13" s="63"/>
      <c r="CM13" s="63"/>
      <c r="CN13" s="63"/>
      <c r="CO13" s="63"/>
      <c r="CP13" s="63"/>
      <c r="CQ13" s="63"/>
      <c r="CR13" s="63"/>
      <c r="CS13" s="63"/>
      <c r="CT13" s="63"/>
      <c r="CU13" s="63"/>
      <c r="CV13" s="63"/>
      <c r="CW13" s="63"/>
      <c r="CX13" s="63"/>
      <c r="CY13" s="63"/>
      <c r="CZ13" s="63"/>
      <c r="DA13" s="63"/>
      <c r="DB13" s="63"/>
      <c r="DC13" s="63"/>
      <c r="DD13" s="63"/>
    </row>
    <row r="14" spans="2:128" s="3" customFormat="1" ht="15" customHeight="1" x14ac:dyDescent="0.25">
      <c r="B14" s="303" t="s">
        <v>519</v>
      </c>
      <c r="C14" s="303"/>
      <c r="D14" s="303"/>
      <c r="E14" s="31">
        <f>MIN(E15:F17)</f>
        <v>3</v>
      </c>
      <c r="F14" s="31">
        <f>MAX(E17:F17)</f>
        <v>7.8333333333333339</v>
      </c>
      <c r="G14" s="31">
        <f>F14-E14+1</f>
        <v>5.8333333333333339</v>
      </c>
      <c r="H14" s="63"/>
      <c r="I14" s="63"/>
      <c r="J14" s="63"/>
      <c r="K14" s="63">
        <f>'Memo calc'!$J$679</f>
        <v>2</v>
      </c>
      <c r="L14" s="63">
        <f>'Memo calc'!$J$679</f>
        <v>2</v>
      </c>
      <c r="M14" s="63">
        <f>'Memo calc'!$J$679</f>
        <v>2</v>
      </c>
      <c r="N14" s="63">
        <f>'Memo calc'!$J$679</f>
        <v>2</v>
      </c>
      <c r="O14" s="63">
        <f>'Memo calc'!$J$679</f>
        <v>2</v>
      </c>
      <c r="P14" s="63">
        <f>'Memo calc'!$J$679</f>
        <v>2</v>
      </c>
      <c r="Q14" s="63">
        <f>'Memo calc'!$J$679</f>
        <v>2</v>
      </c>
      <c r="R14" s="63">
        <f>'Memo calc'!$J$679</f>
        <v>2</v>
      </c>
      <c r="S14" s="63">
        <f>'Memo calc'!$J$679</f>
        <v>2</v>
      </c>
      <c r="T14" s="63"/>
      <c r="U14" s="63"/>
      <c r="V14" s="63"/>
      <c r="W14" s="63"/>
      <c r="X14" s="63"/>
      <c r="Y14" s="63"/>
      <c r="Z14" s="63"/>
      <c r="AA14" s="63"/>
      <c r="AB14" s="63"/>
      <c r="AC14" s="63"/>
      <c r="AD14" s="63"/>
      <c r="AE14" s="63"/>
      <c r="AF14" s="63"/>
      <c r="AG14" s="63"/>
      <c r="AH14" s="63"/>
      <c r="AI14" s="63"/>
      <c r="AJ14" s="63"/>
      <c r="AK14" s="63"/>
      <c r="AL14" s="63"/>
      <c r="AM14" s="63"/>
      <c r="AN14" s="63"/>
      <c r="AO14" s="63"/>
      <c r="AP14" s="63"/>
      <c r="AQ14" s="63"/>
      <c r="AR14" s="63"/>
      <c r="AS14" s="63"/>
      <c r="AT14" s="63"/>
      <c r="AU14" s="63"/>
      <c r="AV14" s="63"/>
      <c r="AW14" s="63"/>
      <c r="AX14" s="63"/>
      <c r="AY14" s="63"/>
      <c r="AZ14" s="63"/>
      <c r="BA14" s="63"/>
      <c r="BB14" s="63"/>
      <c r="BC14" s="63"/>
      <c r="BD14" s="63"/>
      <c r="BE14" s="63"/>
      <c r="BF14" s="63"/>
      <c r="BG14" s="63"/>
      <c r="BH14" s="63"/>
      <c r="BI14" s="63"/>
      <c r="BJ14" s="63"/>
      <c r="BK14" s="63"/>
      <c r="BL14" s="63"/>
      <c r="BM14" s="63"/>
      <c r="BN14" s="63"/>
      <c r="BO14" s="63"/>
      <c r="BP14" s="63"/>
      <c r="BQ14" s="63"/>
      <c r="BR14" s="63"/>
      <c r="BS14" s="63"/>
      <c r="BT14" s="63"/>
      <c r="BU14" s="63"/>
      <c r="BV14" s="63"/>
      <c r="BW14" s="63"/>
      <c r="BX14" s="63"/>
      <c r="BY14" s="63"/>
      <c r="BZ14" s="63"/>
      <c r="CA14" s="63"/>
      <c r="CB14" s="63"/>
      <c r="CC14" s="63"/>
      <c r="CD14" s="63"/>
      <c r="CE14" s="63"/>
      <c r="CF14" s="63"/>
      <c r="CG14" s="63"/>
      <c r="CH14" s="63"/>
      <c r="CI14" s="63"/>
      <c r="CJ14" s="63"/>
      <c r="CK14" s="63"/>
      <c r="CL14" s="63"/>
      <c r="CM14" s="63"/>
      <c r="CN14" s="63"/>
      <c r="CO14" s="63"/>
      <c r="CP14" s="63"/>
      <c r="CQ14" s="63"/>
      <c r="CR14" s="63"/>
      <c r="CS14" s="63"/>
      <c r="CT14" s="63"/>
      <c r="CU14" s="63"/>
      <c r="CV14" s="63"/>
      <c r="CW14" s="63"/>
      <c r="CX14" s="63"/>
      <c r="CY14" s="63"/>
      <c r="CZ14" s="63"/>
      <c r="DA14" s="63"/>
      <c r="DB14" s="63"/>
      <c r="DC14" s="63"/>
      <c r="DD14" s="63"/>
    </row>
    <row r="15" spans="2:128" s="3" customFormat="1" ht="15" customHeight="1" x14ac:dyDescent="0.25">
      <c r="B15" s="303" t="s">
        <v>780</v>
      </c>
      <c r="C15" s="303"/>
      <c r="D15" s="303"/>
      <c r="E15" s="31">
        <f>'Crono fisico'!E17</f>
        <v>3</v>
      </c>
      <c r="F15" s="31">
        <f>'Crono fisico'!F17</f>
        <v>5</v>
      </c>
      <c r="G15" s="31">
        <f>F15-E15+1</f>
        <v>3</v>
      </c>
      <c r="H15" s="63"/>
      <c r="I15" s="63"/>
      <c r="J15" s="63"/>
      <c r="K15" s="63">
        <f>'Memo calc'!$J$96</f>
        <v>1</v>
      </c>
      <c r="L15" s="63">
        <f>'Memo calc'!$J$96</f>
        <v>1</v>
      </c>
      <c r="M15" s="63">
        <f>'Memo calc'!$J$96</f>
        <v>1</v>
      </c>
      <c r="N15" s="63">
        <f>'Memo calc'!$J$96</f>
        <v>1</v>
      </c>
      <c r="O15" s="63">
        <f>'Memo calc'!$J$96</f>
        <v>1</v>
      </c>
      <c r="P15" s="63">
        <f>'Memo calc'!$J$96</f>
        <v>1</v>
      </c>
      <c r="Q15" s="63"/>
      <c r="R15" s="63"/>
      <c r="S15" s="63"/>
      <c r="T15" s="63"/>
      <c r="U15" s="63"/>
      <c r="V15" s="63"/>
      <c r="W15" s="63"/>
      <c r="X15" s="63"/>
      <c r="Y15" s="63"/>
      <c r="Z15" s="63"/>
      <c r="AA15" s="63"/>
      <c r="AB15" s="63"/>
      <c r="AC15" s="63"/>
      <c r="AD15" s="63"/>
      <c r="AE15" s="63"/>
      <c r="AF15" s="63"/>
      <c r="AG15" s="63"/>
      <c r="AH15" s="63"/>
      <c r="AI15" s="63"/>
      <c r="AJ15" s="63"/>
      <c r="AK15" s="63"/>
      <c r="AL15" s="63"/>
      <c r="AM15" s="63"/>
      <c r="AN15" s="63"/>
      <c r="AO15" s="63"/>
      <c r="AP15" s="63"/>
      <c r="AQ15" s="63"/>
      <c r="AR15" s="63"/>
      <c r="AS15" s="63"/>
      <c r="AT15" s="63"/>
      <c r="AU15" s="63"/>
      <c r="AV15" s="63"/>
      <c r="AW15" s="63"/>
      <c r="AX15" s="63"/>
      <c r="AY15" s="63"/>
      <c r="AZ15" s="63"/>
      <c r="BA15" s="63"/>
      <c r="BB15" s="63"/>
      <c r="BC15" s="63"/>
      <c r="BD15" s="63"/>
      <c r="BE15" s="63"/>
      <c r="BF15" s="63"/>
      <c r="BG15" s="63"/>
      <c r="BH15" s="63"/>
      <c r="BI15" s="63"/>
      <c r="BJ15" s="63"/>
      <c r="BK15" s="63"/>
      <c r="BL15" s="63"/>
      <c r="BM15" s="63"/>
      <c r="BN15" s="63"/>
    </row>
    <row r="16" spans="2:128" s="3" customFormat="1" ht="15" customHeight="1" x14ac:dyDescent="0.25">
      <c r="B16" s="303" t="s">
        <v>740</v>
      </c>
      <c r="C16" s="303"/>
      <c r="D16" s="303"/>
      <c r="E16" s="31">
        <f>'Crono fisico'!E23</f>
        <v>3</v>
      </c>
      <c r="F16" s="31">
        <f>'Crono fisico'!F23</f>
        <v>6</v>
      </c>
      <c r="G16" s="31">
        <f>F16-E16+1</f>
        <v>4</v>
      </c>
      <c r="H16" s="63"/>
      <c r="I16" s="63"/>
      <c r="J16" s="63"/>
      <c r="K16" s="63">
        <f>'Memo calc'!$J$348</f>
        <v>1</v>
      </c>
      <c r="L16" s="63">
        <f>'Memo calc'!$J$348</f>
        <v>1</v>
      </c>
      <c r="M16" s="63">
        <f>'Memo calc'!$J$348</f>
        <v>1</v>
      </c>
      <c r="N16" s="63">
        <f>'Memo calc'!$J$348</f>
        <v>1</v>
      </c>
      <c r="O16" s="63">
        <f>'Memo calc'!$J$348</f>
        <v>1</v>
      </c>
      <c r="P16" s="63">
        <f>'Memo calc'!$J$348</f>
        <v>1</v>
      </c>
      <c r="Q16" s="63"/>
      <c r="R16" s="63"/>
      <c r="S16" s="63"/>
      <c r="T16" s="63"/>
      <c r="U16" s="63"/>
      <c r="V16" s="63"/>
      <c r="W16" s="63"/>
      <c r="X16" s="63"/>
      <c r="Y16" s="63"/>
      <c r="Z16" s="63"/>
      <c r="AA16" s="63"/>
      <c r="AB16" s="63"/>
      <c r="AC16" s="63"/>
      <c r="AD16" s="63"/>
      <c r="AE16" s="63"/>
      <c r="AF16" s="63"/>
      <c r="AG16" s="63"/>
      <c r="AH16" s="63"/>
      <c r="AI16" s="63"/>
      <c r="AJ16" s="63"/>
      <c r="AK16" s="63"/>
      <c r="AL16" s="63"/>
      <c r="AM16" s="63"/>
      <c r="AN16" s="63"/>
      <c r="AO16" s="63"/>
      <c r="AP16" s="63"/>
      <c r="AQ16" s="63"/>
      <c r="AR16" s="63"/>
      <c r="AS16" s="63"/>
      <c r="AT16" s="63"/>
      <c r="AU16" s="63"/>
      <c r="AV16" s="63"/>
      <c r="AW16" s="63"/>
      <c r="AX16" s="63"/>
      <c r="AY16" s="63"/>
      <c r="AZ16" s="63"/>
      <c r="BA16" s="63"/>
      <c r="BB16" s="63"/>
      <c r="BC16" s="63"/>
      <c r="BD16" s="63"/>
      <c r="BE16" s="63"/>
      <c r="BF16" s="63"/>
      <c r="BG16" s="63"/>
      <c r="BH16" s="63"/>
      <c r="BI16" s="63"/>
      <c r="BJ16" s="63"/>
      <c r="BK16" s="63"/>
      <c r="BL16" s="63"/>
      <c r="BM16" s="63"/>
      <c r="BN16" s="63"/>
      <c r="BO16" s="63"/>
      <c r="BP16" s="63"/>
      <c r="BQ16" s="63"/>
      <c r="BR16" s="63"/>
      <c r="BS16" s="63"/>
      <c r="BT16" s="63"/>
      <c r="BU16" s="63"/>
      <c r="BV16" s="63"/>
      <c r="BW16" s="63"/>
      <c r="BX16" s="63"/>
      <c r="BY16" s="63"/>
      <c r="BZ16" s="63"/>
      <c r="CA16" s="63"/>
      <c r="CB16" s="63"/>
      <c r="CC16" s="63"/>
      <c r="CD16" s="63"/>
      <c r="CE16" s="63"/>
      <c r="CF16" s="63"/>
      <c r="CG16" s="63"/>
      <c r="CH16" s="63"/>
      <c r="CI16" s="63"/>
      <c r="CJ16" s="63"/>
      <c r="CK16" s="63"/>
      <c r="CL16" s="63"/>
      <c r="CM16" s="63"/>
      <c r="CN16" s="63"/>
      <c r="CO16" s="63"/>
      <c r="CP16" s="63"/>
      <c r="CQ16" s="63"/>
      <c r="CR16" s="63"/>
      <c r="CS16" s="63"/>
      <c r="CT16" s="63"/>
      <c r="CU16" s="63"/>
      <c r="CV16" s="63"/>
      <c r="CW16" s="63"/>
      <c r="CX16" s="63"/>
      <c r="CY16" s="63"/>
      <c r="CZ16" s="63"/>
      <c r="DA16" s="63"/>
      <c r="DB16" s="63"/>
      <c r="DC16" s="63"/>
      <c r="DD16" s="63"/>
    </row>
    <row r="17" spans="2:108" s="3" customFormat="1" ht="15" customHeight="1" x14ac:dyDescent="0.25">
      <c r="B17" s="303" t="s">
        <v>520</v>
      </c>
      <c r="C17" s="303"/>
      <c r="D17" s="303"/>
      <c r="E17" s="31">
        <f>'Crono fisico'!E31</f>
        <v>3</v>
      </c>
      <c r="F17" s="31">
        <f>'Crono fisico'!F31</f>
        <v>7.8333333333333339</v>
      </c>
      <c r="G17" s="31">
        <f>'Crono fisico'!G31</f>
        <v>5.8333333333333339</v>
      </c>
      <c r="H17" s="63"/>
      <c r="I17" s="63"/>
      <c r="J17" s="63"/>
      <c r="K17" s="63">
        <f>'Memo calc'!$J$478</f>
        <v>1</v>
      </c>
      <c r="L17" s="63">
        <f>'Memo calc'!$J$478</f>
        <v>1</v>
      </c>
      <c r="M17" s="63">
        <f>'Memo calc'!$J$478</f>
        <v>1</v>
      </c>
      <c r="N17" s="63">
        <f>'Memo calc'!$J$478</f>
        <v>1</v>
      </c>
      <c r="O17" s="63">
        <f>'Memo calc'!$J$478</f>
        <v>1</v>
      </c>
      <c r="P17" s="63">
        <f>'Memo calc'!$J$478</f>
        <v>1</v>
      </c>
      <c r="Q17" s="63">
        <f>'Memo calc'!$J$478</f>
        <v>1</v>
      </c>
      <c r="R17" s="63">
        <f>'Memo calc'!$J$478</f>
        <v>1</v>
      </c>
      <c r="S17" s="63">
        <f>'Memo calc'!$J$478</f>
        <v>1</v>
      </c>
      <c r="T17" s="63"/>
      <c r="U17" s="63"/>
      <c r="V17" s="63"/>
      <c r="W17" s="63"/>
      <c r="X17" s="63"/>
      <c r="Y17" s="63"/>
      <c r="Z17" s="63"/>
      <c r="AA17" s="63"/>
      <c r="AB17" s="63"/>
      <c r="AC17" s="63"/>
      <c r="AD17" s="63"/>
      <c r="AE17" s="63"/>
      <c r="AF17" s="63"/>
      <c r="AG17" s="63"/>
      <c r="AH17" s="63"/>
      <c r="AI17" s="63"/>
      <c r="AJ17" s="63"/>
      <c r="AK17" s="63"/>
      <c r="AL17" s="63"/>
      <c r="AM17" s="63"/>
      <c r="AN17" s="63"/>
      <c r="AO17" s="63"/>
      <c r="AP17" s="63"/>
      <c r="AQ17" s="63"/>
      <c r="AR17" s="63"/>
      <c r="AS17" s="63"/>
      <c r="AT17" s="63"/>
      <c r="AU17" s="63"/>
      <c r="AV17" s="63"/>
      <c r="AW17" s="63"/>
      <c r="AX17" s="63"/>
      <c r="AY17" s="63"/>
      <c r="AZ17" s="63"/>
      <c r="BA17" s="63"/>
      <c r="BB17" s="63"/>
      <c r="BC17" s="63"/>
      <c r="BD17" s="63"/>
      <c r="BE17" s="63"/>
      <c r="BF17" s="63"/>
      <c r="BG17" s="63"/>
      <c r="BH17" s="63"/>
      <c r="BI17" s="63"/>
      <c r="BJ17" s="63"/>
      <c r="BK17" s="63"/>
      <c r="BL17" s="63"/>
      <c r="BM17" s="63"/>
      <c r="BN17" s="63"/>
      <c r="BO17" s="63"/>
      <c r="BP17" s="63"/>
      <c r="BQ17" s="63"/>
      <c r="BR17" s="63"/>
      <c r="BS17" s="63"/>
      <c r="BT17" s="63"/>
      <c r="BU17" s="63"/>
      <c r="BV17" s="63"/>
      <c r="BW17" s="63"/>
      <c r="BX17" s="63"/>
      <c r="BY17" s="63"/>
      <c r="BZ17" s="63"/>
      <c r="CA17" s="63"/>
      <c r="CB17" s="63"/>
      <c r="CC17" s="63"/>
      <c r="CD17" s="63"/>
      <c r="CE17" s="63"/>
      <c r="CF17" s="63"/>
      <c r="CG17" s="63"/>
      <c r="CH17" s="63"/>
      <c r="CI17" s="63"/>
      <c r="CJ17" s="63"/>
      <c r="CK17" s="63"/>
      <c r="CL17" s="63"/>
      <c r="CM17" s="63"/>
      <c r="CN17" s="63"/>
      <c r="CO17" s="63"/>
      <c r="CP17" s="63"/>
      <c r="CQ17" s="63"/>
      <c r="CR17" s="63"/>
      <c r="CS17" s="63"/>
      <c r="CT17" s="63"/>
      <c r="CU17" s="63"/>
      <c r="CV17" s="63"/>
      <c r="CW17" s="63"/>
      <c r="CX17" s="63"/>
      <c r="CY17" s="63"/>
      <c r="CZ17" s="63"/>
      <c r="DA17" s="63"/>
      <c r="DB17" s="63"/>
      <c r="DC17" s="63"/>
      <c r="DD17" s="63"/>
    </row>
    <row r="18" spans="2:108" s="3" customFormat="1" ht="15" customHeight="1" x14ac:dyDescent="0.25">
      <c r="B18" s="68" t="s">
        <v>587</v>
      </c>
    </row>
    <row r="19" spans="2:108" s="3" customFormat="1" ht="30" customHeight="1" x14ac:dyDescent="0.25">
      <c r="B19" s="522" t="s">
        <v>588</v>
      </c>
      <c r="C19" s="522"/>
      <c r="D19" s="522"/>
      <c r="E19" s="522"/>
      <c r="F19" s="522"/>
      <c r="G19" s="522"/>
    </row>
    <row r="20" spans="2:108" s="3" customFormat="1" ht="15" customHeight="1" x14ac:dyDescent="0.25"/>
    <row r="21" spans="2:108" s="3" customFormat="1" ht="15" customHeight="1" x14ac:dyDescent="0.25"/>
    <row r="22" spans="2:108" s="3" customFormat="1" ht="15" customHeight="1" x14ac:dyDescent="0.25"/>
  </sheetData>
  <mergeCells count="8">
    <mergeCell ref="CU11:DX11"/>
    <mergeCell ref="BQ11:CT11"/>
    <mergeCell ref="B19:G19"/>
    <mergeCell ref="C4:G4"/>
    <mergeCell ref="B10:G10"/>
    <mergeCell ref="H11:AL11"/>
    <mergeCell ref="B12:D12"/>
    <mergeCell ref="AM11:BP11"/>
  </mergeCells>
  <conditionalFormatting sqref="H13:DX17">
    <cfRule type="expression" dxfId="0" priority="1">
      <formula>AND(H$12&gt;=$E13,H$12&lt;=$F13)</formula>
    </cfRule>
  </conditionalFormatting>
  <pageMargins left="0.511811024" right="0.511811024" top="0.78740157499999996" bottom="0.78740157499999996" header="0.31496062000000002" footer="0.31496062000000002"/>
  <pageSetup paperSize="9" orientation="portrait"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Planilha21">
    <tabColor theme="9"/>
  </sheetPr>
  <dimension ref="A1:AN28"/>
  <sheetViews>
    <sheetView zoomScale="70" zoomScaleNormal="70" workbookViewId="0">
      <selection activeCell="J31" sqref="J31"/>
    </sheetView>
  </sheetViews>
  <sheetFormatPr defaultColWidth="9.140625" defaultRowHeight="15" x14ac:dyDescent="0.25"/>
  <cols>
    <col min="1" max="1" width="12.42578125" style="2" bestFit="1" customWidth="1"/>
    <col min="2" max="2" width="8.28515625" style="2" bestFit="1" customWidth="1"/>
    <col min="3" max="3" width="9.140625" style="2"/>
    <col min="4" max="4" width="16.7109375" style="2" bestFit="1" customWidth="1"/>
    <col min="5" max="5" width="11.28515625" style="2" bestFit="1" customWidth="1"/>
    <col min="6" max="6" width="9.140625" style="2"/>
    <col min="7" max="7" width="13" style="2" bestFit="1" customWidth="1"/>
    <col min="8" max="8" width="59" style="2" customWidth="1"/>
    <col min="9" max="9" width="21.85546875" style="2" bestFit="1" customWidth="1"/>
    <col min="10" max="10" width="13.85546875" style="2" bestFit="1" customWidth="1"/>
    <col min="11" max="11" width="7" style="2" bestFit="1" customWidth="1"/>
    <col min="12" max="12" width="7.85546875" style="2" customWidth="1"/>
    <col min="13" max="13" width="9.140625" style="2"/>
    <col min="14" max="14" width="21.7109375" style="2" customWidth="1"/>
    <col min="15" max="15" width="21" style="2" bestFit="1" customWidth="1"/>
    <col min="16" max="16" width="16.7109375" style="2" customWidth="1"/>
    <col min="17" max="17" width="9.140625" style="2"/>
    <col min="18" max="18" width="32.85546875" style="2" bestFit="1" customWidth="1"/>
    <col min="19" max="38" width="9.140625" style="2"/>
    <col min="39" max="39" width="24.42578125" style="2" bestFit="1" customWidth="1"/>
    <col min="40" max="40" width="11.42578125" style="2" bestFit="1" customWidth="1"/>
    <col min="41" max="16384" width="9.140625" style="2"/>
  </cols>
  <sheetData>
    <row r="1" spans="1:40" ht="21" x14ac:dyDescent="0.25">
      <c r="A1" s="531" t="s">
        <v>222</v>
      </c>
      <c r="B1" s="531"/>
      <c r="C1" s="531"/>
      <c r="D1" s="531"/>
      <c r="E1" s="531"/>
      <c r="G1" s="531" t="s">
        <v>232</v>
      </c>
      <c r="H1" s="531"/>
      <c r="I1" s="531"/>
      <c r="J1" s="531"/>
      <c r="K1" s="531"/>
      <c r="L1" s="531"/>
      <c r="N1" s="531" t="s">
        <v>1125</v>
      </c>
      <c r="O1" s="531"/>
      <c r="P1" s="531"/>
      <c r="R1" s="531" t="s">
        <v>233</v>
      </c>
      <c r="S1" s="531"/>
      <c r="T1" s="531"/>
      <c r="U1" s="531"/>
      <c r="V1" s="42"/>
      <c r="W1" s="42"/>
      <c r="X1" s="42"/>
      <c r="Y1" s="42"/>
      <c r="Z1" s="42"/>
      <c r="AA1" s="42"/>
      <c r="AB1" s="42"/>
      <c r="AC1" s="42"/>
      <c r="AD1" s="42"/>
      <c r="AE1" s="42"/>
      <c r="AF1" s="42"/>
      <c r="AG1" s="42"/>
      <c r="AH1" s="42"/>
      <c r="AI1" s="42"/>
      <c r="AJ1" s="42"/>
      <c r="AK1" s="42"/>
      <c r="AL1" s="42"/>
      <c r="AM1" s="535" t="s">
        <v>234</v>
      </c>
      <c r="AN1" s="535"/>
    </row>
    <row r="2" spans="1:40" ht="17.25" x14ac:dyDescent="0.25">
      <c r="A2" s="532" t="s">
        <v>15</v>
      </c>
      <c r="B2" s="532" t="s">
        <v>223</v>
      </c>
      <c r="C2" s="33" t="s">
        <v>224</v>
      </c>
      <c r="D2" s="33" t="s">
        <v>225</v>
      </c>
      <c r="E2" s="532" t="s">
        <v>226</v>
      </c>
      <c r="G2" s="27" t="s">
        <v>235</v>
      </c>
      <c r="H2" s="27" t="s">
        <v>236</v>
      </c>
      <c r="I2" s="27" t="s">
        <v>237</v>
      </c>
      <c r="J2" s="27" t="s">
        <v>238</v>
      </c>
      <c r="K2" s="27" t="s">
        <v>31</v>
      </c>
      <c r="L2" s="27" t="s">
        <v>239</v>
      </c>
      <c r="N2" s="27" t="s">
        <v>240</v>
      </c>
      <c r="O2" s="27" t="s">
        <v>15</v>
      </c>
      <c r="P2" s="27" t="s">
        <v>241</v>
      </c>
      <c r="R2" s="27" t="s">
        <v>15</v>
      </c>
      <c r="S2" s="38">
        <v>45292</v>
      </c>
      <c r="T2" s="38">
        <v>45323</v>
      </c>
      <c r="U2" s="38">
        <v>45352</v>
      </c>
      <c r="V2" s="38">
        <v>45383</v>
      </c>
      <c r="W2" s="38">
        <v>45413</v>
      </c>
      <c r="X2" s="38">
        <v>45444</v>
      </c>
      <c r="Y2" s="38">
        <v>45474</v>
      </c>
      <c r="Z2" s="38">
        <v>45505</v>
      </c>
      <c r="AA2" s="38">
        <v>45536</v>
      </c>
      <c r="AB2" s="38">
        <v>45566</v>
      </c>
      <c r="AC2" s="38">
        <v>45597</v>
      </c>
      <c r="AD2" s="38">
        <v>45627</v>
      </c>
      <c r="AE2" s="38">
        <v>45658</v>
      </c>
      <c r="AF2" s="38">
        <v>45689</v>
      </c>
      <c r="AG2" s="38">
        <v>45717</v>
      </c>
      <c r="AH2" s="38">
        <v>45748</v>
      </c>
      <c r="AI2" s="38">
        <v>45778</v>
      </c>
      <c r="AJ2" s="38">
        <v>45809</v>
      </c>
      <c r="AK2" s="38">
        <v>45839</v>
      </c>
      <c r="AL2" s="106"/>
      <c r="AM2" s="27" t="s">
        <v>15</v>
      </c>
      <c r="AN2" s="27" t="s">
        <v>242</v>
      </c>
    </row>
    <row r="3" spans="1:40" ht="30" customHeight="1" x14ac:dyDescent="0.25">
      <c r="A3" s="532"/>
      <c r="B3" s="532"/>
      <c r="C3" s="34" t="s">
        <v>227</v>
      </c>
      <c r="D3" s="34" t="s">
        <v>228</v>
      </c>
      <c r="E3" s="532"/>
      <c r="G3" s="533" t="s">
        <v>243</v>
      </c>
      <c r="H3" s="8" t="s">
        <v>244</v>
      </c>
      <c r="I3" s="8" t="s">
        <v>245</v>
      </c>
      <c r="J3" s="37">
        <v>60</v>
      </c>
      <c r="K3" s="16" t="s">
        <v>246</v>
      </c>
      <c r="L3" s="37">
        <f>D18</f>
        <v>103</v>
      </c>
      <c r="N3" s="536" t="s">
        <v>247</v>
      </c>
      <c r="O3" s="8" t="s">
        <v>248</v>
      </c>
      <c r="P3" s="255">
        <v>250</v>
      </c>
      <c r="R3" s="8" t="s">
        <v>249</v>
      </c>
      <c r="S3" s="254">
        <v>290.267</v>
      </c>
      <c r="T3" s="254">
        <v>288.77199999999999</v>
      </c>
      <c r="U3" s="254">
        <v>289.85700000000003</v>
      </c>
      <c r="V3" s="254">
        <v>289.58300000000003</v>
      </c>
      <c r="W3" s="254">
        <v>290.572</v>
      </c>
      <c r="X3" s="254">
        <v>293.83600000000001</v>
      </c>
      <c r="Y3" s="254">
        <v>295.84500000000003</v>
      </c>
      <c r="Z3" s="254">
        <v>297.48099999999999</v>
      </c>
      <c r="AA3" s="254">
        <v>298.83999999999997</v>
      </c>
      <c r="AB3" s="254">
        <v>299.18200000000002</v>
      </c>
      <c r="AC3" s="254">
        <v>299.315</v>
      </c>
      <c r="AD3" s="254">
        <v>300.00099999999998</v>
      </c>
      <c r="AE3" s="254">
        <v>302.16000000000003</v>
      </c>
      <c r="AF3" s="254">
        <v>302.83100000000002</v>
      </c>
      <c r="AG3" s="254">
        <v>303.68700000000001</v>
      </c>
      <c r="AH3" s="254">
        <v>303.67500000000001</v>
      </c>
      <c r="AI3" s="254">
        <v>303.56299999999999</v>
      </c>
      <c r="AJ3" s="254"/>
      <c r="AK3" s="254"/>
      <c r="AL3" s="105"/>
      <c r="AM3" s="8" t="s">
        <v>250</v>
      </c>
      <c r="AN3" s="37">
        <v>4.5</v>
      </c>
    </row>
    <row r="4" spans="1:40" ht="30" customHeight="1" x14ac:dyDescent="0.25">
      <c r="A4" s="16" t="s">
        <v>229</v>
      </c>
      <c r="B4" s="8">
        <v>220</v>
      </c>
      <c r="C4" s="36"/>
      <c r="D4" s="8">
        <v>30</v>
      </c>
      <c r="E4" s="36"/>
      <c r="G4" s="533"/>
      <c r="H4" s="8" t="s">
        <v>244</v>
      </c>
      <c r="I4" s="8" t="s">
        <v>251</v>
      </c>
      <c r="J4" s="37">
        <v>50</v>
      </c>
      <c r="K4" s="16" t="s">
        <v>246</v>
      </c>
      <c r="L4" s="37">
        <v>0</v>
      </c>
      <c r="N4" s="536"/>
      <c r="O4" s="8" t="s">
        <v>252</v>
      </c>
      <c r="P4" s="255">
        <f>P3/2</f>
        <v>125</v>
      </c>
      <c r="AM4" s="8" t="s">
        <v>253</v>
      </c>
      <c r="AN4" s="37">
        <v>12.41</v>
      </c>
    </row>
    <row r="5" spans="1:40" ht="30" customHeight="1" x14ac:dyDescent="0.25">
      <c r="A5" s="16" t="s">
        <v>230</v>
      </c>
      <c r="B5" s="8">
        <v>44</v>
      </c>
      <c r="C5" s="8">
        <v>6</v>
      </c>
      <c r="D5" s="8">
        <v>7</v>
      </c>
      <c r="E5" s="35">
        <f>D5/C5</f>
        <v>1.1666666666666667</v>
      </c>
      <c r="G5" s="533"/>
      <c r="H5" s="8" t="s">
        <v>244</v>
      </c>
      <c r="I5" s="8" t="s">
        <v>254</v>
      </c>
      <c r="J5" s="37">
        <v>40</v>
      </c>
      <c r="K5" s="16" t="s">
        <v>246</v>
      </c>
      <c r="L5" s="37">
        <v>0</v>
      </c>
      <c r="N5" s="536"/>
      <c r="O5" s="8" t="s">
        <v>255</v>
      </c>
      <c r="P5" s="255">
        <f>P4</f>
        <v>125</v>
      </c>
      <c r="AM5" s="8" t="s">
        <v>256</v>
      </c>
      <c r="AN5" s="37">
        <v>14.77</v>
      </c>
    </row>
    <row r="6" spans="1:40" x14ac:dyDescent="0.25">
      <c r="A6" s="16" t="s">
        <v>231</v>
      </c>
      <c r="B6" s="35">
        <f>B5/C5</f>
        <v>7.333333333333333</v>
      </c>
      <c r="C6" s="36"/>
      <c r="D6" s="36"/>
      <c r="E6" s="36"/>
      <c r="G6" s="16" t="s">
        <v>257</v>
      </c>
      <c r="H6" s="8" t="s">
        <v>258</v>
      </c>
      <c r="I6" s="16" t="s">
        <v>259</v>
      </c>
      <c r="J6" s="37">
        <v>30</v>
      </c>
      <c r="K6" s="16" t="s">
        <v>246</v>
      </c>
      <c r="L6" s="37">
        <v>0</v>
      </c>
      <c r="N6" s="534" t="s">
        <v>260</v>
      </c>
      <c r="O6" s="8" t="s">
        <v>248</v>
      </c>
      <c r="P6" s="255">
        <v>300</v>
      </c>
      <c r="AM6" s="8" t="s">
        <v>261</v>
      </c>
      <c r="AN6" s="37">
        <v>11.17</v>
      </c>
    </row>
    <row r="7" spans="1:40" x14ac:dyDescent="0.25">
      <c r="G7" s="533" t="s">
        <v>262</v>
      </c>
      <c r="H7" s="289" t="s">
        <v>263</v>
      </c>
      <c r="I7" s="288" t="s">
        <v>259</v>
      </c>
      <c r="J7" s="37">
        <v>10.29</v>
      </c>
      <c r="K7" s="288" t="s">
        <v>246</v>
      </c>
      <c r="L7" s="37">
        <v>0</v>
      </c>
      <c r="N7" s="534"/>
      <c r="O7" s="8" t="s">
        <v>252</v>
      </c>
      <c r="P7" s="255">
        <f>P6/2</f>
        <v>150</v>
      </c>
      <c r="AM7" s="8" t="s">
        <v>264</v>
      </c>
      <c r="AN7" s="37">
        <v>11.17</v>
      </c>
    </row>
    <row r="8" spans="1:40" x14ac:dyDescent="0.25">
      <c r="G8" s="533"/>
      <c r="H8" s="289" t="s">
        <v>265</v>
      </c>
      <c r="I8" s="288" t="s">
        <v>259</v>
      </c>
      <c r="J8" s="37">
        <v>15.48</v>
      </c>
      <c r="K8" s="288" t="s">
        <v>246</v>
      </c>
      <c r="L8" s="37">
        <v>0</v>
      </c>
      <c r="N8" s="534"/>
      <c r="O8" s="8" t="s">
        <v>255</v>
      </c>
      <c r="P8" s="255">
        <f>P7</f>
        <v>150</v>
      </c>
      <c r="AM8" s="8" t="s">
        <v>266</v>
      </c>
      <c r="AN8" s="37">
        <v>11.17</v>
      </c>
    </row>
    <row r="9" spans="1:40" x14ac:dyDescent="0.25">
      <c r="G9" s="533"/>
      <c r="H9" s="289" t="s">
        <v>267</v>
      </c>
      <c r="I9" s="288" t="s">
        <v>259</v>
      </c>
      <c r="J9" s="37">
        <v>18.489999999999998</v>
      </c>
      <c r="K9" s="288" t="s">
        <v>246</v>
      </c>
      <c r="L9" s="37">
        <v>0</v>
      </c>
      <c r="N9" s="534" t="s">
        <v>268</v>
      </c>
      <c r="O9" s="8" t="s">
        <v>248</v>
      </c>
      <c r="P9" s="255">
        <v>200</v>
      </c>
    </row>
    <row r="10" spans="1:40" x14ac:dyDescent="0.25">
      <c r="G10" s="533"/>
      <c r="H10" s="289" t="s">
        <v>269</v>
      </c>
      <c r="I10" s="288" t="s">
        <v>259</v>
      </c>
      <c r="J10" s="37">
        <v>20.95</v>
      </c>
      <c r="K10" s="288" t="s">
        <v>246</v>
      </c>
      <c r="L10" s="37">
        <v>0</v>
      </c>
      <c r="N10" s="534"/>
      <c r="O10" s="8" t="s">
        <v>252</v>
      </c>
      <c r="P10" s="255">
        <f>P9/2</f>
        <v>100</v>
      </c>
    </row>
    <row r="11" spans="1:40" x14ac:dyDescent="0.25">
      <c r="G11" s="533"/>
      <c r="H11" s="289" t="s">
        <v>270</v>
      </c>
      <c r="I11" s="288" t="s">
        <v>259</v>
      </c>
      <c r="J11" s="37">
        <v>22.49</v>
      </c>
      <c r="K11" s="288" t="s">
        <v>246</v>
      </c>
      <c r="L11" s="37">
        <v>0</v>
      </c>
      <c r="N11" s="534"/>
      <c r="O11" s="8" t="s">
        <v>255</v>
      </c>
      <c r="P11" s="255">
        <f>P10</f>
        <v>100</v>
      </c>
    </row>
    <row r="12" spans="1:40" x14ac:dyDescent="0.25">
      <c r="G12" s="533"/>
      <c r="H12" s="289" t="s">
        <v>271</v>
      </c>
      <c r="I12" s="288" t="s">
        <v>259</v>
      </c>
      <c r="J12" s="37">
        <v>23.49</v>
      </c>
      <c r="K12" s="288" t="s">
        <v>246</v>
      </c>
      <c r="L12" s="37">
        <v>0</v>
      </c>
    </row>
    <row r="13" spans="1:40" x14ac:dyDescent="0.25">
      <c r="G13" s="533"/>
      <c r="H13" s="289" t="s">
        <v>272</v>
      </c>
      <c r="I13" s="288" t="s">
        <v>259</v>
      </c>
      <c r="J13" s="37">
        <v>24.96</v>
      </c>
      <c r="K13" s="288" t="s">
        <v>246</v>
      </c>
      <c r="L13" s="37">
        <v>0</v>
      </c>
    </row>
    <row r="14" spans="1:40" x14ac:dyDescent="0.25">
      <c r="G14" s="533"/>
      <c r="H14" s="289" t="s">
        <v>1024</v>
      </c>
      <c r="I14" s="288" t="s">
        <v>259</v>
      </c>
      <c r="J14" s="37">
        <v>28.97</v>
      </c>
      <c r="K14" s="288" t="s">
        <v>246</v>
      </c>
      <c r="L14" s="37">
        <v>0</v>
      </c>
    </row>
    <row r="15" spans="1:40" x14ac:dyDescent="0.25">
      <c r="G15" s="533"/>
      <c r="H15" s="289" t="s">
        <v>1025</v>
      </c>
      <c r="I15" s="288" t="s">
        <v>259</v>
      </c>
      <c r="J15" s="289">
        <v>28.97</v>
      </c>
      <c r="K15" s="288" t="s">
        <v>246</v>
      </c>
      <c r="L15" s="37">
        <v>0</v>
      </c>
    </row>
    <row r="16" spans="1:40" ht="17.25" x14ac:dyDescent="0.25">
      <c r="A16" s="526" t="s">
        <v>843</v>
      </c>
      <c r="B16" s="527"/>
      <c r="C16" s="527"/>
      <c r="D16" s="528"/>
      <c r="G16" s="533"/>
      <c r="H16" s="289" t="s">
        <v>1026</v>
      </c>
      <c r="I16" s="288" t="s">
        <v>259</v>
      </c>
      <c r="J16" s="289">
        <v>28.97</v>
      </c>
      <c r="K16" s="288" t="s">
        <v>246</v>
      </c>
      <c r="L16" s="37">
        <v>0</v>
      </c>
    </row>
    <row r="17" spans="1:12" x14ac:dyDescent="0.25">
      <c r="A17" s="171"/>
      <c r="B17" s="104"/>
      <c r="C17" s="172" t="s">
        <v>849</v>
      </c>
      <c r="D17" s="250" t="s">
        <v>1220</v>
      </c>
      <c r="G17" s="533"/>
      <c r="H17" s="289" t="s">
        <v>1027</v>
      </c>
      <c r="I17" s="288" t="s">
        <v>259</v>
      </c>
      <c r="J17" s="289">
        <v>12.69</v>
      </c>
      <c r="K17" s="288" t="s">
        <v>246</v>
      </c>
      <c r="L17" s="37">
        <v>0</v>
      </c>
    </row>
    <row r="18" spans="1:12" ht="30" customHeight="1" x14ac:dyDescent="0.25">
      <c r="A18" s="529" t="s">
        <v>850</v>
      </c>
      <c r="B18" s="530"/>
      <c r="C18" s="530"/>
      <c r="D18" s="251">
        <v>103</v>
      </c>
      <c r="G18" s="533"/>
      <c r="H18" s="289" t="s">
        <v>1028</v>
      </c>
      <c r="I18" s="288" t="s">
        <v>259</v>
      </c>
      <c r="J18" s="289">
        <v>12.69</v>
      </c>
      <c r="K18" s="288" t="s">
        <v>246</v>
      </c>
      <c r="L18" s="37">
        <v>0</v>
      </c>
    </row>
    <row r="19" spans="1:12" x14ac:dyDescent="0.25">
      <c r="A19" s="175"/>
      <c r="B19" s="176"/>
      <c r="C19" s="172" t="s">
        <v>851</v>
      </c>
      <c r="D19" s="177">
        <f>P9</f>
        <v>200</v>
      </c>
      <c r="G19" s="533"/>
      <c r="H19" s="289" t="s">
        <v>1017</v>
      </c>
      <c r="I19" s="288" t="s">
        <v>259</v>
      </c>
      <c r="J19" s="37">
        <v>30</v>
      </c>
      <c r="K19" s="288" t="s">
        <v>246</v>
      </c>
      <c r="L19" s="37">
        <v>0</v>
      </c>
    </row>
    <row r="20" spans="1:12" x14ac:dyDescent="0.25">
      <c r="A20" s="171"/>
      <c r="B20" s="104"/>
      <c r="C20" s="172" t="s">
        <v>844</v>
      </c>
      <c r="D20" s="252" t="s">
        <v>1153</v>
      </c>
    </row>
    <row r="21" spans="1:12" ht="30" customHeight="1" x14ac:dyDescent="0.25">
      <c r="A21" s="529" t="s">
        <v>846</v>
      </c>
      <c r="B21" s="530"/>
      <c r="C21" s="530"/>
      <c r="D21" s="253" t="s">
        <v>1153</v>
      </c>
    </row>
    <row r="22" spans="1:12" x14ac:dyDescent="0.25">
      <c r="A22" s="171"/>
      <c r="B22" s="104"/>
      <c r="C22" s="172" t="str">
        <f>"Índice de "&amp;D20&amp;":"</f>
        <v>Índice de ABRIL/25:</v>
      </c>
      <c r="D22" s="254">
        <f>AH3</f>
        <v>303.67500000000001</v>
      </c>
    </row>
    <row r="23" spans="1:12" x14ac:dyDescent="0.25">
      <c r="A23" s="171"/>
      <c r="B23" s="104"/>
      <c r="C23" s="172" t="str">
        <f>"Índice de "&amp;D21&amp;":"</f>
        <v>Índice de ABRIL/25:</v>
      </c>
      <c r="D23" s="254">
        <f>AH3</f>
        <v>303.67500000000001</v>
      </c>
      <c r="E23"/>
    </row>
    <row r="24" spans="1:12" x14ac:dyDescent="0.25">
      <c r="A24" s="171"/>
      <c r="B24" s="104"/>
      <c r="C24" s="172" t="s">
        <v>845</v>
      </c>
      <c r="D24" s="173">
        <f>ROUND(D22/D23-1, 5)</f>
        <v>0</v>
      </c>
      <c r="E24"/>
    </row>
    <row r="25" spans="1:12" x14ac:dyDescent="0.25">
      <c r="A25" s="171"/>
      <c r="B25" s="104"/>
      <c r="C25" s="172" t="s">
        <v>847</v>
      </c>
      <c r="D25" s="174">
        <v>0</v>
      </c>
      <c r="E25" s="192"/>
    </row>
    <row r="26" spans="1:12" x14ac:dyDescent="0.25">
      <c r="A26" s="171"/>
      <c r="B26" s="104"/>
      <c r="C26" s="172" t="s">
        <v>848</v>
      </c>
      <c r="D26" s="174">
        <v>0</v>
      </c>
      <c r="E26" s="192"/>
    </row>
    <row r="27" spans="1:12" x14ac:dyDescent="0.25">
      <c r="A27" s="171"/>
      <c r="B27" s="104"/>
      <c r="C27" s="178" t="s">
        <v>852</v>
      </c>
      <c r="D27" s="174">
        <v>35</v>
      </c>
      <c r="E27" s="192"/>
    </row>
    <row r="28" spans="1:12" x14ac:dyDescent="0.25">
      <c r="A28" s="171"/>
      <c r="B28" s="104"/>
      <c r="C28" s="178" t="s">
        <v>853</v>
      </c>
      <c r="D28" s="174">
        <v>0</v>
      </c>
      <c r="E28"/>
    </row>
  </sheetData>
  <mergeCells count="16">
    <mergeCell ref="N6:N8"/>
    <mergeCell ref="N9:N11"/>
    <mergeCell ref="N1:P1"/>
    <mergeCell ref="R1:U1"/>
    <mergeCell ref="AM1:AN1"/>
    <mergeCell ref="N3:N5"/>
    <mergeCell ref="A16:D16"/>
    <mergeCell ref="A21:C21"/>
    <mergeCell ref="A18:C18"/>
    <mergeCell ref="G1:L1"/>
    <mergeCell ref="A2:A3"/>
    <mergeCell ref="B2:B3"/>
    <mergeCell ref="E2:E3"/>
    <mergeCell ref="A1:E1"/>
    <mergeCell ref="G3:G5"/>
    <mergeCell ref="G7:G19"/>
  </mergeCells>
  <pageMargins left="0.511811024" right="0.511811024" top="0.78740157499999996" bottom="0.78740157499999996" header="0.31496062000000002" footer="0.31496062000000002"/>
  <pageSetup paperSize="9" orientation="portrait"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Planilha22">
    <tabColor theme="9"/>
  </sheetPr>
  <dimension ref="A1:H104"/>
  <sheetViews>
    <sheetView view="pageBreakPreview" zoomScale="85" zoomScaleNormal="85" zoomScaleSheetLayoutView="85" workbookViewId="0"/>
  </sheetViews>
  <sheetFormatPr defaultColWidth="9.140625" defaultRowHeight="15" x14ac:dyDescent="0.25"/>
  <cols>
    <col min="1" max="1" width="9.28515625" style="2" bestFit="1" customWidth="1"/>
    <col min="2" max="2" width="44.85546875" style="2" bestFit="1" customWidth="1"/>
    <col min="3" max="3" width="5.85546875" style="2" bestFit="1" customWidth="1"/>
    <col min="4" max="4" width="7" style="2" bestFit="1" customWidth="1"/>
    <col min="5" max="5" width="19.140625" style="2" bestFit="1" customWidth="1"/>
    <col min="6" max="16384" width="9.140625" style="2"/>
  </cols>
  <sheetData>
    <row r="1" spans="1:8" s="28" customFormat="1" ht="17.25" x14ac:dyDescent="0.25">
      <c r="A1" s="271" t="s">
        <v>29</v>
      </c>
      <c r="B1" s="271" t="s">
        <v>15</v>
      </c>
      <c r="C1" s="271" t="s">
        <v>30</v>
      </c>
      <c r="D1" s="271" t="s">
        <v>31</v>
      </c>
      <c r="E1" s="271" t="s">
        <v>32</v>
      </c>
      <c r="H1" s="260" t="s">
        <v>1151</v>
      </c>
    </row>
    <row r="2" spans="1:8" x14ac:dyDescent="0.25">
      <c r="A2" s="292" t="s">
        <v>33</v>
      </c>
      <c r="B2" s="254" t="s">
        <v>34</v>
      </c>
      <c r="C2" s="292" t="s">
        <v>35</v>
      </c>
      <c r="D2" s="292" t="s">
        <v>36</v>
      </c>
      <c r="E2" s="383">
        <v>9952.44</v>
      </c>
    </row>
    <row r="3" spans="1:8" x14ac:dyDescent="0.25">
      <c r="A3" s="292" t="s">
        <v>37</v>
      </c>
      <c r="B3" s="254" t="s">
        <v>38</v>
      </c>
      <c r="C3" s="292" t="s">
        <v>35</v>
      </c>
      <c r="D3" s="292" t="s">
        <v>36</v>
      </c>
      <c r="E3" s="383">
        <v>12906.23</v>
      </c>
      <c r="H3" s="2" t="s">
        <v>1152</v>
      </c>
    </row>
    <row r="4" spans="1:8" x14ac:dyDescent="0.25">
      <c r="A4" s="292" t="s">
        <v>39</v>
      </c>
      <c r="B4" s="254" t="s">
        <v>40</v>
      </c>
      <c r="C4" s="292" t="s">
        <v>35</v>
      </c>
      <c r="D4" s="292" t="s">
        <v>36</v>
      </c>
      <c r="E4" s="383">
        <v>22777.35</v>
      </c>
    </row>
    <row r="5" spans="1:8" x14ac:dyDescent="0.25">
      <c r="A5" s="292" t="s">
        <v>41</v>
      </c>
      <c r="B5" s="254" t="s">
        <v>42</v>
      </c>
      <c r="C5" s="292" t="s">
        <v>35</v>
      </c>
      <c r="D5" s="292" t="s">
        <v>36</v>
      </c>
      <c r="E5" s="383">
        <v>8698.9500000000007</v>
      </c>
    </row>
    <row r="6" spans="1:8" x14ac:dyDescent="0.25">
      <c r="A6" s="292" t="s">
        <v>43</v>
      </c>
      <c r="B6" s="254" t="s">
        <v>44</v>
      </c>
      <c r="C6" s="292" t="s">
        <v>35</v>
      </c>
      <c r="D6" s="292" t="s">
        <v>36</v>
      </c>
      <c r="E6" s="383">
        <v>11243.87</v>
      </c>
    </row>
    <row r="7" spans="1:8" x14ac:dyDescent="0.25">
      <c r="A7" s="292" t="s">
        <v>45</v>
      </c>
      <c r="B7" s="254" t="s">
        <v>46</v>
      </c>
      <c r="C7" s="292" t="s">
        <v>35</v>
      </c>
      <c r="D7" s="292" t="s">
        <v>36</v>
      </c>
      <c r="E7" s="383">
        <v>19188.41</v>
      </c>
    </row>
    <row r="8" spans="1:8" x14ac:dyDescent="0.25">
      <c r="A8" s="292" t="s">
        <v>47</v>
      </c>
      <c r="B8" s="254" t="s">
        <v>48</v>
      </c>
      <c r="C8" s="292" t="s">
        <v>35</v>
      </c>
      <c r="D8" s="292" t="s">
        <v>36</v>
      </c>
      <c r="E8" s="383">
        <v>24242.71</v>
      </c>
    </row>
    <row r="9" spans="1:8" x14ac:dyDescent="0.25">
      <c r="A9" s="292" t="s">
        <v>49</v>
      </c>
      <c r="B9" s="254" t="s">
        <v>50</v>
      </c>
      <c r="C9" s="292" t="s">
        <v>35</v>
      </c>
      <c r="D9" s="292" t="s">
        <v>36</v>
      </c>
      <c r="E9" s="383">
        <v>27490.05</v>
      </c>
    </row>
    <row r="10" spans="1:8" x14ac:dyDescent="0.25">
      <c r="A10" s="292" t="s">
        <v>51</v>
      </c>
      <c r="B10" s="254" t="s">
        <v>52</v>
      </c>
      <c r="C10" s="292" t="s">
        <v>35</v>
      </c>
      <c r="D10" s="292" t="s">
        <v>36</v>
      </c>
      <c r="E10" s="383">
        <v>30737.39</v>
      </c>
    </row>
    <row r="11" spans="1:8" x14ac:dyDescent="0.25">
      <c r="A11" s="292" t="s">
        <v>53</v>
      </c>
      <c r="B11" s="254" t="s">
        <v>54</v>
      </c>
      <c r="C11" s="292" t="s">
        <v>35</v>
      </c>
      <c r="D11" s="292" t="s">
        <v>36</v>
      </c>
      <c r="E11" s="383">
        <v>7196.53</v>
      </c>
    </row>
    <row r="12" spans="1:8" x14ac:dyDescent="0.25">
      <c r="A12" s="292" t="s">
        <v>55</v>
      </c>
      <c r="B12" s="254" t="s">
        <v>56</v>
      </c>
      <c r="C12" s="292" t="s">
        <v>35</v>
      </c>
      <c r="D12" s="292" t="s">
        <v>36</v>
      </c>
      <c r="E12" s="383">
        <v>9168.44</v>
      </c>
    </row>
    <row r="13" spans="1:8" x14ac:dyDescent="0.25">
      <c r="A13" s="292" t="s">
        <v>57</v>
      </c>
      <c r="B13" s="254" t="s">
        <v>58</v>
      </c>
      <c r="C13" s="292" t="s">
        <v>35</v>
      </c>
      <c r="D13" s="292" t="s">
        <v>36</v>
      </c>
      <c r="E13" s="383">
        <v>14744.81</v>
      </c>
    </row>
    <row r="14" spans="1:8" x14ac:dyDescent="0.25">
      <c r="A14" s="292" t="s">
        <v>59</v>
      </c>
      <c r="B14" s="254" t="s">
        <v>60</v>
      </c>
      <c r="C14" s="292" t="s">
        <v>61</v>
      </c>
      <c r="D14" s="292" t="s">
        <v>36</v>
      </c>
      <c r="E14" s="383">
        <v>4276.41</v>
      </c>
    </row>
    <row r="15" spans="1:8" x14ac:dyDescent="0.25">
      <c r="A15" s="292" t="s">
        <v>62</v>
      </c>
      <c r="B15" s="254" t="s">
        <v>63</v>
      </c>
      <c r="C15" s="292" t="s">
        <v>61</v>
      </c>
      <c r="D15" s="292" t="s">
        <v>36</v>
      </c>
      <c r="E15" s="383">
        <v>4681.6899999999996</v>
      </c>
    </row>
    <row r="16" spans="1:8" x14ac:dyDescent="0.25">
      <c r="A16" s="292" t="s">
        <v>64</v>
      </c>
      <c r="B16" s="254" t="s">
        <v>65</v>
      </c>
      <c r="C16" s="292" t="s">
        <v>61</v>
      </c>
      <c r="D16" s="292" t="s">
        <v>36</v>
      </c>
      <c r="E16" s="383">
        <v>4554.09</v>
      </c>
    </row>
    <row r="17" spans="1:5" x14ac:dyDescent="0.25">
      <c r="A17" s="292" t="s">
        <v>66</v>
      </c>
      <c r="B17" s="254" t="s">
        <v>67</v>
      </c>
      <c r="C17" s="292" t="s">
        <v>61</v>
      </c>
      <c r="D17" s="292" t="s">
        <v>36</v>
      </c>
      <c r="E17" s="383">
        <v>4255.96</v>
      </c>
    </row>
    <row r="18" spans="1:5" x14ac:dyDescent="0.25">
      <c r="A18" s="292" t="s">
        <v>68</v>
      </c>
      <c r="B18" s="254" t="s">
        <v>69</v>
      </c>
      <c r="C18" s="292" t="s">
        <v>35</v>
      </c>
      <c r="D18" s="292" t="s">
        <v>36</v>
      </c>
      <c r="E18" s="383">
        <v>6943.91</v>
      </c>
    </row>
    <row r="19" spans="1:5" x14ac:dyDescent="0.25">
      <c r="A19" s="292" t="s">
        <v>70</v>
      </c>
      <c r="B19" s="254" t="s">
        <v>71</v>
      </c>
      <c r="C19" s="292" t="s">
        <v>35</v>
      </c>
      <c r="D19" s="292" t="s">
        <v>36</v>
      </c>
      <c r="E19" s="383">
        <v>8820.85</v>
      </c>
    </row>
    <row r="20" spans="1:5" x14ac:dyDescent="0.25">
      <c r="A20" s="292" t="s">
        <v>72</v>
      </c>
      <c r="B20" s="254" t="s">
        <v>73</v>
      </c>
      <c r="C20" s="292" t="s">
        <v>35</v>
      </c>
      <c r="D20" s="292" t="s">
        <v>36</v>
      </c>
      <c r="E20" s="383">
        <v>15076.89</v>
      </c>
    </row>
    <row r="21" spans="1:5" x14ac:dyDescent="0.25">
      <c r="A21" s="292" t="s">
        <v>74</v>
      </c>
      <c r="B21" s="254" t="s">
        <v>75</v>
      </c>
      <c r="C21" s="292" t="s">
        <v>61</v>
      </c>
      <c r="D21" s="292" t="s">
        <v>36</v>
      </c>
      <c r="E21" s="383">
        <v>7514.6</v>
      </c>
    </row>
    <row r="22" spans="1:5" x14ac:dyDescent="0.25">
      <c r="A22" s="292" t="s">
        <v>76</v>
      </c>
      <c r="B22" s="254" t="s">
        <v>77</v>
      </c>
      <c r="C22" s="292" t="s">
        <v>35</v>
      </c>
      <c r="D22" s="292" t="s">
        <v>36</v>
      </c>
      <c r="E22" s="383">
        <v>8885.39</v>
      </c>
    </row>
    <row r="23" spans="1:5" x14ac:dyDescent="0.25">
      <c r="A23" s="292" t="s">
        <v>78</v>
      </c>
      <c r="B23" s="254" t="s">
        <v>79</v>
      </c>
      <c r="C23" s="292" t="s">
        <v>35</v>
      </c>
      <c r="D23" s="292" t="s">
        <v>36</v>
      </c>
      <c r="E23" s="383">
        <v>11492.68</v>
      </c>
    </row>
    <row r="24" spans="1:5" x14ac:dyDescent="0.25">
      <c r="A24" s="292" t="s">
        <v>80</v>
      </c>
      <c r="B24" s="254" t="s">
        <v>81</v>
      </c>
      <c r="C24" s="292" t="s">
        <v>35</v>
      </c>
      <c r="D24" s="292" t="s">
        <v>36</v>
      </c>
      <c r="E24" s="383">
        <v>21051.95</v>
      </c>
    </row>
    <row r="25" spans="1:5" x14ac:dyDescent="0.25">
      <c r="A25" s="292" t="s">
        <v>82</v>
      </c>
      <c r="B25" s="254" t="s">
        <v>83</v>
      </c>
      <c r="C25" s="292" t="s">
        <v>35</v>
      </c>
      <c r="D25" s="292" t="s">
        <v>36</v>
      </c>
      <c r="E25" s="383">
        <v>33750.589999999997</v>
      </c>
    </row>
    <row r="26" spans="1:5" x14ac:dyDescent="0.25">
      <c r="A26" s="292" t="s">
        <v>84</v>
      </c>
      <c r="B26" s="254" t="s">
        <v>85</v>
      </c>
      <c r="C26" s="292" t="s">
        <v>35</v>
      </c>
      <c r="D26" s="292" t="s">
        <v>36</v>
      </c>
      <c r="E26" s="383">
        <v>9700.18</v>
      </c>
    </row>
    <row r="27" spans="1:5" x14ac:dyDescent="0.25">
      <c r="A27" s="292" t="s">
        <v>86</v>
      </c>
      <c r="B27" s="254" t="s">
        <v>87</v>
      </c>
      <c r="C27" s="292" t="s">
        <v>35</v>
      </c>
      <c r="D27" s="292" t="s">
        <v>36</v>
      </c>
      <c r="E27" s="383">
        <v>12579.32</v>
      </c>
    </row>
    <row r="28" spans="1:5" x14ac:dyDescent="0.25">
      <c r="A28" s="292" t="s">
        <v>88</v>
      </c>
      <c r="B28" s="254" t="s">
        <v>89</v>
      </c>
      <c r="C28" s="292" t="s">
        <v>35</v>
      </c>
      <c r="D28" s="292" t="s">
        <v>36</v>
      </c>
      <c r="E28" s="383">
        <v>18628.95</v>
      </c>
    </row>
    <row r="29" spans="1:5" x14ac:dyDescent="0.25">
      <c r="A29" s="292" t="s">
        <v>90</v>
      </c>
      <c r="B29" s="254" t="s">
        <v>91</v>
      </c>
      <c r="C29" s="292" t="s">
        <v>35</v>
      </c>
      <c r="D29" s="292" t="s">
        <v>36</v>
      </c>
      <c r="E29" s="383">
        <v>24233.9</v>
      </c>
    </row>
    <row r="30" spans="1:5" x14ac:dyDescent="0.25">
      <c r="A30" s="292" t="s">
        <v>92</v>
      </c>
      <c r="B30" s="254" t="s">
        <v>93</v>
      </c>
      <c r="C30" s="292" t="s">
        <v>35</v>
      </c>
      <c r="D30" s="292" t="s">
        <v>36</v>
      </c>
      <c r="E30" s="383">
        <v>25736.84</v>
      </c>
    </row>
    <row r="31" spans="1:5" x14ac:dyDescent="0.25">
      <c r="A31" s="292" t="s">
        <v>94</v>
      </c>
      <c r="B31" s="254" t="s">
        <v>95</v>
      </c>
      <c r="C31" s="292" t="s">
        <v>35</v>
      </c>
      <c r="D31" s="292" t="s">
        <v>36</v>
      </c>
      <c r="E31" s="383">
        <v>27239.78</v>
      </c>
    </row>
    <row r="32" spans="1:5" x14ac:dyDescent="0.25">
      <c r="A32" s="292" t="s">
        <v>96</v>
      </c>
      <c r="B32" s="254" t="s">
        <v>97</v>
      </c>
      <c r="C32" s="292" t="s">
        <v>35</v>
      </c>
      <c r="D32" s="292" t="s">
        <v>36</v>
      </c>
      <c r="E32" s="383">
        <v>24354.21</v>
      </c>
    </row>
    <row r="33" spans="1:5" x14ac:dyDescent="0.25">
      <c r="A33" s="292" t="s">
        <v>98</v>
      </c>
      <c r="B33" s="254" t="s">
        <v>99</v>
      </c>
      <c r="C33" s="292" t="s">
        <v>35</v>
      </c>
      <c r="D33" s="292" t="s">
        <v>36</v>
      </c>
      <c r="E33" s="383">
        <v>26558.86</v>
      </c>
    </row>
    <row r="34" spans="1:5" x14ac:dyDescent="0.25">
      <c r="A34" s="292" t="s">
        <v>100</v>
      </c>
      <c r="B34" s="254" t="s">
        <v>101</v>
      </c>
      <c r="C34" s="292" t="s">
        <v>35</v>
      </c>
      <c r="D34" s="292" t="s">
        <v>36</v>
      </c>
      <c r="E34" s="383">
        <v>28763.51</v>
      </c>
    </row>
    <row r="35" spans="1:5" x14ac:dyDescent="0.25">
      <c r="A35" s="292" t="s">
        <v>102</v>
      </c>
      <c r="B35" s="254" t="s">
        <v>103</v>
      </c>
      <c r="C35" s="292" t="s">
        <v>35</v>
      </c>
      <c r="D35" s="292" t="s">
        <v>36</v>
      </c>
      <c r="E35" s="383">
        <v>41989.87</v>
      </c>
    </row>
    <row r="36" spans="1:5" x14ac:dyDescent="0.25">
      <c r="A36" s="292" t="s">
        <v>104</v>
      </c>
      <c r="B36" s="254" t="s">
        <v>105</v>
      </c>
      <c r="C36" s="292" t="s">
        <v>35</v>
      </c>
      <c r="D36" s="292" t="s">
        <v>36</v>
      </c>
      <c r="E36" s="383">
        <v>35173.129999999997</v>
      </c>
    </row>
    <row r="37" spans="1:5" x14ac:dyDescent="0.25">
      <c r="A37" s="292" t="s">
        <v>106</v>
      </c>
      <c r="B37" s="254" t="s">
        <v>107</v>
      </c>
      <c r="C37" s="292" t="s">
        <v>35</v>
      </c>
      <c r="D37" s="292" t="s">
        <v>36</v>
      </c>
      <c r="E37" s="383">
        <v>24336.3</v>
      </c>
    </row>
    <row r="38" spans="1:5" x14ac:dyDescent="0.25">
      <c r="A38" s="292" t="s">
        <v>108</v>
      </c>
      <c r="B38" s="254" t="s">
        <v>109</v>
      </c>
      <c r="C38" s="292" t="s">
        <v>35</v>
      </c>
      <c r="D38" s="292" t="s">
        <v>36</v>
      </c>
      <c r="E38" s="383">
        <v>26274.48</v>
      </c>
    </row>
    <row r="39" spans="1:5" x14ac:dyDescent="0.25">
      <c r="A39" s="292" t="s">
        <v>110</v>
      </c>
      <c r="B39" s="254" t="s">
        <v>111</v>
      </c>
      <c r="C39" s="292" t="s">
        <v>35</v>
      </c>
      <c r="D39" s="292" t="s">
        <v>36</v>
      </c>
      <c r="E39" s="383">
        <v>28212.66</v>
      </c>
    </row>
    <row r="40" spans="1:5" x14ac:dyDescent="0.25">
      <c r="A40" s="292" t="s">
        <v>112</v>
      </c>
      <c r="B40" s="254" t="s">
        <v>113</v>
      </c>
      <c r="C40" s="292" t="s">
        <v>35</v>
      </c>
      <c r="D40" s="292" t="s">
        <v>36</v>
      </c>
      <c r="E40" s="383">
        <v>24288.81</v>
      </c>
    </row>
    <row r="41" spans="1:5" x14ac:dyDescent="0.25">
      <c r="A41" s="292" t="s">
        <v>114</v>
      </c>
      <c r="B41" s="254" t="s">
        <v>115</v>
      </c>
      <c r="C41" s="292" t="s">
        <v>35</v>
      </c>
      <c r="D41" s="292" t="s">
        <v>36</v>
      </c>
      <c r="E41" s="383">
        <v>27591.759999999998</v>
      </c>
    </row>
    <row r="42" spans="1:5" x14ac:dyDescent="0.25">
      <c r="A42" s="292" t="s">
        <v>116</v>
      </c>
      <c r="B42" s="254" t="s">
        <v>117</v>
      </c>
      <c r="C42" s="292" t="s">
        <v>35</v>
      </c>
      <c r="D42" s="292" t="s">
        <v>36</v>
      </c>
      <c r="E42" s="383">
        <v>30894.71</v>
      </c>
    </row>
    <row r="43" spans="1:5" x14ac:dyDescent="0.25">
      <c r="A43" s="292" t="s">
        <v>118</v>
      </c>
      <c r="B43" s="254" t="s">
        <v>119</v>
      </c>
      <c r="C43" s="292" t="s">
        <v>35</v>
      </c>
      <c r="D43" s="292" t="s">
        <v>36</v>
      </c>
      <c r="E43" s="383">
        <v>24336.3</v>
      </c>
    </row>
    <row r="44" spans="1:5" x14ac:dyDescent="0.25">
      <c r="A44" s="292" t="s">
        <v>120</v>
      </c>
      <c r="B44" s="254" t="s">
        <v>121</v>
      </c>
      <c r="C44" s="292" t="s">
        <v>35</v>
      </c>
      <c r="D44" s="292" t="s">
        <v>36</v>
      </c>
      <c r="E44" s="383">
        <v>26274.48</v>
      </c>
    </row>
    <row r="45" spans="1:5" x14ac:dyDescent="0.25">
      <c r="A45" s="292" t="s">
        <v>122</v>
      </c>
      <c r="B45" s="254" t="s">
        <v>123</v>
      </c>
      <c r="C45" s="292" t="s">
        <v>35</v>
      </c>
      <c r="D45" s="292" t="s">
        <v>36</v>
      </c>
      <c r="E45" s="383">
        <v>28212.66</v>
      </c>
    </row>
    <row r="46" spans="1:5" x14ac:dyDescent="0.25">
      <c r="A46" s="292" t="s">
        <v>124</v>
      </c>
      <c r="B46" s="254" t="s">
        <v>125</v>
      </c>
      <c r="C46" s="292" t="s">
        <v>35</v>
      </c>
      <c r="D46" s="292" t="s">
        <v>36</v>
      </c>
      <c r="E46" s="383">
        <v>24321.09</v>
      </c>
    </row>
    <row r="47" spans="1:5" x14ac:dyDescent="0.25">
      <c r="A47" s="292" t="s">
        <v>126</v>
      </c>
      <c r="B47" s="254" t="s">
        <v>127</v>
      </c>
      <c r="C47" s="292" t="s">
        <v>35</v>
      </c>
      <c r="D47" s="292" t="s">
        <v>36</v>
      </c>
      <c r="E47" s="383">
        <v>25780.18</v>
      </c>
    </row>
    <row r="48" spans="1:5" x14ac:dyDescent="0.25">
      <c r="A48" s="292" t="s">
        <v>128</v>
      </c>
      <c r="B48" s="254" t="s">
        <v>129</v>
      </c>
      <c r="C48" s="292" t="s">
        <v>35</v>
      </c>
      <c r="D48" s="292" t="s">
        <v>36</v>
      </c>
      <c r="E48" s="383">
        <v>27239.27</v>
      </c>
    </row>
    <row r="49" spans="1:5" x14ac:dyDescent="0.25">
      <c r="A49" s="292" t="s">
        <v>130</v>
      </c>
      <c r="B49" s="254" t="s">
        <v>131</v>
      </c>
      <c r="C49" s="292" t="s">
        <v>35</v>
      </c>
      <c r="D49" s="292" t="s">
        <v>36</v>
      </c>
      <c r="E49" s="383">
        <v>7033.98</v>
      </c>
    </row>
    <row r="50" spans="1:5" x14ac:dyDescent="0.25">
      <c r="A50" s="292" t="s">
        <v>132</v>
      </c>
      <c r="B50" s="254" t="s">
        <v>133</v>
      </c>
      <c r="C50" s="292" t="s">
        <v>35</v>
      </c>
      <c r="D50" s="292" t="s">
        <v>36</v>
      </c>
      <c r="E50" s="383">
        <v>8945.68</v>
      </c>
    </row>
    <row r="51" spans="1:5" x14ac:dyDescent="0.25">
      <c r="A51" s="292" t="s">
        <v>134</v>
      </c>
      <c r="B51" s="254" t="s">
        <v>135</v>
      </c>
      <c r="C51" s="292" t="s">
        <v>35</v>
      </c>
      <c r="D51" s="292" t="s">
        <v>36</v>
      </c>
      <c r="E51" s="383">
        <v>16020</v>
      </c>
    </row>
    <row r="52" spans="1:5" x14ac:dyDescent="0.25">
      <c r="A52" s="292" t="s">
        <v>136</v>
      </c>
      <c r="B52" s="254" t="s">
        <v>137</v>
      </c>
      <c r="C52" s="292" t="s">
        <v>138</v>
      </c>
      <c r="D52" s="292" t="s">
        <v>36</v>
      </c>
      <c r="E52" s="383">
        <v>5615.95</v>
      </c>
    </row>
    <row r="53" spans="1:5" x14ac:dyDescent="0.25">
      <c r="A53" s="292" t="s">
        <v>139</v>
      </c>
      <c r="B53" s="254" t="s">
        <v>140</v>
      </c>
      <c r="C53" s="292" t="s">
        <v>35</v>
      </c>
      <c r="D53" s="292" t="s">
        <v>36</v>
      </c>
      <c r="E53" s="383">
        <v>24202.58</v>
      </c>
    </row>
    <row r="54" spans="1:5" x14ac:dyDescent="0.25">
      <c r="A54" s="292" t="s">
        <v>141</v>
      </c>
      <c r="B54" s="254" t="s">
        <v>142</v>
      </c>
      <c r="C54" s="292" t="s">
        <v>35</v>
      </c>
      <c r="D54" s="292" t="s">
        <v>36</v>
      </c>
      <c r="E54" s="383">
        <v>10684.08</v>
      </c>
    </row>
    <row r="55" spans="1:5" x14ac:dyDescent="0.25">
      <c r="A55" s="292" t="s">
        <v>143</v>
      </c>
      <c r="B55" s="254" t="s">
        <v>144</v>
      </c>
      <c r="C55" s="292" t="s">
        <v>35</v>
      </c>
      <c r="D55" s="292" t="s">
        <v>36</v>
      </c>
      <c r="E55" s="383">
        <v>13881.87</v>
      </c>
    </row>
    <row r="56" spans="1:5" x14ac:dyDescent="0.25">
      <c r="A56" s="292" t="s">
        <v>145</v>
      </c>
      <c r="B56" s="254" t="s">
        <v>146</v>
      </c>
      <c r="C56" s="292" t="s">
        <v>35</v>
      </c>
      <c r="D56" s="292" t="s">
        <v>36</v>
      </c>
      <c r="E56" s="383">
        <v>22130.43</v>
      </c>
    </row>
    <row r="57" spans="1:5" x14ac:dyDescent="0.25">
      <c r="A57" s="292" t="s">
        <v>147</v>
      </c>
      <c r="B57" s="254" t="s">
        <v>148</v>
      </c>
      <c r="C57" s="292" t="s">
        <v>61</v>
      </c>
      <c r="D57" s="292" t="s">
        <v>36</v>
      </c>
      <c r="E57" s="383">
        <v>5663</v>
      </c>
    </row>
    <row r="58" spans="1:5" x14ac:dyDescent="0.25">
      <c r="A58" s="292" t="s">
        <v>149</v>
      </c>
      <c r="B58" s="254" t="s">
        <v>150</v>
      </c>
      <c r="C58" s="292" t="s">
        <v>61</v>
      </c>
      <c r="D58" s="292" t="s">
        <v>36</v>
      </c>
      <c r="E58" s="383">
        <v>5107.6499999999996</v>
      </c>
    </row>
    <row r="59" spans="1:5" x14ac:dyDescent="0.25">
      <c r="A59" s="292" t="s">
        <v>151</v>
      </c>
      <c r="B59" s="254" t="s">
        <v>152</v>
      </c>
      <c r="C59" s="292" t="s">
        <v>35</v>
      </c>
      <c r="D59" s="292" t="s">
        <v>36</v>
      </c>
      <c r="E59" s="383">
        <v>9792.1200000000008</v>
      </c>
    </row>
    <row r="60" spans="1:5" x14ac:dyDescent="0.25">
      <c r="A60" s="292" t="s">
        <v>153</v>
      </c>
      <c r="B60" s="254" t="s">
        <v>154</v>
      </c>
      <c r="C60" s="292" t="s">
        <v>35</v>
      </c>
      <c r="D60" s="292" t="s">
        <v>36</v>
      </c>
      <c r="E60" s="383">
        <v>12691.57</v>
      </c>
    </row>
    <row r="61" spans="1:5" x14ac:dyDescent="0.25">
      <c r="A61" s="292" t="s">
        <v>155</v>
      </c>
      <c r="B61" s="254" t="s">
        <v>156</v>
      </c>
      <c r="C61" s="292" t="s">
        <v>35</v>
      </c>
      <c r="D61" s="292" t="s">
        <v>36</v>
      </c>
      <c r="E61" s="383">
        <v>22332</v>
      </c>
    </row>
    <row r="62" spans="1:5" x14ac:dyDescent="0.25">
      <c r="A62" s="292" t="s">
        <v>157</v>
      </c>
      <c r="B62" s="254" t="s">
        <v>158</v>
      </c>
      <c r="C62" s="292" t="s">
        <v>35</v>
      </c>
      <c r="D62" s="292" t="s">
        <v>36</v>
      </c>
      <c r="E62" s="383">
        <v>6169.62</v>
      </c>
    </row>
    <row r="63" spans="1:5" x14ac:dyDescent="0.25">
      <c r="A63" s="292" t="s">
        <v>159</v>
      </c>
      <c r="B63" s="254" t="s">
        <v>160</v>
      </c>
      <c r="C63" s="292" t="s">
        <v>35</v>
      </c>
      <c r="D63" s="292" t="s">
        <v>36</v>
      </c>
      <c r="E63" s="383">
        <v>7779.13</v>
      </c>
    </row>
    <row r="64" spans="1:5" x14ac:dyDescent="0.25">
      <c r="A64" s="292" t="s">
        <v>161</v>
      </c>
      <c r="B64" s="254" t="s">
        <v>162</v>
      </c>
      <c r="C64" s="292" t="s">
        <v>35</v>
      </c>
      <c r="D64" s="292" t="s">
        <v>36</v>
      </c>
      <c r="E64" s="383">
        <v>9886.92</v>
      </c>
    </row>
    <row r="65" spans="1:5" x14ac:dyDescent="0.25">
      <c r="A65" s="292" t="s">
        <v>163</v>
      </c>
      <c r="B65" s="254" t="s">
        <v>164</v>
      </c>
      <c r="C65" s="292" t="s">
        <v>61</v>
      </c>
      <c r="D65" s="292" t="s">
        <v>36</v>
      </c>
      <c r="E65" s="383">
        <v>6270.98</v>
      </c>
    </row>
    <row r="66" spans="1:5" x14ac:dyDescent="0.25">
      <c r="A66" s="292" t="s">
        <v>165</v>
      </c>
      <c r="B66" s="254" t="s">
        <v>166</v>
      </c>
      <c r="C66" s="292" t="s">
        <v>138</v>
      </c>
      <c r="D66" s="292" t="s">
        <v>36</v>
      </c>
      <c r="E66" s="383">
        <v>5087.7700000000004</v>
      </c>
    </row>
    <row r="67" spans="1:5" x14ac:dyDescent="0.25">
      <c r="A67" s="292" t="s">
        <v>167</v>
      </c>
      <c r="B67" s="254" t="s">
        <v>168</v>
      </c>
      <c r="C67" s="292" t="s">
        <v>138</v>
      </c>
      <c r="D67" s="292" t="s">
        <v>36</v>
      </c>
      <c r="E67" s="383">
        <v>6565.04</v>
      </c>
    </row>
    <row r="68" spans="1:5" x14ac:dyDescent="0.25">
      <c r="A68" s="292" t="s">
        <v>169</v>
      </c>
      <c r="B68" s="254" t="s">
        <v>170</v>
      </c>
      <c r="C68" s="292" t="s">
        <v>138</v>
      </c>
      <c r="D68" s="292" t="s">
        <v>36</v>
      </c>
      <c r="E68" s="383">
        <v>7040.14</v>
      </c>
    </row>
    <row r="69" spans="1:5" x14ac:dyDescent="0.25">
      <c r="A69" s="292" t="s">
        <v>171</v>
      </c>
      <c r="B69" s="254" t="s">
        <v>172</v>
      </c>
      <c r="C69" s="292" t="s">
        <v>138</v>
      </c>
      <c r="D69" s="292" t="s">
        <v>36</v>
      </c>
      <c r="E69" s="383">
        <v>9422.75</v>
      </c>
    </row>
    <row r="70" spans="1:5" x14ac:dyDescent="0.25">
      <c r="A70" s="292" t="s">
        <v>173</v>
      </c>
      <c r="B70" s="254" t="s">
        <v>174</v>
      </c>
      <c r="C70" s="292" t="s">
        <v>138</v>
      </c>
      <c r="D70" s="292" t="s">
        <v>36</v>
      </c>
      <c r="E70" s="383">
        <v>6390.65</v>
      </c>
    </row>
    <row r="71" spans="1:5" x14ac:dyDescent="0.25">
      <c r="A71" s="292" t="s">
        <v>177</v>
      </c>
      <c r="B71" s="254" t="s">
        <v>178</v>
      </c>
      <c r="C71" s="292" t="s">
        <v>138</v>
      </c>
      <c r="D71" s="292" t="s">
        <v>36</v>
      </c>
      <c r="E71" s="383">
        <v>5810.76</v>
      </c>
    </row>
    <row r="72" spans="1:5" x14ac:dyDescent="0.25">
      <c r="A72" s="292" t="s">
        <v>756</v>
      </c>
      <c r="B72" s="254" t="s">
        <v>757</v>
      </c>
      <c r="C72" s="292" t="s">
        <v>35</v>
      </c>
      <c r="D72" s="292" t="s">
        <v>36</v>
      </c>
      <c r="E72" s="383">
        <v>5922.06</v>
      </c>
    </row>
    <row r="73" spans="1:5" x14ac:dyDescent="0.25">
      <c r="A73" s="292" t="s">
        <v>758</v>
      </c>
      <c r="B73" s="254" t="s">
        <v>759</v>
      </c>
      <c r="C73" s="292" t="s">
        <v>35</v>
      </c>
      <c r="D73" s="292" t="s">
        <v>36</v>
      </c>
      <c r="E73" s="383">
        <v>7458.14</v>
      </c>
    </row>
    <row r="74" spans="1:5" x14ac:dyDescent="0.25">
      <c r="A74" s="292" t="s">
        <v>760</v>
      </c>
      <c r="B74" s="254" t="s">
        <v>761</v>
      </c>
      <c r="C74" s="292" t="s">
        <v>35</v>
      </c>
      <c r="D74" s="292" t="s">
        <v>36</v>
      </c>
      <c r="E74" s="383">
        <v>11316.56</v>
      </c>
    </row>
    <row r="75" spans="1:5" x14ac:dyDescent="0.25">
      <c r="A75" s="292" t="s">
        <v>762</v>
      </c>
      <c r="B75" s="254" t="s">
        <v>763</v>
      </c>
      <c r="C75" s="292" t="s">
        <v>35</v>
      </c>
      <c r="D75" s="292" t="s">
        <v>36</v>
      </c>
      <c r="E75" s="383">
        <v>7457.29</v>
      </c>
    </row>
    <row r="76" spans="1:5" x14ac:dyDescent="0.25">
      <c r="A76" s="292" t="s">
        <v>764</v>
      </c>
      <c r="B76" s="254" t="s">
        <v>765</v>
      </c>
      <c r="C76" s="292" t="s">
        <v>35</v>
      </c>
      <c r="D76" s="292" t="s">
        <v>36</v>
      </c>
      <c r="E76" s="383">
        <v>9539.3799999999992</v>
      </c>
    </row>
    <row r="77" spans="1:5" x14ac:dyDescent="0.25">
      <c r="A77" s="292" t="s">
        <v>766</v>
      </c>
      <c r="B77" s="254" t="s">
        <v>767</v>
      </c>
      <c r="C77" s="292" t="s">
        <v>35</v>
      </c>
      <c r="D77" s="292" t="s">
        <v>36</v>
      </c>
      <c r="E77" s="383">
        <v>16341.82</v>
      </c>
    </row>
    <row r="78" spans="1:5" x14ac:dyDescent="0.25">
      <c r="A78" s="292" t="s">
        <v>1116</v>
      </c>
      <c r="B78" s="254" t="s">
        <v>968</v>
      </c>
      <c r="C78" s="292" t="s">
        <v>35</v>
      </c>
      <c r="D78" s="292" t="s">
        <v>36</v>
      </c>
      <c r="E78" s="383">
        <v>24326.03</v>
      </c>
    </row>
    <row r="79" spans="1:5" x14ac:dyDescent="0.25">
      <c r="A79" s="292" t="s">
        <v>1117</v>
      </c>
      <c r="B79" s="254" t="s">
        <v>969</v>
      </c>
      <c r="C79" s="292" t="s">
        <v>35</v>
      </c>
      <c r="D79" s="292" t="s">
        <v>36</v>
      </c>
      <c r="E79" s="383">
        <v>25984.93</v>
      </c>
    </row>
    <row r="80" spans="1:5" x14ac:dyDescent="0.25">
      <c r="A80" s="292" t="s">
        <v>1118</v>
      </c>
      <c r="B80" s="254" t="s">
        <v>970</v>
      </c>
      <c r="C80" s="292" t="s">
        <v>35</v>
      </c>
      <c r="D80" s="292" t="s">
        <v>36</v>
      </c>
      <c r="E80" s="383">
        <v>27643.84</v>
      </c>
    </row>
    <row r="81" spans="1:5" x14ac:dyDescent="0.25">
      <c r="A81" s="292" t="s">
        <v>979</v>
      </c>
      <c r="B81" s="254" t="s">
        <v>980</v>
      </c>
      <c r="C81" s="292" t="s">
        <v>35</v>
      </c>
      <c r="D81" s="292" t="s">
        <v>36</v>
      </c>
      <c r="E81" s="383">
        <v>8375.83</v>
      </c>
    </row>
    <row r="82" spans="1:5" x14ac:dyDescent="0.25">
      <c r="A82" s="292" t="s">
        <v>981</v>
      </c>
      <c r="B82" s="254" t="s">
        <v>982</v>
      </c>
      <c r="C82" s="292" t="s">
        <v>35</v>
      </c>
      <c r="D82" s="292" t="s">
        <v>36</v>
      </c>
      <c r="E82" s="383">
        <v>10795.97</v>
      </c>
    </row>
    <row r="83" spans="1:5" x14ac:dyDescent="0.25">
      <c r="A83" s="292" t="s">
        <v>983</v>
      </c>
      <c r="B83" s="254" t="s">
        <v>984</v>
      </c>
      <c r="C83" s="292" t="s">
        <v>35</v>
      </c>
      <c r="D83" s="292" t="s">
        <v>36</v>
      </c>
      <c r="E83" s="383">
        <v>20233.23</v>
      </c>
    </row>
    <row r="84" spans="1:5" x14ac:dyDescent="0.25">
      <c r="A84" s="292" t="s">
        <v>985</v>
      </c>
      <c r="B84" s="254" t="s">
        <v>986</v>
      </c>
      <c r="C84" s="292" t="s">
        <v>35</v>
      </c>
      <c r="D84" s="292" t="s">
        <v>36</v>
      </c>
      <c r="E84" s="383">
        <v>7610.1</v>
      </c>
    </row>
    <row r="85" spans="1:5" x14ac:dyDescent="0.25">
      <c r="A85" s="292" t="s">
        <v>987</v>
      </c>
      <c r="B85" s="254" t="s">
        <v>988</v>
      </c>
      <c r="C85" s="292" t="s">
        <v>35</v>
      </c>
      <c r="D85" s="292" t="s">
        <v>36</v>
      </c>
      <c r="E85" s="383">
        <v>9727.15</v>
      </c>
    </row>
    <row r="86" spans="1:5" x14ac:dyDescent="0.25">
      <c r="A86" s="292" t="s">
        <v>989</v>
      </c>
      <c r="B86" s="254" t="s">
        <v>990</v>
      </c>
      <c r="C86" s="292" t="s">
        <v>35</v>
      </c>
      <c r="D86" s="292" t="s">
        <v>36</v>
      </c>
      <c r="E86" s="383">
        <v>14855.45</v>
      </c>
    </row>
    <row r="87" spans="1:5" x14ac:dyDescent="0.25">
      <c r="A87" s="292" t="s">
        <v>991</v>
      </c>
      <c r="B87" s="254" t="s">
        <v>992</v>
      </c>
      <c r="C87" s="292" t="s">
        <v>35</v>
      </c>
      <c r="D87" s="292" t="s">
        <v>36</v>
      </c>
      <c r="E87" s="383">
        <v>6577.01</v>
      </c>
    </row>
    <row r="88" spans="1:5" x14ac:dyDescent="0.25">
      <c r="A88" s="292" t="s">
        <v>993</v>
      </c>
      <c r="B88" s="254" t="s">
        <v>994</v>
      </c>
      <c r="C88" s="292" t="s">
        <v>35</v>
      </c>
      <c r="D88" s="292" t="s">
        <v>36</v>
      </c>
      <c r="E88" s="383">
        <v>8320.98</v>
      </c>
    </row>
    <row r="89" spans="1:5" x14ac:dyDescent="0.25">
      <c r="A89" s="292" t="s">
        <v>995</v>
      </c>
      <c r="B89" s="254" t="s">
        <v>996</v>
      </c>
      <c r="C89" s="292" t="s">
        <v>35</v>
      </c>
      <c r="D89" s="292" t="s">
        <v>36</v>
      </c>
      <c r="E89" s="383">
        <v>11894.09</v>
      </c>
    </row>
    <row r="90" spans="1:5" x14ac:dyDescent="0.25">
      <c r="A90" s="292" t="s">
        <v>1119</v>
      </c>
      <c r="B90" s="254" t="s">
        <v>971</v>
      </c>
      <c r="C90" s="292" t="s">
        <v>35</v>
      </c>
      <c r="D90" s="292" t="s">
        <v>36</v>
      </c>
      <c r="E90" s="383">
        <v>8661.08</v>
      </c>
    </row>
    <row r="91" spans="1:5" x14ac:dyDescent="0.25">
      <c r="A91" s="292" t="s">
        <v>1120</v>
      </c>
      <c r="B91" s="254" t="s">
        <v>972</v>
      </c>
      <c r="C91" s="292" t="s">
        <v>35</v>
      </c>
      <c r="D91" s="292" t="s">
        <v>36</v>
      </c>
      <c r="E91" s="383">
        <v>11183.09</v>
      </c>
    </row>
    <row r="92" spans="1:5" x14ac:dyDescent="0.25">
      <c r="A92" s="292" t="s">
        <v>1121</v>
      </c>
      <c r="B92" s="254" t="s">
        <v>973</v>
      </c>
      <c r="C92" s="292" t="s">
        <v>35</v>
      </c>
      <c r="D92" s="292" t="s">
        <v>36</v>
      </c>
      <c r="E92" s="383">
        <v>17210.75</v>
      </c>
    </row>
    <row r="93" spans="1:5" x14ac:dyDescent="0.25">
      <c r="A93" s="292" t="s">
        <v>1122</v>
      </c>
      <c r="B93" s="254" t="s">
        <v>974</v>
      </c>
      <c r="C93" s="292" t="s">
        <v>35</v>
      </c>
      <c r="D93" s="292" t="s">
        <v>36</v>
      </c>
      <c r="E93" s="383">
        <v>7610.1</v>
      </c>
    </row>
    <row r="94" spans="1:5" x14ac:dyDescent="0.25">
      <c r="A94" s="292" t="s">
        <v>1123</v>
      </c>
      <c r="B94" s="254" t="s">
        <v>975</v>
      </c>
      <c r="C94" s="292" t="s">
        <v>35</v>
      </c>
      <c r="D94" s="292" t="s">
        <v>36</v>
      </c>
      <c r="E94" s="383">
        <v>9727.15</v>
      </c>
    </row>
    <row r="95" spans="1:5" x14ac:dyDescent="0.25">
      <c r="A95" s="292" t="s">
        <v>1124</v>
      </c>
      <c r="B95" s="254" t="s">
        <v>976</v>
      </c>
      <c r="C95" s="292" t="s">
        <v>35</v>
      </c>
      <c r="D95" s="292" t="s">
        <v>36</v>
      </c>
      <c r="E95" s="383">
        <v>14855.45</v>
      </c>
    </row>
    <row r="96" spans="1:5" x14ac:dyDescent="0.25">
      <c r="A96" s="292" t="s">
        <v>997</v>
      </c>
      <c r="B96" s="254" t="s">
        <v>998</v>
      </c>
      <c r="C96" s="292" t="s">
        <v>35</v>
      </c>
      <c r="D96" s="292" t="s">
        <v>36</v>
      </c>
      <c r="E96" s="383">
        <v>8983.33</v>
      </c>
    </row>
    <row r="97" spans="1:5" x14ac:dyDescent="0.25">
      <c r="A97" s="292" t="s">
        <v>999</v>
      </c>
      <c r="B97" s="254" t="s">
        <v>1000</v>
      </c>
      <c r="C97" s="292" t="s">
        <v>35</v>
      </c>
      <c r="D97" s="292" t="s">
        <v>36</v>
      </c>
      <c r="E97" s="383">
        <v>11612.76</v>
      </c>
    </row>
    <row r="98" spans="1:5" x14ac:dyDescent="0.25">
      <c r="A98" s="292" t="s">
        <v>1001</v>
      </c>
      <c r="B98" s="254" t="s">
        <v>1002</v>
      </c>
      <c r="C98" s="292" t="s">
        <v>35</v>
      </c>
      <c r="D98" s="292" t="s">
        <v>36</v>
      </c>
      <c r="E98" s="383">
        <v>17315.04</v>
      </c>
    </row>
    <row r="99" spans="1:5" x14ac:dyDescent="0.25">
      <c r="A99" s="193" t="s">
        <v>179</v>
      </c>
      <c r="B99" s="285" t="s">
        <v>180</v>
      </c>
      <c r="C99" s="193" t="s">
        <v>138</v>
      </c>
      <c r="D99" s="193" t="s">
        <v>36</v>
      </c>
      <c r="E99" s="413">
        <v>8697.3354999999992</v>
      </c>
    </row>
    <row r="100" spans="1:5" x14ac:dyDescent="0.25">
      <c r="A100" s="193" t="s">
        <v>181</v>
      </c>
      <c r="B100" s="285" t="s">
        <v>182</v>
      </c>
      <c r="C100" s="193" t="s">
        <v>138</v>
      </c>
      <c r="D100" s="193" t="s">
        <v>36</v>
      </c>
      <c r="E100" s="413">
        <v>7821.6815999999999</v>
      </c>
    </row>
    <row r="101" spans="1:5" x14ac:dyDescent="0.25">
      <c r="A101" s="193" t="s">
        <v>175</v>
      </c>
      <c r="B101" s="285" t="s">
        <v>176</v>
      </c>
      <c r="C101" s="193" t="s">
        <v>138</v>
      </c>
      <c r="D101" s="193" t="s">
        <v>36</v>
      </c>
      <c r="E101" s="412" t="s">
        <v>259</v>
      </c>
    </row>
    <row r="102" spans="1:5" x14ac:dyDescent="0.25">
      <c r="A102" s="292" t="s">
        <v>1003</v>
      </c>
      <c r="B102" s="293" t="s">
        <v>1004</v>
      </c>
      <c r="C102" s="292" t="s">
        <v>61</v>
      </c>
      <c r="D102" s="292" t="s">
        <v>336</v>
      </c>
      <c r="E102" s="294">
        <v>27.61</v>
      </c>
    </row>
    <row r="103" spans="1:5" x14ac:dyDescent="0.25">
      <c r="A103" s="193" t="s">
        <v>1018</v>
      </c>
      <c r="B103" s="285" t="s">
        <v>1019</v>
      </c>
      <c r="C103" s="193" t="s">
        <v>61</v>
      </c>
      <c r="D103" s="193" t="s">
        <v>36</v>
      </c>
      <c r="E103" s="413">
        <v>5581.4790999999996</v>
      </c>
    </row>
    <row r="104" spans="1:5" x14ac:dyDescent="0.25">
      <c r="A104" s="367" t="s">
        <v>1113</v>
      </c>
    </row>
  </sheetData>
  <pageMargins left="0.511811024" right="0.511811024" top="0.78740157499999996" bottom="0.78740157499999996" header="0.31496062000000002" footer="0.31496062000000002"/>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Planilha23">
    <tabColor theme="9"/>
  </sheetPr>
  <dimension ref="A1:K14"/>
  <sheetViews>
    <sheetView zoomScale="70" zoomScaleNormal="70" workbookViewId="0"/>
  </sheetViews>
  <sheetFormatPr defaultColWidth="9.140625" defaultRowHeight="15" x14ac:dyDescent="0.25"/>
  <cols>
    <col min="1" max="1" width="17.7109375" style="2" customWidth="1"/>
    <col min="2" max="2" width="9.28515625" style="2" bestFit="1" customWidth="1"/>
    <col min="3" max="3" width="98.140625" style="2" customWidth="1"/>
    <col min="4" max="4" width="5.85546875" style="2" bestFit="1" customWidth="1"/>
    <col min="5" max="5" width="20.7109375" style="2" bestFit="1" customWidth="1"/>
    <col min="6" max="6" width="23.5703125" style="2" bestFit="1" customWidth="1"/>
    <col min="7" max="7" width="22.140625" style="2" bestFit="1" customWidth="1"/>
    <col min="8" max="8" width="24.85546875" style="2" bestFit="1" customWidth="1"/>
    <col min="9" max="9" width="20.7109375" style="2" bestFit="1" customWidth="1"/>
    <col min="10" max="10" width="23.5703125" style="2" bestFit="1" customWidth="1"/>
    <col min="11" max="11" width="15" style="2" bestFit="1" customWidth="1"/>
    <col min="12" max="16384" width="9.140625" style="2"/>
  </cols>
  <sheetData>
    <row r="1" spans="1:11" ht="34.5" x14ac:dyDescent="0.25">
      <c r="A1" s="2" t="s">
        <v>967</v>
      </c>
      <c r="B1" s="30" t="s">
        <v>29</v>
      </c>
      <c r="C1" s="30" t="s">
        <v>15</v>
      </c>
      <c r="D1" s="30" t="s">
        <v>30</v>
      </c>
      <c r="E1" s="30" t="s">
        <v>183</v>
      </c>
      <c r="F1" s="30" t="s">
        <v>184</v>
      </c>
      <c r="G1" s="30" t="s">
        <v>185</v>
      </c>
      <c r="H1" s="30" t="s">
        <v>186</v>
      </c>
      <c r="I1" s="30" t="s">
        <v>187</v>
      </c>
      <c r="J1" s="30" t="s">
        <v>188</v>
      </c>
      <c r="K1" s="30" t="s">
        <v>189</v>
      </c>
    </row>
    <row r="2" spans="1:11" x14ac:dyDescent="0.25">
      <c r="A2" s="2" t="s">
        <v>977</v>
      </c>
      <c r="B2" s="272" t="s">
        <v>190</v>
      </c>
      <c r="C2" s="267" t="s">
        <v>191</v>
      </c>
      <c r="D2" s="193" t="s">
        <v>192</v>
      </c>
      <c r="E2" s="194">
        <v>36.69</v>
      </c>
      <c r="F2" s="194">
        <v>6.57</v>
      </c>
      <c r="G2" s="194">
        <v>66</v>
      </c>
      <c r="H2" s="194">
        <v>116.49</v>
      </c>
      <c r="I2" s="194">
        <f>ROUND(E2*G2,4)</f>
        <v>2421.54</v>
      </c>
      <c r="J2" s="194">
        <f>ROUND(F2*H2,4)</f>
        <v>765.33929999999998</v>
      </c>
      <c r="K2" s="194">
        <f t="shared" ref="K2:K7" si="0">I2+J2</f>
        <v>3186.8793000000001</v>
      </c>
    </row>
    <row r="3" spans="1:11" x14ac:dyDescent="0.25">
      <c r="A3" s="2" t="s">
        <v>977</v>
      </c>
      <c r="B3" s="272" t="s">
        <v>193</v>
      </c>
      <c r="C3" s="267" t="s">
        <v>1115</v>
      </c>
      <c r="D3" s="193" t="s">
        <v>192</v>
      </c>
      <c r="E3" s="194">
        <v>79.599999999999994</v>
      </c>
      <c r="F3" s="194">
        <v>22.89</v>
      </c>
      <c r="G3" s="194">
        <v>66</v>
      </c>
      <c r="H3" s="194">
        <v>116.49</v>
      </c>
      <c r="I3" s="194">
        <f t="shared" ref="I3:J8" si="1">ROUND(E3*G3,4)</f>
        <v>5253.6</v>
      </c>
      <c r="J3" s="194">
        <f t="shared" si="1"/>
        <v>2666.4560999999999</v>
      </c>
      <c r="K3" s="194">
        <f t="shared" si="0"/>
        <v>7920.0560999999998</v>
      </c>
    </row>
    <row r="4" spans="1:11" x14ac:dyDescent="0.25">
      <c r="A4" s="2" t="s">
        <v>977</v>
      </c>
      <c r="B4" s="272" t="s">
        <v>194</v>
      </c>
      <c r="C4" s="267" t="s">
        <v>1114</v>
      </c>
      <c r="D4" s="193" t="s">
        <v>192</v>
      </c>
      <c r="E4" s="194">
        <v>83.96</v>
      </c>
      <c r="F4" s="194">
        <v>44.82</v>
      </c>
      <c r="G4" s="194">
        <v>66</v>
      </c>
      <c r="H4" s="194">
        <v>116.49</v>
      </c>
      <c r="I4" s="194">
        <f t="shared" si="1"/>
        <v>5541.36</v>
      </c>
      <c r="J4" s="194">
        <f t="shared" si="1"/>
        <v>5221.0817999999999</v>
      </c>
      <c r="K4" s="194">
        <f t="shared" si="0"/>
        <v>10762.441800000001</v>
      </c>
    </row>
    <row r="5" spans="1:11" x14ac:dyDescent="0.25">
      <c r="A5" s="2" t="s">
        <v>967</v>
      </c>
      <c r="B5" s="272" t="s">
        <v>195</v>
      </c>
      <c r="C5" s="267" t="s">
        <v>196</v>
      </c>
      <c r="D5" s="193" t="s">
        <v>197</v>
      </c>
      <c r="E5" s="194">
        <v>184.56559999999999</v>
      </c>
      <c r="F5" s="194">
        <v>69.557000000000002</v>
      </c>
      <c r="G5" s="194">
        <v>66</v>
      </c>
      <c r="H5" s="194">
        <v>116.49</v>
      </c>
      <c r="I5" s="194">
        <f t="shared" si="1"/>
        <v>12181.329599999999</v>
      </c>
      <c r="J5" s="194">
        <f t="shared" si="1"/>
        <v>8102.6949000000004</v>
      </c>
      <c r="K5" s="194">
        <f t="shared" si="0"/>
        <v>20284.0245</v>
      </c>
    </row>
    <row r="6" spans="1:11" x14ac:dyDescent="0.25">
      <c r="A6" s="2" t="s">
        <v>967</v>
      </c>
      <c r="B6" s="272" t="s">
        <v>871</v>
      </c>
      <c r="C6" s="267" t="s">
        <v>872</v>
      </c>
      <c r="D6" s="193" t="s">
        <v>197</v>
      </c>
      <c r="E6" s="194">
        <v>372.33269999999999</v>
      </c>
      <c r="F6" s="194">
        <v>259.245</v>
      </c>
      <c r="G6" s="194">
        <v>66</v>
      </c>
      <c r="H6" s="194">
        <v>116.49</v>
      </c>
      <c r="I6" s="194">
        <f t="shared" si="1"/>
        <v>24573.958200000001</v>
      </c>
      <c r="J6" s="194">
        <f t="shared" si="1"/>
        <v>30199.450099999998</v>
      </c>
      <c r="K6" s="194">
        <f t="shared" si="0"/>
        <v>54773.408299999996</v>
      </c>
    </row>
    <row r="7" spans="1:11" x14ac:dyDescent="0.25">
      <c r="A7" s="2" t="s">
        <v>967</v>
      </c>
      <c r="B7" s="272" t="s">
        <v>873</v>
      </c>
      <c r="C7" s="267" t="s">
        <v>874</v>
      </c>
      <c r="D7" s="193" t="s">
        <v>197</v>
      </c>
      <c r="E7" s="194">
        <v>17.801300000000001</v>
      </c>
      <c r="F7" s="194">
        <v>11.808</v>
      </c>
      <c r="G7" s="194">
        <v>66</v>
      </c>
      <c r="H7" s="194">
        <v>116.49</v>
      </c>
      <c r="I7" s="194">
        <f t="shared" si="1"/>
        <v>1174.8858</v>
      </c>
      <c r="J7" s="194">
        <f t="shared" si="1"/>
        <v>1375.5138999999999</v>
      </c>
      <c r="K7" s="194">
        <f t="shared" si="0"/>
        <v>2550.3996999999999</v>
      </c>
    </row>
    <row r="8" spans="1:11" x14ac:dyDescent="0.25">
      <c r="A8" s="2" t="s">
        <v>978</v>
      </c>
      <c r="B8" s="272" t="s">
        <v>875</v>
      </c>
      <c r="C8" s="267" t="s">
        <v>876</v>
      </c>
      <c r="D8" s="193" t="s">
        <v>877</v>
      </c>
      <c r="E8" s="194">
        <v>93.399500000000003</v>
      </c>
      <c r="F8" s="237">
        <v>0</v>
      </c>
      <c r="G8" s="194">
        <v>0</v>
      </c>
      <c r="H8" s="194">
        <v>116.49</v>
      </c>
      <c r="I8" s="194">
        <f t="shared" si="1"/>
        <v>0</v>
      </c>
      <c r="J8" s="194">
        <f t="shared" si="1"/>
        <v>0</v>
      </c>
      <c r="K8" s="194">
        <f>E8</f>
        <v>93.399500000000003</v>
      </c>
    </row>
    <row r="9" spans="1:11" x14ac:dyDescent="0.25">
      <c r="E9" s="21"/>
      <c r="F9" s="21"/>
    </row>
    <row r="10" spans="1:11" x14ac:dyDescent="0.25">
      <c r="E10" s="21"/>
      <c r="F10" s="21"/>
    </row>
    <row r="12" spans="1:11" ht="17.25" x14ac:dyDescent="0.25">
      <c r="C12" s="260" t="s">
        <v>1151</v>
      </c>
    </row>
    <row r="14" spans="1:11" x14ac:dyDescent="0.25">
      <c r="C14" s="2" t="s">
        <v>1150</v>
      </c>
    </row>
  </sheetData>
  <pageMargins left="0.511811024" right="0.511811024" top="0.78740157499999996" bottom="0.78740157499999996" header="0.31496062000000002" footer="0.31496062000000002"/>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Planilha24">
    <tabColor theme="9"/>
  </sheetPr>
  <dimension ref="A1:H14"/>
  <sheetViews>
    <sheetView zoomScale="115" zoomScaleNormal="115" workbookViewId="0">
      <selection activeCell="F14" sqref="F14"/>
    </sheetView>
  </sheetViews>
  <sheetFormatPr defaultRowHeight="15" x14ac:dyDescent="0.25"/>
  <cols>
    <col min="2" max="2" width="9.140625" style="39"/>
    <col min="3" max="3" width="22.42578125" customWidth="1"/>
    <col min="4" max="4" width="34.85546875" bestFit="1" customWidth="1"/>
    <col min="5" max="5" width="15" style="39" bestFit="1" customWidth="1"/>
    <col min="6" max="6" width="14.28515625" bestFit="1" customWidth="1"/>
  </cols>
  <sheetData>
    <row r="1" spans="1:8" ht="23.25" x14ac:dyDescent="0.35">
      <c r="B1" s="195" t="s">
        <v>878</v>
      </c>
      <c r="H1" s="260" t="s">
        <v>1149</v>
      </c>
    </row>
    <row r="2" spans="1:8" x14ac:dyDescent="0.25">
      <c r="A2" t="s">
        <v>966</v>
      </c>
      <c r="B2" s="39" t="s">
        <v>879</v>
      </c>
      <c r="C2" s="39" t="s">
        <v>273</v>
      </c>
      <c r="D2" s="39" t="s">
        <v>274</v>
      </c>
      <c r="E2" s="39" t="s">
        <v>275</v>
      </c>
      <c r="F2" s="39" t="s">
        <v>880</v>
      </c>
      <c r="H2" t="s">
        <v>1111</v>
      </c>
    </row>
    <row r="3" spans="1:8" x14ac:dyDescent="0.25">
      <c r="A3" t="s">
        <v>977</v>
      </c>
      <c r="B3" s="262" t="s">
        <v>278</v>
      </c>
      <c r="C3" s="263" t="s">
        <v>277</v>
      </c>
      <c r="D3" t="s">
        <v>1015</v>
      </c>
      <c r="E3" s="39" t="s">
        <v>279</v>
      </c>
      <c r="F3" s="243">
        <v>49.4</v>
      </c>
      <c r="H3" t="s">
        <v>1112</v>
      </c>
    </row>
    <row r="4" spans="1:8" x14ac:dyDescent="0.25">
      <c r="A4" t="s">
        <v>977</v>
      </c>
      <c r="B4" s="262" t="s">
        <v>280</v>
      </c>
      <c r="C4" s="263" t="s">
        <v>277</v>
      </c>
      <c r="D4" t="s">
        <v>1016</v>
      </c>
      <c r="E4" s="39" t="s">
        <v>279</v>
      </c>
      <c r="F4" s="243">
        <v>47.46</v>
      </c>
    </row>
    <row r="5" spans="1:8" x14ac:dyDescent="0.25">
      <c r="A5" t="s">
        <v>977</v>
      </c>
      <c r="B5" s="262" t="s">
        <v>282</v>
      </c>
      <c r="C5" s="263" t="s">
        <v>281</v>
      </c>
      <c r="D5" t="s">
        <v>283</v>
      </c>
      <c r="E5" s="39" t="s">
        <v>284</v>
      </c>
      <c r="F5" s="243">
        <v>467.45</v>
      </c>
    </row>
    <row r="6" spans="1:8" x14ac:dyDescent="0.25">
      <c r="A6" t="s">
        <v>977</v>
      </c>
      <c r="B6" s="262" t="s">
        <v>285</v>
      </c>
      <c r="C6" s="263" t="s">
        <v>281</v>
      </c>
      <c r="D6" t="s">
        <v>286</v>
      </c>
      <c r="E6" s="39" t="s">
        <v>284</v>
      </c>
      <c r="F6" s="243">
        <v>42.11</v>
      </c>
    </row>
    <row r="7" spans="1:8" x14ac:dyDescent="0.25">
      <c r="A7" t="s">
        <v>977</v>
      </c>
      <c r="B7" s="262" t="s">
        <v>288</v>
      </c>
      <c r="C7" s="263" t="s">
        <v>287</v>
      </c>
      <c r="D7" t="s">
        <v>289</v>
      </c>
      <c r="E7" s="39" t="s">
        <v>36</v>
      </c>
      <c r="F7" s="243">
        <v>5952.38</v>
      </c>
    </row>
    <row r="8" spans="1:8" x14ac:dyDescent="0.25">
      <c r="A8" t="s">
        <v>977</v>
      </c>
      <c r="B8" s="262" t="s">
        <v>290</v>
      </c>
      <c r="C8" s="263" t="s">
        <v>287</v>
      </c>
      <c r="D8" t="s">
        <v>291</v>
      </c>
      <c r="E8" s="39" t="s">
        <v>36</v>
      </c>
      <c r="F8" s="243">
        <v>4642.5600000000004</v>
      </c>
    </row>
    <row r="9" spans="1:8" x14ac:dyDescent="0.25">
      <c r="A9" t="s">
        <v>977</v>
      </c>
      <c r="B9" s="262" t="s">
        <v>292</v>
      </c>
      <c r="C9" s="263" t="s">
        <v>287</v>
      </c>
      <c r="D9" t="s">
        <v>293</v>
      </c>
      <c r="E9" s="39" t="s">
        <v>36</v>
      </c>
      <c r="F9" s="243">
        <v>3520.5</v>
      </c>
    </row>
    <row r="10" spans="1:8" x14ac:dyDescent="0.25">
      <c r="A10" t="s">
        <v>977</v>
      </c>
      <c r="B10" s="262" t="s">
        <v>294</v>
      </c>
      <c r="C10" s="263" t="s">
        <v>287</v>
      </c>
      <c r="D10" t="s">
        <v>256</v>
      </c>
      <c r="E10" s="39" t="s">
        <v>36</v>
      </c>
      <c r="F10" s="243">
        <v>5150.2700000000004</v>
      </c>
    </row>
    <row r="11" spans="1:8" x14ac:dyDescent="0.25">
      <c r="A11" t="s">
        <v>977</v>
      </c>
      <c r="B11" s="262" t="s">
        <v>1022</v>
      </c>
      <c r="C11" s="263" t="s">
        <v>287</v>
      </c>
      <c r="D11" t="s">
        <v>1023</v>
      </c>
      <c r="E11" s="39" t="s">
        <v>36</v>
      </c>
      <c r="F11" s="243">
        <v>866.31</v>
      </c>
    </row>
    <row r="12" spans="1:8" x14ac:dyDescent="0.25">
      <c r="A12" t="s">
        <v>977</v>
      </c>
      <c r="B12" s="262" t="s">
        <v>296</v>
      </c>
      <c r="C12" s="263" t="s">
        <v>295</v>
      </c>
      <c r="D12" t="s">
        <v>283</v>
      </c>
      <c r="E12" s="39" t="s">
        <v>284</v>
      </c>
      <c r="F12" s="243">
        <v>137.55000000000001</v>
      </c>
    </row>
    <row r="13" spans="1:8" x14ac:dyDescent="0.25">
      <c r="A13" t="s">
        <v>977</v>
      </c>
      <c r="B13" s="262" t="s">
        <v>297</v>
      </c>
      <c r="C13" s="263" t="s">
        <v>295</v>
      </c>
      <c r="D13" t="s">
        <v>286</v>
      </c>
      <c r="E13" s="39" t="s">
        <v>284</v>
      </c>
      <c r="F13" s="243">
        <v>204.08</v>
      </c>
    </row>
    <row r="14" spans="1:8" x14ac:dyDescent="0.25">
      <c r="A14" t="s">
        <v>1113</v>
      </c>
    </row>
  </sheetData>
  <pageMargins left="0.511811024" right="0.511811024" top="0.78740157499999996" bottom="0.78740157499999996" header="0.31496062000000002" footer="0.31496062000000002"/>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Planilha25">
    <tabColor theme="9"/>
  </sheetPr>
  <dimension ref="A1:N18"/>
  <sheetViews>
    <sheetView zoomScaleNormal="100" workbookViewId="0">
      <selection activeCell="G21" sqref="G21"/>
    </sheetView>
  </sheetViews>
  <sheetFormatPr defaultRowHeight="15" x14ac:dyDescent="0.25"/>
  <cols>
    <col min="1" max="1" width="78.85546875" bestFit="1" customWidth="1"/>
    <col min="2" max="2" width="22.42578125" bestFit="1" customWidth="1"/>
    <col min="3" max="3" width="11.28515625" bestFit="1" customWidth="1"/>
    <col min="4" max="4" width="12.5703125" bestFit="1" customWidth="1"/>
  </cols>
  <sheetData>
    <row r="1" spans="1:14" ht="15" customHeight="1" x14ac:dyDescent="0.25">
      <c r="A1" s="386" t="s">
        <v>1144</v>
      </c>
      <c r="B1" s="387"/>
      <c r="C1" s="387"/>
      <c r="D1" s="387"/>
      <c r="G1" s="537" t="s">
        <v>1224</v>
      </c>
      <c r="H1" s="537"/>
      <c r="I1" s="537"/>
      <c r="J1" s="537"/>
      <c r="K1" s="537"/>
      <c r="L1" s="537"/>
      <c r="M1" s="537"/>
    </row>
    <row r="2" spans="1:14" x14ac:dyDescent="0.25">
      <c r="A2" s="543" t="s">
        <v>1145</v>
      </c>
      <c r="B2" s="544"/>
      <c r="C2" s="545" t="s">
        <v>1146</v>
      </c>
      <c r="D2" s="543"/>
      <c r="G2" s="538" t="s">
        <v>1223</v>
      </c>
      <c r="H2" s="538"/>
      <c r="I2" s="538"/>
      <c r="J2" s="538"/>
      <c r="K2" s="538"/>
      <c r="L2" s="538"/>
      <c r="M2" s="538"/>
      <c r="N2" s="538"/>
    </row>
    <row r="3" spans="1:14" x14ac:dyDescent="0.25">
      <c r="A3" s="546" t="s">
        <v>298</v>
      </c>
      <c r="B3" s="547"/>
      <c r="C3" s="388" t="s">
        <v>1097</v>
      </c>
      <c r="D3" s="389" t="s">
        <v>1098</v>
      </c>
      <c r="G3" t="s">
        <v>1110</v>
      </c>
    </row>
    <row r="4" spans="1:14" x14ac:dyDescent="0.25">
      <c r="A4" s="390" t="s">
        <v>299</v>
      </c>
      <c r="B4" s="391" t="s">
        <v>300</v>
      </c>
      <c r="C4" s="392">
        <f>D4/(1+D$17/100)</f>
        <v>6.8913238233064567</v>
      </c>
      <c r="D4" s="393">
        <v>10</v>
      </c>
    </row>
    <row r="5" spans="1:14" x14ac:dyDescent="0.25">
      <c r="A5" s="394" t="s">
        <v>301</v>
      </c>
      <c r="B5" s="395">
        <v>1.1499999999999999</v>
      </c>
      <c r="C5" s="392">
        <v>1.07</v>
      </c>
      <c r="D5" s="396">
        <v>1.56</v>
      </c>
    </row>
    <row r="6" spans="1:14" x14ac:dyDescent="0.25">
      <c r="A6" s="394" t="s">
        <v>302</v>
      </c>
      <c r="B6" s="397" t="s">
        <v>303</v>
      </c>
      <c r="C6" s="392">
        <v>0.5</v>
      </c>
      <c r="D6" s="396">
        <f>C6*(1+D$17/100)</f>
        <v>0.72555000000000003</v>
      </c>
    </row>
    <row r="7" spans="1:14" x14ac:dyDescent="0.25">
      <c r="A7" s="394" t="s">
        <v>1100</v>
      </c>
      <c r="B7" s="397" t="s">
        <v>304</v>
      </c>
      <c r="C7" s="392">
        <v>0.1</v>
      </c>
      <c r="D7" s="396">
        <f>C7*(1+D$17/100)</f>
        <v>0.14511000000000002</v>
      </c>
    </row>
    <row r="8" spans="1:14" x14ac:dyDescent="0.25">
      <c r="A8" s="398"/>
      <c r="B8" s="399" t="s">
        <v>1047</v>
      </c>
      <c r="C8" s="400">
        <f t="shared" ref="C8:D8" si="0">SUM(C4:C7)</f>
        <v>8.5613238233064575</v>
      </c>
      <c r="D8" s="401">
        <f t="shared" si="0"/>
        <v>12.430660000000001</v>
      </c>
    </row>
    <row r="9" spans="1:14" x14ac:dyDescent="0.25">
      <c r="A9" s="548" t="s">
        <v>305</v>
      </c>
      <c r="B9" s="549"/>
      <c r="C9" s="388" t="s">
        <v>1097</v>
      </c>
      <c r="D9" s="389" t="s">
        <v>1098</v>
      </c>
    </row>
    <row r="10" spans="1:14" x14ac:dyDescent="0.25">
      <c r="A10" s="402" t="s">
        <v>1147</v>
      </c>
      <c r="B10" s="391" t="s">
        <v>300</v>
      </c>
      <c r="C10" s="392">
        <f>D10/(1+D$17/100)</f>
        <v>8.269588587967748</v>
      </c>
      <c r="D10" s="396">
        <v>12</v>
      </c>
    </row>
    <row r="11" spans="1:14" x14ac:dyDescent="0.25">
      <c r="A11" s="403"/>
      <c r="B11" s="399" t="s">
        <v>1048</v>
      </c>
      <c r="C11" s="400">
        <f t="shared" ref="C11:D11" si="1">C10</f>
        <v>8.269588587967748</v>
      </c>
      <c r="D11" s="401">
        <f t="shared" si="1"/>
        <v>12</v>
      </c>
    </row>
    <row r="12" spans="1:14" x14ac:dyDescent="0.25">
      <c r="A12" s="548" t="s">
        <v>307</v>
      </c>
      <c r="B12" s="549"/>
      <c r="C12" s="388" t="s">
        <v>1097</v>
      </c>
      <c r="D12" s="404" t="s">
        <v>1098</v>
      </c>
    </row>
    <row r="13" spans="1:14" x14ac:dyDescent="0.25">
      <c r="A13" s="402" t="s">
        <v>308</v>
      </c>
      <c r="B13" s="405" t="s">
        <v>309</v>
      </c>
      <c r="C13" s="392">
        <v>1.65</v>
      </c>
      <c r="D13" s="393">
        <f>C13*(1+D$17/100)</f>
        <v>2.3943149999999997</v>
      </c>
    </row>
    <row r="14" spans="1:14" x14ac:dyDescent="0.25">
      <c r="A14" s="406" t="s">
        <v>310</v>
      </c>
      <c r="B14" s="407" t="s">
        <v>311</v>
      </c>
      <c r="C14" s="392">
        <v>7.6</v>
      </c>
      <c r="D14" s="396">
        <f>C14*(1+D$17/100)</f>
        <v>11.028359999999999</v>
      </c>
    </row>
    <row r="15" spans="1:14" x14ac:dyDescent="0.25">
      <c r="A15" s="406" t="s">
        <v>1101</v>
      </c>
      <c r="B15" s="407" t="s">
        <v>312</v>
      </c>
      <c r="C15" s="392">
        <v>5</v>
      </c>
      <c r="D15" s="396">
        <f>C15*(1+D$17/100)</f>
        <v>7.2555000000000005</v>
      </c>
    </row>
    <row r="16" spans="1:14" x14ac:dyDescent="0.25">
      <c r="A16" s="403"/>
      <c r="B16" s="408" t="s">
        <v>1049</v>
      </c>
      <c r="C16" s="400">
        <f>SUM(C13:C15)</f>
        <v>14.25</v>
      </c>
      <c r="D16" s="409">
        <v>20.68</v>
      </c>
    </row>
    <row r="17" spans="1:4" x14ac:dyDescent="0.25">
      <c r="A17" s="550" t="s">
        <v>1050</v>
      </c>
      <c r="B17" s="550"/>
      <c r="C17" s="410">
        <f>C8+C11+C16</f>
        <v>31.080912411274205</v>
      </c>
      <c r="D17" s="411">
        <v>45.11</v>
      </c>
    </row>
    <row r="18" spans="1:4" ht="26.25" customHeight="1" x14ac:dyDescent="0.25">
      <c r="A18" s="539" t="s">
        <v>1148</v>
      </c>
      <c r="B18" s="540"/>
      <c r="C18" s="541"/>
      <c r="D18" s="542"/>
    </row>
  </sheetData>
  <mergeCells count="9">
    <mergeCell ref="G1:M1"/>
    <mergeCell ref="G2:N2"/>
    <mergeCell ref="A18:D18"/>
    <mergeCell ref="A2:B2"/>
    <mergeCell ref="C2:D2"/>
    <mergeCell ref="A3:B3"/>
    <mergeCell ref="A9:B9"/>
    <mergeCell ref="A12:B12"/>
    <mergeCell ref="A17:B17"/>
  </mergeCells>
  <pageMargins left="0.511811024" right="0.511811024" top="0.78740157499999996" bottom="0.78740157499999996" header="0.31496062000000002" footer="0.31496062000000002"/>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Planilha26">
    <tabColor theme="9"/>
    <pageSetUpPr fitToPage="1"/>
  </sheetPr>
  <dimension ref="A1:K55"/>
  <sheetViews>
    <sheetView zoomScale="85" zoomScaleNormal="85" workbookViewId="0">
      <selection activeCell="E6" sqref="E6"/>
    </sheetView>
  </sheetViews>
  <sheetFormatPr defaultRowHeight="15" x14ac:dyDescent="0.25"/>
  <cols>
    <col min="1" max="2" width="9.7109375" bestFit="1" customWidth="1"/>
    <col min="3" max="3" width="98.140625" bestFit="1" customWidth="1"/>
    <col min="4" max="4" width="10.85546875" bestFit="1" customWidth="1"/>
    <col min="5" max="5" width="15.140625" bestFit="1" customWidth="1"/>
    <col min="6" max="6" width="16.28515625" bestFit="1" customWidth="1"/>
    <col min="7" max="7" width="16.5703125" bestFit="1" customWidth="1"/>
    <col min="8" max="9" width="17.7109375" customWidth="1"/>
    <col min="10" max="10" width="12.85546875" customWidth="1"/>
    <col min="11" max="11" width="22.140625" bestFit="1" customWidth="1"/>
  </cols>
  <sheetData>
    <row r="1" spans="1:11" ht="51.75" x14ac:dyDescent="0.25">
      <c r="A1" s="30" t="s">
        <v>29</v>
      </c>
      <c r="B1" s="30" t="s">
        <v>881</v>
      </c>
      <c r="C1" s="30" t="s">
        <v>15</v>
      </c>
      <c r="D1" s="30" t="s">
        <v>680</v>
      </c>
      <c r="E1" s="30" t="s">
        <v>768</v>
      </c>
      <c r="F1" s="30" t="s">
        <v>769</v>
      </c>
      <c r="G1" s="30" t="s">
        <v>770</v>
      </c>
      <c r="H1" s="30" t="s">
        <v>964</v>
      </c>
      <c r="I1" s="30" t="s">
        <v>965</v>
      </c>
      <c r="J1" s="30" t="s">
        <v>771</v>
      </c>
      <c r="K1" s="30" t="s">
        <v>772</v>
      </c>
    </row>
    <row r="2" spans="1:11" x14ac:dyDescent="0.25">
      <c r="A2" s="196">
        <v>65</v>
      </c>
      <c r="B2" s="197" t="s">
        <v>882</v>
      </c>
      <c r="C2" s="198" t="s">
        <v>883</v>
      </c>
      <c r="D2" s="199"/>
      <c r="E2" s="199"/>
      <c r="F2" s="198"/>
      <c r="G2" s="198"/>
      <c r="H2" s="198"/>
      <c r="I2" s="198"/>
      <c r="J2" s="198"/>
      <c r="K2" s="198"/>
    </row>
    <row r="3" spans="1:11" x14ac:dyDescent="0.25">
      <c r="A3" s="200" t="s">
        <v>1051</v>
      </c>
      <c r="B3" s="201" t="s">
        <v>882</v>
      </c>
      <c r="C3" s="202" t="s">
        <v>884</v>
      </c>
      <c r="D3" s="203"/>
      <c r="E3" s="204"/>
      <c r="F3" s="205"/>
      <c r="G3" s="205"/>
      <c r="H3" s="206"/>
      <c r="I3" s="206"/>
      <c r="J3" s="207"/>
      <c r="K3" s="208"/>
    </row>
    <row r="4" spans="1:11" x14ac:dyDescent="0.25">
      <c r="A4" s="252" t="s">
        <v>1052</v>
      </c>
      <c r="B4" s="127" t="s">
        <v>882</v>
      </c>
      <c r="C4" s="254" t="s">
        <v>885</v>
      </c>
      <c r="D4" s="128" t="s">
        <v>886</v>
      </c>
      <c r="E4" s="129">
        <v>1500</v>
      </c>
      <c r="F4" s="130">
        <v>45748</v>
      </c>
      <c r="G4" s="130">
        <v>45839</v>
      </c>
      <c r="H4" s="131">
        <f>Listas!$AH$3</f>
        <v>303.67500000000001</v>
      </c>
      <c r="I4" s="131">
        <f>Listas!$AI$3</f>
        <v>303.56299999999999</v>
      </c>
      <c r="J4" s="132">
        <f>ROUND(I4/H4-1, 5)</f>
        <v>-3.6999999999999999E-4</v>
      </c>
      <c r="K4" s="133">
        <f>ROUND(E4*(1+J4),2)</f>
        <v>1499.45</v>
      </c>
    </row>
    <row r="5" spans="1:11" x14ac:dyDescent="0.25">
      <c r="A5" s="252" t="s">
        <v>1053</v>
      </c>
      <c r="B5" s="127" t="s">
        <v>882</v>
      </c>
      <c r="C5" s="254" t="s">
        <v>887</v>
      </c>
      <c r="D5" s="128" t="s">
        <v>411</v>
      </c>
      <c r="E5" s="129">
        <v>95</v>
      </c>
      <c r="F5" s="130">
        <v>45748</v>
      </c>
      <c r="G5" s="130">
        <v>45839</v>
      </c>
      <c r="H5" s="131">
        <f>Listas!$AH$3</f>
        <v>303.67500000000001</v>
      </c>
      <c r="I5" s="131">
        <f>Listas!$AI$3</f>
        <v>303.56299999999999</v>
      </c>
      <c r="J5" s="132">
        <f t="shared" ref="J5:J6" si="0">ROUND(I5/H5-1, 5)</f>
        <v>-3.6999999999999999E-4</v>
      </c>
      <c r="K5" s="133">
        <f>ROUND(E5*(1+J5),2)</f>
        <v>94.96</v>
      </c>
    </row>
    <row r="6" spans="1:11" x14ac:dyDescent="0.25">
      <c r="A6" s="252" t="s">
        <v>1054</v>
      </c>
      <c r="B6" s="127" t="s">
        <v>882</v>
      </c>
      <c r="C6" s="254" t="s">
        <v>888</v>
      </c>
      <c r="D6" s="128" t="s">
        <v>886</v>
      </c>
      <c r="E6" s="129">
        <v>300</v>
      </c>
      <c r="F6" s="130">
        <v>45748</v>
      </c>
      <c r="G6" s="130">
        <v>45839</v>
      </c>
      <c r="H6" s="131">
        <f>Listas!$AH$3</f>
        <v>303.67500000000001</v>
      </c>
      <c r="I6" s="131">
        <f>Listas!$AI$3</f>
        <v>303.56299999999999</v>
      </c>
      <c r="J6" s="132">
        <f t="shared" si="0"/>
        <v>-3.6999999999999999E-4</v>
      </c>
      <c r="K6" s="133">
        <f>ROUND(E6*(1+J6),2)</f>
        <v>299.89</v>
      </c>
    </row>
    <row r="7" spans="1:11" x14ac:dyDescent="0.25">
      <c r="A7" s="210" t="s">
        <v>961</v>
      </c>
      <c r="B7" s="201" t="s">
        <v>882</v>
      </c>
      <c r="C7" s="202" t="s">
        <v>889</v>
      </c>
      <c r="D7" s="203"/>
      <c r="E7" s="204"/>
      <c r="F7" s="205"/>
      <c r="G7" s="205"/>
      <c r="H7" s="131"/>
      <c r="I7" s="131"/>
      <c r="J7" s="207"/>
      <c r="K7" s="208"/>
    </row>
    <row r="8" spans="1:11" x14ac:dyDescent="0.25">
      <c r="A8" s="252" t="s">
        <v>1055</v>
      </c>
      <c r="B8" s="127" t="s">
        <v>882</v>
      </c>
      <c r="C8" s="254" t="s">
        <v>890</v>
      </c>
      <c r="D8" s="128" t="s">
        <v>886</v>
      </c>
      <c r="E8" s="129">
        <v>500</v>
      </c>
      <c r="F8" s="130">
        <v>45748</v>
      </c>
      <c r="G8" s="130">
        <v>45839</v>
      </c>
      <c r="H8" s="131">
        <f>Listas!$AH$3</f>
        <v>303.67500000000001</v>
      </c>
      <c r="I8" s="131">
        <f>Listas!$AI$3</f>
        <v>303.56299999999999</v>
      </c>
      <c r="J8" s="132">
        <f>ROUND(I8/H8-1, 5)</f>
        <v>-3.6999999999999999E-4</v>
      </c>
      <c r="K8" s="133">
        <f>ROUND(E8*(1+J8),2)</f>
        <v>499.82</v>
      </c>
    </row>
    <row r="9" spans="1:11" x14ac:dyDescent="0.25">
      <c r="A9" s="252" t="s">
        <v>1056</v>
      </c>
      <c r="B9" s="127" t="s">
        <v>882</v>
      </c>
      <c r="C9" s="254" t="s">
        <v>891</v>
      </c>
      <c r="D9" s="128" t="s">
        <v>411</v>
      </c>
      <c r="E9" s="129">
        <v>75</v>
      </c>
      <c r="F9" s="130">
        <v>45748</v>
      </c>
      <c r="G9" s="130">
        <v>45839</v>
      </c>
      <c r="H9" s="131">
        <f>Listas!$AH$3</f>
        <v>303.67500000000001</v>
      </c>
      <c r="I9" s="131">
        <f>Listas!$AI$3</f>
        <v>303.56299999999999</v>
      </c>
      <c r="J9" s="132">
        <f>ROUND(I9/H9-1, 5)</f>
        <v>-3.6999999999999999E-4</v>
      </c>
      <c r="K9" s="133">
        <f>ROUND(E9*(1+J9),2)</f>
        <v>74.97</v>
      </c>
    </row>
    <row r="10" spans="1:11" s="134" customFormat="1" x14ac:dyDescent="0.25">
      <c r="A10" s="210" t="s">
        <v>962</v>
      </c>
      <c r="B10" s="201" t="s">
        <v>882</v>
      </c>
      <c r="C10" s="202" t="s">
        <v>892</v>
      </c>
      <c r="D10" s="211"/>
      <c r="E10" s="212"/>
      <c r="F10" s="213"/>
      <c r="G10" s="213"/>
      <c r="H10" s="131"/>
      <c r="I10" s="131"/>
      <c r="J10" s="214"/>
      <c r="K10" s="215"/>
    </row>
    <row r="11" spans="1:11" s="134" customFormat="1" x14ac:dyDescent="0.25">
      <c r="A11" s="252" t="s">
        <v>1057</v>
      </c>
      <c r="B11" s="216" t="s">
        <v>882</v>
      </c>
      <c r="C11" s="254" t="s">
        <v>893</v>
      </c>
      <c r="D11" s="211" t="s">
        <v>411</v>
      </c>
      <c r="E11" s="212">
        <v>150</v>
      </c>
      <c r="F11" s="130">
        <v>45748</v>
      </c>
      <c r="G11" s="130">
        <v>45839</v>
      </c>
      <c r="H11" s="131">
        <f>Listas!$AH$3</f>
        <v>303.67500000000001</v>
      </c>
      <c r="I11" s="131">
        <f>Listas!$AI$3</f>
        <v>303.56299999999999</v>
      </c>
      <c r="J11" s="132">
        <f>ROUND(I11/H11-1, 5)</f>
        <v>-3.6999999999999999E-4</v>
      </c>
      <c r="K11" s="133">
        <f>ROUND(E11*(1+J11),2)</f>
        <v>149.94</v>
      </c>
    </row>
    <row r="12" spans="1:11" x14ac:dyDescent="0.25">
      <c r="A12" s="210" t="s">
        <v>963</v>
      </c>
      <c r="B12" s="201" t="s">
        <v>882</v>
      </c>
      <c r="C12" s="202" t="s">
        <v>894</v>
      </c>
      <c r="D12" s="203"/>
      <c r="E12" s="204"/>
      <c r="F12" s="205"/>
      <c r="G12" s="205"/>
      <c r="H12" s="131"/>
      <c r="I12" s="131"/>
      <c r="J12" s="207"/>
      <c r="K12" s="208"/>
    </row>
    <row r="13" spans="1:11" x14ac:dyDescent="0.25">
      <c r="A13" s="252" t="s">
        <v>1058</v>
      </c>
      <c r="B13" s="127" t="s">
        <v>882</v>
      </c>
      <c r="C13" s="254" t="s">
        <v>895</v>
      </c>
      <c r="D13" s="128" t="s">
        <v>886</v>
      </c>
      <c r="E13" s="129">
        <v>3000</v>
      </c>
      <c r="F13" s="130">
        <v>45748</v>
      </c>
      <c r="G13" s="130">
        <v>45839</v>
      </c>
      <c r="H13" s="131">
        <f>Listas!$AH$3</f>
        <v>303.67500000000001</v>
      </c>
      <c r="I13" s="131">
        <f>Listas!$AI$3</f>
        <v>303.56299999999999</v>
      </c>
      <c r="J13" s="132">
        <f>ROUND(I13/H13-1, 5)</f>
        <v>-3.6999999999999999E-4</v>
      </c>
      <c r="K13" s="133">
        <f>ROUND(E13*(1+J13),2)</f>
        <v>2998.89</v>
      </c>
    </row>
    <row r="14" spans="1:11" x14ac:dyDescent="0.25">
      <c r="A14" s="252" t="s">
        <v>1059</v>
      </c>
      <c r="B14" s="127" t="s">
        <v>882</v>
      </c>
      <c r="C14" s="254" t="s">
        <v>896</v>
      </c>
      <c r="D14" s="128" t="s">
        <v>886</v>
      </c>
      <c r="E14" s="129">
        <v>600</v>
      </c>
      <c r="F14" s="130">
        <v>45748</v>
      </c>
      <c r="G14" s="130">
        <v>45839</v>
      </c>
      <c r="H14" s="131">
        <f>Listas!$AH$3</f>
        <v>303.67500000000001</v>
      </c>
      <c r="I14" s="131">
        <f>Listas!$AI$3</f>
        <v>303.56299999999999</v>
      </c>
      <c r="J14" s="132">
        <f>ROUND(I14/H14-1, 5)</f>
        <v>-3.6999999999999999E-4</v>
      </c>
      <c r="K14" s="133">
        <f>ROUND(E14*(1+J14),2)</f>
        <v>599.78</v>
      </c>
    </row>
    <row r="15" spans="1:11" x14ac:dyDescent="0.25">
      <c r="A15" s="252" t="s">
        <v>1060</v>
      </c>
      <c r="B15" s="127" t="s">
        <v>882</v>
      </c>
      <c r="C15" s="256" t="s">
        <v>897</v>
      </c>
      <c r="D15" s="188" t="s">
        <v>411</v>
      </c>
      <c r="E15" s="29">
        <v>220</v>
      </c>
      <c r="F15" s="130">
        <v>45748</v>
      </c>
      <c r="G15" s="130">
        <v>45839</v>
      </c>
      <c r="H15" s="131">
        <f>Listas!$AH$3</f>
        <v>303.67500000000001</v>
      </c>
      <c r="I15" s="131">
        <f>Listas!$AI$3</f>
        <v>303.56299999999999</v>
      </c>
      <c r="J15" s="132">
        <f>ROUND(I15/H15-1, 5)</f>
        <v>-3.6999999999999999E-4</v>
      </c>
      <c r="K15" s="133">
        <f>ROUND(E15*(1+J15),2)</f>
        <v>219.92</v>
      </c>
    </row>
    <row r="16" spans="1:11" x14ac:dyDescent="0.25">
      <c r="A16" s="252" t="s">
        <v>1061</v>
      </c>
      <c r="B16" s="127" t="s">
        <v>882</v>
      </c>
      <c r="C16" s="256" t="s">
        <v>898</v>
      </c>
      <c r="D16" s="188" t="s">
        <v>411</v>
      </c>
      <c r="E16" s="29">
        <v>220</v>
      </c>
      <c r="F16" s="130">
        <v>45748</v>
      </c>
      <c r="G16" s="130">
        <v>45839</v>
      </c>
      <c r="H16" s="131">
        <f>Listas!$AH$3</f>
        <v>303.67500000000001</v>
      </c>
      <c r="I16" s="131">
        <f>Listas!$AI$3</f>
        <v>303.56299999999999</v>
      </c>
      <c r="J16" s="132">
        <f>ROUND(I16/H16-1, 5)</f>
        <v>-3.6999999999999999E-4</v>
      </c>
      <c r="K16" s="133">
        <f>ROUND(E16*(1+J16),2)</f>
        <v>219.92</v>
      </c>
    </row>
    <row r="17" spans="1:11" x14ac:dyDescent="0.25">
      <c r="A17" s="209" t="s">
        <v>899</v>
      </c>
      <c r="B17" s="127" t="s">
        <v>882</v>
      </c>
      <c r="C17" s="131" t="s">
        <v>900</v>
      </c>
      <c r="D17" s="188" t="s">
        <v>411</v>
      </c>
      <c r="E17" s="29">
        <v>519</v>
      </c>
      <c r="F17" s="130">
        <v>45748</v>
      </c>
      <c r="G17" s="130">
        <v>45839</v>
      </c>
      <c r="H17" s="131"/>
      <c r="I17" s="131"/>
      <c r="J17" s="132"/>
      <c r="K17" s="133"/>
    </row>
    <row r="18" spans="1:11" x14ac:dyDescent="0.25">
      <c r="A18" s="210" t="s">
        <v>1156</v>
      </c>
      <c r="B18" s="201" t="s">
        <v>882</v>
      </c>
      <c r="C18" s="202" t="s">
        <v>1157</v>
      </c>
      <c r="D18" s="128"/>
      <c r="E18" s="129"/>
      <c r="F18" s="130"/>
      <c r="G18" s="130"/>
      <c r="H18" s="131"/>
      <c r="I18" s="131"/>
      <c r="J18" s="132"/>
      <c r="K18" s="133"/>
    </row>
    <row r="19" spans="1:11" x14ac:dyDescent="0.25">
      <c r="A19" s="252" t="s">
        <v>1158</v>
      </c>
      <c r="B19" s="127" t="s">
        <v>882</v>
      </c>
      <c r="C19" s="256" t="s">
        <v>1159</v>
      </c>
      <c r="D19" s="128" t="s">
        <v>1160</v>
      </c>
      <c r="E19" s="129">
        <v>2200</v>
      </c>
      <c r="F19" s="130">
        <v>45748</v>
      </c>
      <c r="G19" s="130">
        <v>45839</v>
      </c>
      <c r="H19" s="131">
        <f>Listas!$AH$3</f>
        <v>303.67500000000001</v>
      </c>
      <c r="I19" s="131">
        <f>Listas!$AI$3</f>
        <v>303.56299999999999</v>
      </c>
      <c r="J19" s="132">
        <f>ROUND(I19/H19-1, 5)</f>
        <v>-3.6999999999999999E-4</v>
      </c>
      <c r="K19" s="133">
        <f>ROUND(E19*(1+J19),2)</f>
        <v>2199.19</v>
      </c>
    </row>
    <row r="20" spans="1:11" x14ac:dyDescent="0.25">
      <c r="A20" s="252" t="s">
        <v>1161</v>
      </c>
      <c r="B20" s="127" t="s">
        <v>882</v>
      </c>
      <c r="C20" s="256" t="s">
        <v>1162</v>
      </c>
      <c r="D20" s="128" t="s">
        <v>1160</v>
      </c>
      <c r="E20" s="129">
        <v>1800</v>
      </c>
      <c r="F20" s="130">
        <v>45748</v>
      </c>
      <c r="G20" s="130">
        <v>45839</v>
      </c>
      <c r="H20" s="131">
        <f>Listas!$AH$3</f>
        <v>303.67500000000001</v>
      </c>
      <c r="I20" s="131">
        <f>Listas!$AI$3</f>
        <v>303.56299999999999</v>
      </c>
      <c r="J20" s="132">
        <f>ROUND(I20/H20-1, 5)</f>
        <v>-3.6999999999999999E-4</v>
      </c>
      <c r="K20" s="133">
        <f>ROUND(E20*(1+J20),2)</f>
        <v>1799.33</v>
      </c>
    </row>
    <row r="21" spans="1:11" x14ac:dyDescent="0.25">
      <c r="A21" s="252" t="s">
        <v>1163</v>
      </c>
      <c r="B21" s="127" t="s">
        <v>882</v>
      </c>
      <c r="C21" s="256" t="s">
        <v>1164</v>
      </c>
      <c r="D21" s="128" t="s">
        <v>1160</v>
      </c>
      <c r="E21" s="129">
        <v>900</v>
      </c>
      <c r="F21" s="130">
        <v>45748</v>
      </c>
      <c r="G21" s="130">
        <v>45839</v>
      </c>
      <c r="H21" s="131">
        <f>Listas!$AH$3</f>
        <v>303.67500000000001</v>
      </c>
      <c r="I21" s="131">
        <f>Listas!$AI$3</f>
        <v>303.56299999999999</v>
      </c>
      <c r="J21" s="132">
        <f>ROUND(I21/H21-1, 5)</f>
        <v>-3.6999999999999999E-4</v>
      </c>
      <c r="K21" s="133">
        <f>ROUND(E21*(1+J21),2)</f>
        <v>899.67</v>
      </c>
    </row>
    <row r="22" spans="1:11" x14ac:dyDescent="0.25">
      <c r="A22" s="196" t="s">
        <v>1062</v>
      </c>
      <c r="B22" s="197" t="s">
        <v>882</v>
      </c>
      <c r="C22" s="198" t="s">
        <v>901</v>
      </c>
      <c r="D22" s="199"/>
      <c r="E22" s="199"/>
      <c r="F22" s="198"/>
      <c r="G22" s="198"/>
      <c r="H22" s="198"/>
      <c r="I22" s="198"/>
      <c r="J22" s="198"/>
      <c r="K22" s="198"/>
    </row>
    <row r="23" spans="1:11" x14ac:dyDescent="0.25">
      <c r="A23" s="200" t="s">
        <v>1063</v>
      </c>
      <c r="B23" s="201" t="s">
        <v>882</v>
      </c>
      <c r="C23" s="202" t="s">
        <v>902</v>
      </c>
      <c r="D23" s="203"/>
      <c r="E23" s="204"/>
      <c r="F23" s="205"/>
      <c r="G23" s="205"/>
      <c r="H23" s="206"/>
      <c r="I23" s="206"/>
      <c r="J23" s="207"/>
      <c r="K23" s="208"/>
    </row>
    <row r="24" spans="1:11" x14ac:dyDescent="0.25">
      <c r="A24" s="258" t="s">
        <v>1064</v>
      </c>
      <c r="B24" s="127" t="s">
        <v>882</v>
      </c>
      <c r="C24" s="257" t="s">
        <v>903</v>
      </c>
      <c r="D24" s="128" t="s">
        <v>1160</v>
      </c>
      <c r="E24" s="217">
        <v>30</v>
      </c>
      <c r="F24" s="130">
        <v>45748</v>
      </c>
      <c r="G24" s="130">
        <v>45839</v>
      </c>
      <c r="H24" s="131">
        <f>Listas!$AH$3</f>
        <v>303.67500000000001</v>
      </c>
      <c r="I24" s="131">
        <f>Listas!$AI$3</f>
        <v>303.56299999999999</v>
      </c>
      <c r="J24" s="132">
        <f t="shared" ref="J24:J55" si="1">ROUND(I24/H24-1, 5)</f>
        <v>-3.6999999999999999E-4</v>
      </c>
      <c r="K24" s="133">
        <f t="shared" ref="K24:K55" si="2">ROUND(E24*(1+J24),2)</f>
        <v>29.99</v>
      </c>
    </row>
    <row r="25" spans="1:11" x14ac:dyDescent="0.25">
      <c r="A25" s="258" t="s">
        <v>1065</v>
      </c>
      <c r="B25" s="127" t="s">
        <v>882</v>
      </c>
      <c r="C25" s="257" t="s">
        <v>904</v>
      </c>
      <c r="D25" s="128" t="s">
        <v>1160</v>
      </c>
      <c r="E25" s="217">
        <v>246.58</v>
      </c>
      <c r="F25" s="130">
        <v>45748</v>
      </c>
      <c r="G25" s="130">
        <v>45839</v>
      </c>
      <c r="H25" s="131">
        <f>Listas!$AH$3</f>
        <v>303.67500000000001</v>
      </c>
      <c r="I25" s="131">
        <f>Listas!$AI$3</f>
        <v>303.56299999999999</v>
      </c>
      <c r="J25" s="132">
        <f t="shared" si="1"/>
        <v>-3.6999999999999999E-4</v>
      </c>
      <c r="K25" s="133">
        <f t="shared" si="2"/>
        <v>246.49</v>
      </c>
    </row>
    <row r="26" spans="1:11" x14ac:dyDescent="0.25">
      <c r="A26" s="258" t="s">
        <v>1066</v>
      </c>
      <c r="B26" s="127" t="s">
        <v>882</v>
      </c>
      <c r="C26" s="257" t="s">
        <v>905</v>
      </c>
      <c r="D26" s="128" t="s">
        <v>1160</v>
      </c>
      <c r="E26" s="217">
        <v>117.7</v>
      </c>
      <c r="F26" s="130">
        <v>45748</v>
      </c>
      <c r="G26" s="130">
        <v>45839</v>
      </c>
      <c r="H26" s="131">
        <f>Listas!$AH$3</f>
        <v>303.67500000000001</v>
      </c>
      <c r="I26" s="131">
        <f>Listas!$AI$3</f>
        <v>303.56299999999999</v>
      </c>
      <c r="J26" s="132">
        <f t="shared" si="1"/>
        <v>-3.6999999999999999E-4</v>
      </c>
      <c r="K26" s="133">
        <f t="shared" si="2"/>
        <v>117.66</v>
      </c>
    </row>
    <row r="27" spans="1:11" x14ac:dyDescent="0.25">
      <c r="A27" s="258" t="s">
        <v>1067</v>
      </c>
      <c r="B27" s="127" t="s">
        <v>882</v>
      </c>
      <c r="C27" s="257" t="s">
        <v>906</v>
      </c>
      <c r="D27" s="128" t="s">
        <v>1160</v>
      </c>
      <c r="E27" s="217">
        <v>150</v>
      </c>
      <c r="F27" s="130">
        <v>45748</v>
      </c>
      <c r="G27" s="130">
        <v>45839</v>
      </c>
      <c r="H27" s="131">
        <f>Listas!$AH$3</f>
        <v>303.67500000000001</v>
      </c>
      <c r="I27" s="131">
        <f>Listas!$AI$3</f>
        <v>303.56299999999999</v>
      </c>
      <c r="J27" s="132">
        <f t="shared" si="1"/>
        <v>-3.6999999999999999E-4</v>
      </c>
      <c r="K27" s="133">
        <f t="shared" si="2"/>
        <v>149.94</v>
      </c>
    </row>
    <row r="28" spans="1:11" x14ac:dyDescent="0.25">
      <c r="A28" s="258" t="s">
        <v>1068</v>
      </c>
      <c r="B28" s="127" t="s">
        <v>882</v>
      </c>
      <c r="C28" s="257" t="s">
        <v>907</v>
      </c>
      <c r="D28" s="128" t="s">
        <v>1160</v>
      </c>
      <c r="E28" s="217">
        <v>150</v>
      </c>
      <c r="F28" s="130">
        <v>45748</v>
      </c>
      <c r="G28" s="130">
        <v>45839</v>
      </c>
      <c r="H28" s="131">
        <f>Listas!$AH$3</f>
        <v>303.67500000000001</v>
      </c>
      <c r="I28" s="131">
        <f>Listas!$AI$3</f>
        <v>303.56299999999999</v>
      </c>
      <c r="J28" s="132">
        <f t="shared" si="1"/>
        <v>-3.6999999999999999E-4</v>
      </c>
      <c r="K28" s="133">
        <f t="shared" si="2"/>
        <v>149.94</v>
      </c>
    </row>
    <row r="29" spans="1:11" x14ac:dyDescent="0.25">
      <c r="A29" s="258" t="s">
        <v>1069</v>
      </c>
      <c r="B29" s="127" t="s">
        <v>882</v>
      </c>
      <c r="C29" s="257" t="s">
        <v>908</v>
      </c>
      <c r="D29" s="128" t="s">
        <v>1160</v>
      </c>
      <c r="E29" s="217">
        <v>150</v>
      </c>
      <c r="F29" s="130">
        <v>45748</v>
      </c>
      <c r="G29" s="130">
        <v>45839</v>
      </c>
      <c r="H29" s="131">
        <f>Listas!$AH$3</f>
        <v>303.67500000000001</v>
      </c>
      <c r="I29" s="131">
        <f>Listas!$AI$3</f>
        <v>303.56299999999999</v>
      </c>
      <c r="J29" s="132">
        <f t="shared" si="1"/>
        <v>-3.6999999999999999E-4</v>
      </c>
      <c r="K29" s="133">
        <f t="shared" si="2"/>
        <v>149.94</v>
      </c>
    </row>
    <row r="30" spans="1:11" x14ac:dyDescent="0.25">
      <c r="A30" s="258" t="s">
        <v>1070</v>
      </c>
      <c r="B30" s="127" t="s">
        <v>882</v>
      </c>
      <c r="C30" s="257" t="s">
        <v>909</v>
      </c>
      <c r="D30" s="128" t="s">
        <v>1160</v>
      </c>
      <c r="E30" s="217">
        <v>250</v>
      </c>
      <c r="F30" s="130">
        <v>45748</v>
      </c>
      <c r="G30" s="130">
        <v>45839</v>
      </c>
      <c r="H30" s="131">
        <f>Listas!$AH$3</f>
        <v>303.67500000000001</v>
      </c>
      <c r="I30" s="131">
        <f>Listas!$AI$3</f>
        <v>303.56299999999999</v>
      </c>
      <c r="J30" s="132">
        <f t="shared" si="1"/>
        <v>-3.6999999999999999E-4</v>
      </c>
      <c r="K30" s="133">
        <f t="shared" si="2"/>
        <v>249.91</v>
      </c>
    </row>
    <row r="31" spans="1:11" x14ac:dyDescent="0.25">
      <c r="A31" s="258" t="s">
        <v>1071</v>
      </c>
      <c r="B31" s="127" t="s">
        <v>882</v>
      </c>
      <c r="C31" s="257" t="s">
        <v>910</v>
      </c>
      <c r="D31" s="128" t="s">
        <v>1160</v>
      </c>
      <c r="E31" s="217">
        <v>200</v>
      </c>
      <c r="F31" s="130">
        <v>45748</v>
      </c>
      <c r="G31" s="130">
        <v>45839</v>
      </c>
      <c r="H31" s="131">
        <f>Listas!$AH$3</f>
        <v>303.67500000000001</v>
      </c>
      <c r="I31" s="131">
        <f>Listas!$AI$3</f>
        <v>303.56299999999999</v>
      </c>
      <c r="J31" s="132">
        <f t="shared" si="1"/>
        <v>-3.6999999999999999E-4</v>
      </c>
      <c r="K31" s="133">
        <f t="shared" si="2"/>
        <v>199.93</v>
      </c>
    </row>
    <row r="32" spans="1:11" x14ac:dyDescent="0.25">
      <c r="A32" s="258" t="s">
        <v>1072</v>
      </c>
      <c r="B32" s="127" t="s">
        <v>882</v>
      </c>
      <c r="C32" s="257" t="s">
        <v>911</v>
      </c>
      <c r="D32" s="128" t="s">
        <v>1160</v>
      </c>
      <c r="E32" s="217">
        <v>200</v>
      </c>
      <c r="F32" s="130">
        <v>45748</v>
      </c>
      <c r="G32" s="130">
        <v>45839</v>
      </c>
      <c r="H32" s="131">
        <f>Listas!$AH$3</f>
        <v>303.67500000000001</v>
      </c>
      <c r="I32" s="131">
        <f>Listas!$AI$3</f>
        <v>303.56299999999999</v>
      </c>
      <c r="J32" s="132">
        <f t="shared" si="1"/>
        <v>-3.6999999999999999E-4</v>
      </c>
      <c r="K32" s="133">
        <f t="shared" si="2"/>
        <v>199.93</v>
      </c>
    </row>
    <row r="33" spans="1:11" x14ac:dyDescent="0.25">
      <c r="A33" s="258" t="s">
        <v>1073</v>
      </c>
      <c r="B33" s="127" t="s">
        <v>882</v>
      </c>
      <c r="C33" s="259" t="s">
        <v>912</v>
      </c>
      <c r="D33" s="128" t="s">
        <v>1160</v>
      </c>
      <c r="E33" s="218">
        <v>320</v>
      </c>
      <c r="F33" s="130">
        <v>45748</v>
      </c>
      <c r="G33" s="130">
        <v>45839</v>
      </c>
      <c r="H33" s="131">
        <f>Listas!$AH$3</f>
        <v>303.67500000000001</v>
      </c>
      <c r="I33" s="131">
        <f>Listas!$AI$3</f>
        <v>303.56299999999999</v>
      </c>
      <c r="J33" s="132">
        <f t="shared" si="1"/>
        <v>-3.6999999999999999E-4</v>
      </c>
      <c r="K33" s="133">
        <f t="shared" si="2"/>
        <v>319.88</v>
      </c>
    </row>
    <row r="34" spans="1:11" x14ac:dyDescent="0.25">
      <c r="A34" s="258" t="s">
        <v>1074</v>
      </c>
      <c r="B34" s="127" t="s">
        <v>882</v>
      </c>
      <c r="C34" s="259" t="s">
        <v>913</v>
      </c>
      <c r="D34" s="128" t="s">
        <v>1160</v>
      </c>
      <c r="E34" s="218">
        <v>156.4</v>
      </c>
      <c r="F34" s="130">
        <v>45748</v>
      </c>
      <c r="G34" s="130">
        <v>45839</v>
      </c>
      <c r="H34" s="131">
        <f>Listas!$AH$3</f>
        <v>303.67500000000001</v>
      </c>
      <c r="I34" s="131">
        <f>Listas!$AI$3</f>
        <v>303.56299999999999</v>
      </c>
      <c r="J34" s="132">
        <f t="shared" si="1"/>
        <v>-3.6999999999999999E-4</v>
      </c>
      <c r="K34" s="133">
        <f t="shared" si="2"/>
        <v>156.34</v>
      </c>
    </row>
    <row r="35" spans="1:11" x14ac:dyDescent="0.25">
      <c r="A35" s="258" t="s">
        <v>1075</v>
      </c>
      <c r="B35" s="127" t="s">
        <v>882</v>
      </c>
      <c r="C35" s="259" t="s">
        <v>914</v>
      </c>
      <c r="D35" s="128" t="s">
        <v>1160</v>
      </c>
      <c r="E35" s="218">
        <v>310</v>
      </c>
      <c r="F35" s="130">
        <v>45748</v>
      </c>
      <c r="G35" s="130">
        <v>45839</v>
      </c>
      <c r="H35" s="131">
        <f>Listas!$AH$3</f>
        <v>303.67500000000001</v>
      </c>
      <c r="I35" s="131">
        <f>Listas!$AI$3</f>
        <v>303.56299999999999</v>
      </c>
      <c r="J35" s="132">
        <f t="shared" si="1"/>
        <v>-3.6999999999999999E-4</v>
      </c>
      <c r="K35" s="133">
        <f t="shared" si="2"/>
        <v>309.89</v>
      </c>
    </row>
    <row r="36" spans="1:11" x14ac:dyDescent="0.25">
      <c r="A36" s="258" t="s">
        <v>1076</v>
      </c>
      <c r="B36" s="127" t="s">
        <v>882</v>
      </c>
      <c r="C36" s="257" t="s">
        <v>915</v>
      </c>
      <c r="D36" s="128" t="s">
        <v>1160</v>
      </c>
      <c r="E36" s="217">
        <v>350</v>
      </c>
      <c r="F36" s="130">
        <v>45748</v>
      </c>
      <c r="G36" s="130">
        <v>45839</v>
      </c>
      <c r="H36" s="131">
        <f>Listas!$AH$3</f>
        <v>303.67500000000001</v>
      </c>
      <c r="I36" s="131">
        <f>Listas!$AI$3</f>
        <v>303.56299999999999</v>
      </c>
      <c r="J36" s="132">
        <f t="shared" si="1"/>
        <v>-3.6999999999999999E-4</v>
      </c>
      <c r="K36" s="133">
        <f t="shared" si="2"/>
        <v>349.87</v>
      </c>
    </row>
    <row r="37" spans="1:11" x14ac:dyDescent="0.25">
      <c r="A37" s="258" t="s">
        <v>1077</v>
      </c>
      <c r="B37" s="127" t="s">
        <v>882</v>
      </c>
      <c r="C37" s="257" t="s">
        <v>916</v>
      </c>
      <c r="D37" s="128" t="s">
        <v>1160</v>
      </c>
      <c r="E37" s="217">
        <v>280</v>
      </c>
      <c r="F37" s="130">
        <v>45748</v>
      </c>
      <c r="G37" s="130">
        <v>45839</v>
      </c>
      <c r="H37" s="131">
        <f>Listas!$AH$3</f>
        <v>303.67500000000001</v>
      </c>
      <c r="I37" s="131">
        <f>Listas!$AI$3</f>
        <v>303.56299999999999</v>
      </c>
      <c r="J37" s="132">
        <f t="shared" si="1"/>
        <v>-3.6999999999999999E-4</v>
      </c>
      <c r="K37" s="133">
        <f t="shared" si="2"/>
        <v>279.89999999999998</v>
      </c>
    </row>
    <row r="38" spans="1:11" x14ac:dyDescent="0.25">
      <c r="A38" s="258" t="s">
        <v>1078</v>
      </c>
      <c r="B38" s="127" t="s">
        <v>882</v>
      </c>
      <c r="C38" s="257" t="s">
        <v>917</v>
      </c>
      <c r="D38" s="128" t="s">
        <v>1160</v>
      </c>
      <c r="E38" s="217">
        <v>300</v>
      </c>
      <c r="F38" s="130">
        <v>45748</v>
      </c>
      <c r="G38" s="130">
        <v>45839</v>
      </c>
      <c r="H38" s="131">
        <f>Listas!$AH$3</f>
        <v>303.67500000000001</v>
      </c>
      <c r="I38" s="131">
        <f>Listas!$AI$3</f>
        <v>303.56299999999999</v>
      </c>
      <c r="J38" s="132">
        <f t="shared" si="1"/>
        <v>-3.6999999999999999E-4</v>
      </c>
      <c r="K38" s="133">
        <f t="shared" si="2"/>
        <v>299.89</v>
      </c>
    </row>
    <row r="39" spans="1:11" x14ac:dyDescent="0.25">
      <c r="A39" s="258" t="s">
        <v>1079</v>
      </c>
      <c r="B39" s="127" t="s">
        <v>882</v>
      </c>
      <c r="C39" s="257" t="s">
        <v>918</v>
      </c>
      <c r="D39" s="128" t="s">
        <v>1160</v>
      </c>
      <c r="E39" s="217">
        <v>445</v>
      </c>
      <c r="F39" s="130">
        <v>45748</v>
      </c>
      <c r="G39" s="130">
        <v>45839</v>
      </c>
      <c r="H39" s="131">
        <f>Listas!$AH$3</f>
        <v>303.67500000000001</v>
      </c>
      <c r="I39" s="131">
        <f>Listas!$AI$3</f>
        <v>303.56299999999999</v>
      </c>
      <c r="J39" s="132">
        <f t="shared" si="1"/>
        <v>-3.6999999999999999E-4</v>
      </c>
      <c r="K39" s="133">
        <f t="shared" si="2"/>
        <v>444.84</v>
      </c>
    </row>
    <row r="40" spans="1:11" x14ac:dyDescent="0.25">
      <c r="A40" s="258" t="s">
        <v>1080</v>
      </c>
      <c r="B40" s="127" t="s">
        <v>882</v>
      </c>
      <c r="C40" s="257" t="s">
        <v>919</v>
      </c>
      <c r="D40" s="128" t="s">
        <v>1160</v>
      </c>
      <c r="E40" s="217">
        <v>320.47000000000003</v>
      </c>
      <c r="F40" s="130">
        <v>45748</v>
      </c>
      <c r="G40" s="130">
        <v>45839</v>
      </c>
      <c r="H40" s="131">
        <f>Listas!$AH$3</f>
        <v>303.67500000000001</v>
      </c>
      <c r="I40" s="131">
        <f>Listas!$AI$3</f>
        <v>303.56299999999999</v>
      </c>
      <c r="J40" s="132">
        <f t="shared" si="1"/>
        <v>-3.6999999999999999E-4</v>
      </c>
      <c r="K40" s="133">
        <f t="shared" si="2"/>
        <v>320.35000000000002</v>
      </c>
    </row>
    <row r="41" spans="1:11" x14ac:dyDescent="0.25">
      <c r="A41" s="258" t="s">
        <v>1081</v>
      </c>
      <c r="B41" s="127" t="s">
        <v>882</v>
      </c>
      <c r="C41" s="257" t="s">
        <v>920</v>
      </c>
      <c r="D41" s="128" t="s">
        <v>1160</v>
      </c>
      <c r="E41" s="217">
        <v>320.47000000000003</v>
      </c>
      <c r="F41" s="130">
        <v>45748</v>
      </c>
      <c r="G41" s="130">
        <v>45839</v>
      </c>
      <c r="H41" s="131">
        <f>Listas!$AH$3</f>
        <v>303.67500000000001</v>
      </c>
      <c r="I41" s="131">
        <f>Listas!$AI$3</f>
        <v>303.56299999999999</v>
      </c>
      <c r="J41" s="132">
        <f t="shared" si="1"/>
        <v>-3.6999999999999999E-4</v>
      </c>
      <c r="K41" s="133">
        <f t="shared" si="2"/>
        <v>320.35000000000002</v>
      </c>
    </row>
    <row r="42" spans="1:11" x14ac:dyDescent="0.25">
      <c r="A42" s="258" t="s">
        <v>1082</v>
      </c>
      <c r="B42" s="127" t="s">
        <v>882</v>
      </c>
      <c r="C42" s="257" t="s">
        <v>921</v>
      </c>
      <c r="D42" s="128" t="s">
        <v>1160</v>
      </c>
      <c r="E42" s="217">
        <v>400</v>
      </c>
      <c r="F42" s="130">
        <v>45748</v>
      </c>
      <c r="G42" s="130">
        <v>45839</v>
      </c>
      <c r="H42" s="131">
        <f>Listas!$AH$3</f>
        <v>303.67500000000001</v>
      </c>
      <c r="I42" s="131">
        <f>Listas!$AI$3</f>
        <v>303.56299999999999</v>
      </c>
      <c r="J42" s="132">
        <f t="shared" si="1"/>
        <v>-3.6999999999999999E-4</v>
      </c>
      <c r="K42" s="133">
        <f t="shared" si="2"/>
        <v>399.85</v>
      </c>
    </row>
    <row r="43" spans="1:11" x14ac:dyDescent="0.25">
      <c r="A43" s="258" t="s">
        <v>1083</v>
      </c>
      <c r="B43" s="127" t="s">
        <v>882</v>
      </c>
      <c r="C43" s="257" t="s">
        <v>1165</v>
      </c>
      <c r="D43" s="128" t="s">
        <v>1160</v>
      </c>
      <c r="E43" s="217">
        <v>1238.05</v>
      </c>
      <c r="F43" s="130">
        <v>45748</v>
      </c>
      <c r="G43" s="130">
        <v>45839</v>
      </c>
      <c r="H43" s="131">
        <f>Listas!$AH$3</f>
        <v>303.67500000000001</v>
      </c>
      <c r="I43" s="131">
        <f>Listas!$AI$3</f>
        <v>303.56299999999999</v>
      </c>
      <c r="J43" s="132">
        <f t="shared" si="1"/>
        <v>-3.6999999999999999E-4</v>
      </c>
      <c r="K43" s="133">
        <f t="shared" si="2"/>
        <v>1237.5899999999999</v>
      </c>
    </row>
    <row r="44" spans="1:11" x14ac:dyDescent="0.25">
      <c r="A44" s="258" t="s">
        <v>1084</v>
      </c>
      <c r="B44" s="127" t="s">
        <v>882</v>
      </c>
      <c r="C44" s="257" t="s">
        <v>1166</v>
      </c>
      <c r="D44" s="128" t="s">
        <v>1160</v>
      </c>
      <c r="E44" s="217">
        <v>2550</v>
      </c>
      <c r="F44" s="130">
        <v>45748</v>
      </c>
      <c r="G44" s="130">
        <v>45839</v>
      </c>
      <c r="H44" s="131">
        <f>Listas!$AH$3</f>
        <v>303.67500000000001</v>
      </c>
      <c r="I44" s="131">
        <f>Listas!$AI$3</f>
        <v>303.56299999999999</v>
      </c>
      <c r="J44" s="132">
        <f t="shared" si="1"/>
        <v>-3.6999999999999999E-4</v>
      </c>
      <c r="K44" s="133">
        <f t="shared" si="2"/>
        <v>2549.06</v>
      </c>
    </row>
    <row r="45" spans="1:11" x14ac:dyDescent="0.25">
      <c r="A45" s="258" t="s">
        <v>1085</v>
      </c>
      <c r="B45" s="127" t="s">
        <v>882</v>
      </c>
      <c r="C45" s="259" t="s">
        <v>1167</v>
      </c>
      <c r="D45" s="128" t="s">
        <v>1160</v>
      </c>
      <c r="E45" s="218">
        <v>3960</v>
      </c>
      <c r="F45" s="130">
        <v>45748</v>
      </c>
      <c r="G45" s="130">
        <v>45839</v>
      </c>
      <c r="H45" s="131">
        <f>Listas!$AH$3</f>
        <v>303.67500000000001</v>
      </c>
      <c r="I45" s="131">
        <f>Listas!$AI$3</f>
        <v>303.56299999999999</v>
      </c>
      <c r="J45" s="132">
        <f t="shared" si="1"/>
        <v>-3.6999999999999999E-4</v>
      </c>
      <c r="K45" s="133">
        <f t="shared" si="2"/>
        <v>3958.53</v>
      </c>
    </row>
    <row r="46" spans="1:11" x14ac:dyDescent="0.25">
      <c r="A46" s="258" t="s">
        <v>1086</v>
      </c>
      <c r="B46" s="127" t="s">
        <v>882</v>
      </c>
      <c r="C46" s="259" t="s">
        <v>1168</v>
      </c>
      <c r="D46" s="128" t="s">
        <v>1160</v>
      </c>
      <c r="E46" s="218">
        <v>4050</v>
      </c>
      <c r="F46" s="130">
        <v>45748</v>
      </c>
      <c r="G46" s="130">
        <v>45839</v>
      </c>
      <c r="H46" s="131">
        <f>Listas!$AH$3</f>
        <v>303.67500000000001</v>
      </c>
      <c r="I46" s="131">
        <f>Listas!$AI$3</f>
        <v>303.56299999999999</v>
      </c>
      <c r="J46" s="132">
        <f t="shared" si="1"/>
        <v>-3.6999999999999999E-4</v>
      </c>
      <c r="K46" s="133">
        <f t="shared" si="2"/>
        <v>4048.5</v>
      </c>
    </row>
    <row r="47" spans="1:11" x14ac:dyDescent="0.25">
      <c r="A47" s="258" t="s">
        <v>1087</v>
      </c>
      <c r="B47" s="127" t="s">
        <v>882</v>
      </c>
      <c r="C47" s="259" t="s">
        <v>1169</v>
      </c>
      <c r="D47" s="128" t="s">
        <v>1160</v>
      </c>
      <c r="E47" s="218">
        <v>3960</v>
      </c>
      <c r="F47" s="130">
        <v>45748</v>
      </c>
      <c r="G47" s="130">
        <v>45839</v>
      </c>
      <c r="H47" s="131">
        <f>Listas!$AH$3</f>
        <v>303.67500000000001</v>
      </c>
      <c r="I47" s="131">
        <f>Listas!$AI$3</f>
        <v>303.56299999999999</v>
      </c>
      <c r="J47" s="132">
        <f t="shared" si="1"/>
        <v>-3.6999999999999999E-4</v>
      </c>
      <c r="K47" s="133">
        <f t="shared" si="2"/>
        <v>3958.53</v>
      </c>
    </row>
    <row r="48" spans="1:11" x14ac:dyDescent="0.25">
      <c r="A48" s="258" t="s">
        <v>1088</v>
      </c>
      <c r="B48" s="127" t="s">
        <v>882</v>
      </c>
      <c r="C48" s="257" t="s">
        <v>1170</v>
      </c>
      <c r="D48" s="128" t="s">
        <v>1160</v>
      </c>
      <c r="E48" s="217">
        <v>5250</v>
      </c>
      <c r="F48" s="130">
        <v>45748</v>
      </c>
      <c r="G48" s="130">
        <v>45839</v>
      </c>
      <c r="H48" s="131">
        <f>Listas!$AH$3</f>
        <v>303.67500000000001</v>
      </c>
      <c r="I48" s="131">
        <f>Listas!$AI$3</f>
        <v>303.56299999999999</v>
      </c>
      <c r="J48" s="132">
        <f t="shared" si="1"/>
        <v>-3.6999999999999999E-4</v>
      </c>
      <c r="K48" s="133">
        <f t="shared" si="2"/>
        <v>5248.06</v>
      </c>
    </row>
    <row r="49" spans="1:11" x14ac:dyDescent="0.25">
      <c r="A49" s="258" t="s">
        <v>1089</v>
      </c>
      <c r="B49" s="127" t="s">
        <v>882</v>
      </c>
      <c r="C49" s="257" t="s">
        <v>1171</v>
      </c>
      <c r="D49" s="128" t="s">
        <v>1160</v>
      </c>
      <c r="E49" s="217">
        <v>1140.54</v>
      </c>
      <c r="F49" s="130">
        <v>45748</v>
      </c>
      <c r="G49" s="130">
        <v>45839</v>
      </c>
      <c r="H49" s="131">
        <f>Listas!$AH$3</f>
        <v>303.67500000000001</v>
      </c>
      <c r="I49" s="131">
        <f>Listas!$AI$3</f>
        <v>303.56299999999999</v>
      </c>
      <c r="J49" s="132">
        <f t="shared" si="1"/>
        <v>-3.6999999999999999E-4</v>
      </c>
      <c r="K49" s="133">
        <f t="shared" si="2"/>
        <v>1140.1199999999999</v>
      </c>
    </row>
    <row r="50" spans="1:11" x14ac:dyDescent="0.25">
      <c r="A50" s="258" t="s">
        <v>1090</v>
      </c>
      <c r="B50" s="127" t="s">
        <v>882</v>
      </c>
      <c r="C50" s="257" t="s">
        <v>1172</v>
      </c>
      <c r="D50" s="128" t="s">
        <v>1160</v>
      </c>
      <c r="E50" s="217">
        <v>1200</v>
      </c>
      <c r="F50" s="130">
        <v>45748</v>
      </c>
      <c r="G50" s="130">
        <v>45839</v>
      </c>
      <c r="H50" s="131">
        <f>Listas!$AH$3</f>
        <v>303.67500000000001</v>
      </c>
      <c r="I50" s="131">
        <f>Listas!$AI$3</f>
        <v>303.56299999999999</v>
      </c>
      <c r="J50" s="132">
        <f t="shared" si="1"/>
        <v>-3.6999999999999999E-4</v>
      </c>
      <c r="K50" s="133">
        <f t="shared" si="2"/>
        <v>1199.56</v>
      </c>
    </row>
    <row r="51" spans="1:11" x14ac:dyDescent="0.25">
      <c r="A51" s="258" t="s">
        <v>1091</v>
      </c>
      <c r="B51" s="127" t="s">
        <v>882</v>
      </c>
      <c r="C51" s="257" t="s">
        <v>1173</v>
      </c>
      <c r="D51" s="128" t="s">
        <v>1160</v>
      </c>
      <c r="E51" s="217">
        <v>3000</v>
      </c>
      <c r="F51" s="130">
        <v>45748</v>
      </c>
      <c r="G51" s="130">
        <v>45839</v>
      </c>
      <c r="H51" s="131">
        <f>Listas!$AH$3</f>
        <v>303.67500000000001</v>
      </c>
      <c r="I51" s="131">
        <f>Listas!$AI$3</f>
        <v>303.56299999999999</v>
      </c>
      <c r="J51" s="132">
        <f t="shared" si="1"/>
        <v>-3.6999999999999999E-4</v>
      </c>
      <c r="K51" s="133">
        <f t="shared" si="2"/>
        <v>2998.89</v>
      </c>
    </row>
    <row r="52" spans="1:11" x14ac:dyDescent="0.25">
      <c r="A52" s="258" t="s">
        <v>1092</v>
      </c>
      <c r="B52" s="127" t="s">
        <v>882</v>
      </c>
      <c r="C52" s="257" t="s">
        <v>1174</v>
      </c>
      <c r="D52" s="128" t="s">
        <v>1160</v>
      </c>
      <c r="E52" s="217">
        <v>3800</v>
      </c>
      <c r="F52" s="130">
        <v>45748</v>
      </c>
      <c r="G52" s="130">
        <v>45839</v>
      </c>
      <c r="H52" s="131">
        <f>Listas!$AH$3</f>
        <v>303.67500000000001</v>
      </c>
      <c r="I52" s="131">
        <f>Listas!$AI$3</f>
        <v>303.56299999999999</v>
      </c>
      <c r="J52" s="132">
        <f t="shared" si="1"/>
        <v>-3.6999999999999999E-4</v>
      </c>
      <c r="K52" s="133">
        <f t="shared" si="2"/>
        <v>3798.59</v>
      </c>
    </row>
    <row r="53" spans="1:11" x14ac:dyDescent="0.25">
      <c r="A53" s="258" t="s">
        <v>1093</v>
      </c>
      <c r="B53" s="127" t="s">
        <v>882</v>
      </c>
      <c r="C53" s="257" t="s">
        <v>1175</v>
      </c>
      <c r="D53" s="128" t="s">
        <v>1160</v>
      </c>
      <c r="E53" s="217">
        <v>4600</v>
      </c>
      <c r="F53" s="130">
        <v>45748</v>
      </c>
      <c r="G53" s="130">
        <v>45839</v>
      </c>
      <c r="H53" s="131">
        <f>Listas!$AH$3</f>
        <v>303.67500000000001</v>
      </c>
      <c r="I53" s="131">
        <f>Listas!$AI$3</f>
        <v>303.56299999999999</v>
      </c>
      <c r="J53" s="132">
        <f t="shared" si="1"/>
        <v>-3.6999999999999999E-4</v>
      </c>
      <c r="K53" s="133">
        <f t="shared" si="2"/>
        <v>4598.3</v>
      </c>
    </row>
    <row r="54" spans="1:11" x14ac:dyDescent="0.25">
      <c r="A54" s="258" t="s">
        <v>1094</v>
      </c>
      <c r="B54" s="127" t="s">
        <v>882</v>
      </c>
      <c r="C54" s="257" t="s">
        <v>1176</v>
      </c>
      <c r="D54" s="128" t="s">
        <v>1160</v>
      </c>
      <c r="E54" s="217">
        <v>3570</v>
      </c>
      <c r="F54" s="130">
        <v>45748</v>
      </c>
      <c r="G54" s="130">
        <v>45839</v>
      </c>
      <c r="H54" s="131">
        <f>Listas!$AH$3</f>
        <v>303.67500000000001</v>
      </c>
      <c r="I54" s="131">
        <f>Listas!$AI$3</f>
        <v>303.56299999999999</v>
      </c>
      <c r="J54" s="132">
        <f t="shared" si="1"/>
        <v>-3.6999999999999999E-4</v>
      </c>
      <c r="K54" s="133">
        <f t="shared" si="2"/>
        <v>3568.68</v>
      </c>
    </row>
    <row r="55" spans="1:11" x14ac:dyDescent="0.25">
      <c r="A55" s="258" t="s">
        <v>1095</v>
      </c>
      <c r="B55" s="127" t="s">
        <v>882</v>
      </c>
      <c r="C55" s="257" t="s">
        <v>1177</v>
      </c>
      <c r="D55" s="128" t="s">
        <v>1160</v>
      </c>
      <c r="E55" s="217">
        <v>4200</v>
      </c>
      <c r="F55" s="130">
        <v>45748</v>
      </c>
      <c r="G55" s="130">
        <v>45839</v>
      </c>
      <c r="H55" s="131">
        <f>Listas!$AH$3</f>
        <v>303.67500000000001</v>
      </c>
      <c r="I55" s="131">
        <f>Listas!$AI$3</f>
        <v>303.56299999999999</v>
      </c>
      <c r="J55" s="132">
        <f t="shared" si="1"/>
        <v>-3.6999999999999999E-4</v>
      </c>
      <c r="K55" s="133">
        <f t="shared" si="2"/>
        <v>4198.45</v>
      </c>
    </row>
  </sheetData>
  <pageMargins left="0.511811024" right="0.511811024" top="0.78740157499999996" bottom="0.78740157499999996" header="0.31496062000000002" footer="0.31496062000000002"/>
  <pageSetup paperSize="9" scale="55" fitToHeight="0" orientation="landscape" r:id="rId1"/>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XFC74"/>
  <sheetViews>
    <sheetView showGridLines="0" tabSelected="1" view="pageBreakPreview" topLeftCell="A7" zoomScale="115" zoomScaleNormal="100" zoomScaleSheetLayoutView="115" workbookViewId="0">
      <selection activeCell="G29" sqref="G29"/>
    </sheetView>
  </sheetViews>
  <sheetFormatPr defaultColWidth="0" defaultRowHeight="15" customHeight="1" x14ac:dyDescent="0.25"/>
  <cols>
    <col min="1" max="1" width="1.7109375" style="2" customWidth="1"/>
    <col min="2" max="2" width="9.85546875" style="2" bestFit="1" customWidth="1"/>
    <col min="3" max="3" width="7.28515625" style="2" customWidth="1"/>
    <col min="4" max="4" width="45" style="2" customWidth="1"/>
    <col min="5" max="5" width="15.85546875" style="2" customWidth="1"/>
    <col min="6" max="6" width="16.42578125" style="2" bestFit="1" customWidth="1"/>
    <col min="7" max="7" width="15" style="2" bestFit="1" customWidth="1"/>
    <col min="8" max="8" width="1.7109375" style="2" customWidth="1"/>
    <col min="9" max="16383" width="9.140625" style="2" hidden="1"/>
    <col min="16384" max="16384" width="1.28515625" style="2" customWidth="1"/>
  </cols>
  <sheetData>
    <row r="1" spans="1:8" ht="9" customHeight="1" x14ac:dyDescent="0.25"/>
    <row r="2" spans="1:8" ht="34.5" customHeight="1" x14ac:dyDescent="0.25"/>
    <row r="3" spans="1:8" ht="34.5" customHeight="1" x14ac:dyDescent="0.25"/>
    <row r="4" spans="1:8" ht="3" customHeight="1" x14ac:dyDescent="0.25"/>
    <row r="5" spans="1:8" s="350" customFormat="1" x14ac:dyDescent="0.25">
      <c r="A5" s="2"/>
      <c r="B5" s="439" t="s">
        <v>0</v>
      </c>
      <c r="C5" s="551" t="str">
        <f>Sumario!C5</f>
        <v>Contratação de Projeto Executivo de Engenharia para Implantação do Aeródromo no município de Ribas do Rio Pardo</v>
      </c>
      <c r="D5" s="551"/>
      <c r="E5" s="551"/>
      <c r="F5" s="551"/>
      <c r="G5" s="551"/>
      <c r="H5" s="21"/>
    </row>
    <row r="6" spans="1:8" s="350" customFormat="1" x14ac:dyDescent="0.25">
      <c r="A6" s="2"/>
      <c r="B6" s="440" t="s">
        <v>862</v>
      </c>
      <c r="C6" s="441" t="str">
        <f>Sumario!C6</f>
        <v>Ribas do Rio Pardo/MS</v>
      </c>
      <c r="D6" s="21"/>
      <c r="E6" s="21"/>
      <c r="F6" s="21"/>
      <c r="G6" s="21"/>
      <c r="H6" s="21"/>
    </row>
    <row r="7" spans="1:8" s="350" customFormat="1" x14ac:dyDescent="0.25">
      <c r="A7" s="2"/>
      <c r="B7" s="440" t="s">
        <v>863</v>
      </c>
      <c r="C7" s="441">
        <f>Sumario!C7</f>
        <v>0</v>
      </c>
      <c r="D7" s="21"/>
      <c r="E7" s="21"/>
      <c r="F7" s="21"/>
      <c r="G7" s="21"/>
      <c r="H7" s="21"/>
    </row>
    <row r="8" spans="1:8" s="350" customFormat="1" x14ac:dyDescent="0.25">
      <c r="A8" s="2"/>
      <c r="B8" s="440" t="s">
        <v>1</v>
      </c>
      <c r="C8" s="457">
        <f>Sumario!C8</f>
        <v>1.3</v>
      </c>
      <c r="D8" s="21" t="s">
        <v>1133</v>
      </c>
      <c r="E8" s="21"/>
      <c r="F8" s="440" t="s">
        <v>16</v>
      </c>
      <c r="G8" s="443" t="str">
        <f>Sumario!J8</f>
        <v>79.009.850-2025</v>
      </c>
      <c r="H8" s="21"/>
    </row>
    <row r="9" spans="1:8" s="350" customFormat="1" x14ac:dyDescent="0.25">
      <c r="A9" s="2"/>
      <c r="B9" s="440" t="s">
        <v>2</v>
      </c>
      <c r="C9" s="441">
        <f>Sumario!C9</f>
        <v>365</v>
      </c>
      <c r="D9" s="21" t="s">
        <v>4</v>
      </c>
      <c r="E9" s="21"/>
      <c r="F9" s="440" t="s">
        <v>17</v>
      </c>
      <c r="G9" s="443">
        <f>Sumario!J9</f>
        <v>45748</v>
      </c>
      <c r="H9" s="21"/>
    </row>
    <row r="10" spans="1:8" x14ac:dyDescent="0.25">
      <c r="B10" s="5" t="s">
        <v>723</v>
      </c>
      <c r="C10" s="480">
        <f>Orcamento!C10</f>
        <v>0.4511</v>
      </c>
      <c r="D10" s="480"/>
      <c r="F10" s="5"/>
      <c r="G10" s="6"/>
    </row>
    <row r="12" spans="1:8" s="11" customFormat="1" ht="21" x14ac:dyDescent="0.25">
      <c r="B12" s="458" t="s">
        <v>1141</v>
      </c>
      <c r="C12" s="458"/>
      <c r="D12" s="458"/>
      <c r="E12" s="458"/>
      <c r="F12" s="458"/>
      <c r="G12" s="458"/>
    </row>
    <row r="13" spans="1:8" ht="7.5" customHeight="1" x14ac:dyDescent="0.25"/>
    <row r="14" spans="1:8" ht="30" customHeight="1" x14ac:dyDescent="0.25">
      <c r="B14" s="473" t="s">
        <v>19</v>
      </c>
      <c r="C14" s="478" t="s">
        <v>15</v>
      </c>
      <c r="D14" s="479"/>
      <c r="E14" s="368" t="s">
        <v>717</v>
      </c>
      <c r="F14" s="368" t="s">
        <v>718</v>
      </c>
      <c r="G14" s="473" t="s">
        <v>1226</v>
      </c>
    </row>
    <row r="15" spans="1:8" ht="15" customHeight="1" x14ac:dyDescent="0.25">
      <c r="B15" s="473"/>
      <c r="C15" s="478"/>
      <c r="D15" s="479"/>
      <c r="E15" s="368" t="s">
        <v>363</v>
      </c>
      <c r="F15" s="368" t="s">
        <v>719</v>
      </c>
      <c r="G15" s="473"/>
    </row>
    <row r="16" spans="1:8" ht="15" customHeight="1" x14ac:dyDescent="0.25">
      <c r="B16" s="445" t="s">
        <v>1200</v>
      </c>
      <c r="C16" s="446" t="s">
        <v>1106</v>
      </c>
      <c r="D16" s="447"/>
      <c r="E16" s="448">
        <f ca="1">Orcamento!E59</f>
        <v>44465.599999999999</v>
      </c>
      <c r="F16" s="448">
        <f ca="1">Orcamento!F59</f>
        <v>64524.032160000002</v>
      </c>
      <c r="G16" s="449">
        <f t="shared" ref="G16:G49" ca="1" si="0">F16/$F$50</f>
        <v>0.17484728518812717</v>
      </c>
    </row>
    <row r="17" spans="2:7" ht="15" customHeight="1" x14ac:dyDescent="0.25">
      <c r="B17" s="445" t="s">
        <v>621</v>
      </c>
      <c r="C17" s="446" t="s">
        <v>559</v>
      </c>
      <c r="D17" s="447"/>
      <c r="E17" s="448">
        <f ca="1">Orcamento!E26</f>
        <v>21088.14</v>
      </c>
      <c r="F17" s="448">
        <f ca="1">Orcamento!F26</f>
        <v>30600.99</v>
      </c>
      <c r="G17" s="449">
        <f t="shared" ca="1" si="0"/>
        <v>8.2922592504780429E-2</v>
      </c>
    </row>
    <row r="18" spans="2:7" ht="15" customHeight="1" x14ac:dyDescent="0.25">
      <c r="B18" s="445" t="s">
        <v>1204</v>
      </c>
      <c r="C18" s="446" t="s">
        <v>1187</v>
      </c>
      <c r="D18" s="447"/>
      <c r="E18" s="448">
        <f ca="1">Orcamento!E55</f>
        <v>20606.23</v>
      </c>
      <c r="F18" s="448">
        <f ca="1">Orcamento!F55</f>
        <v>29901.7</v>
      </c>
      <c r="G18" s="449">
        <f t="shared" ca="1" si="0"/>
        <v>8.1027655781731017E-2</v>
      </c>
    </row>
    <row r="19" spans="2:7" ht="15" customHeight="1" x14ac:dyDescent="0.25">
      <c r="B19" s="445" t="s">
        <v>944</v>
      </c>
      <c r="C19" s="446" t="s">
        <v>580</v>
      </c>
      <c r="D19" s="447"/>
      <c r="E19" s="448">
        <f ca="1">Orcamento!E39</f>
        <v>15300.010000000002</v>
      </c>
      <c r="F19" s="448">
        <f ca="1">Orcamento!F39</f>
        <v>22201.84</v>
      </c>
      <c r="G19" s="449">
        <f t="shared" ca="1" si="0"/>
        <v>6.0162567654717516E-2</v>
      </c>
    </row>
    <row r="20" spans="2:7" ht="15" customHeight="1" x14ac:dyDescent="0.2">
      <c r="B20" s="445" t="s">
        <v>485</v>
      </c>
      <c r="C20" s="454" t="s">
        <v>211</v>
      </c>
      <c r="D20" s="454"/>
      <c r="E20" s="455">
        <f ca="1">Orcamento!E23</f>
        <v>12174.880000000001</v>
      </c>
      <c r="F20" s="455">
        <f ca="1">Orcamento!F23</f>
        <v>17666.96</v>
      </c>
      <c r="G20" s="449">
        <f t="shared" ca="1" si="0"/>
        <v>4.7873945414127303E-2</v>
      </c>
    </row>
    <row r="21" spans="2:7" ht="15" customHeight="1" x14ac:dyDescent="0.2">
      <c r="B21" s="445" t="s">
        <v>955</v>
      </c>
      <c r="C21" s="454" t="s">
        <v>926</v>
      </c>
      <c r="D21" s="454"/>
      <c r="E21" s="455">
        <f ca="1">Orcamento!E50</f>
        <v>11623.22</v>
      </c>
      <c r="F21" s="448">
        <f ca="1">Orcamento!F50</f>
        <v>16866.45</v>
      </c>
      <c r="G21" s="449">
        <f t="shared" ca="1" si="0"/>
        <v>4.5704722636498163E-2</v>
      </c>
    </row>
    <row r="22" spans="2:7" ht="15" customHeight="1" x14ac:dyDescent="0.2">
      <c r="B22" s="445" t="s">
        <v>936</v>
      </c>
      <c r="C22" s="446" t="s">
        <v>541</v>
      </c>
      <c r="D22" s="447"/>
      <c r="E22" s="456">
        <f ca="1">Orcamento!E29</f>
        <v>10415.540000000001</v>
      </c>
      <c r="F22" s="455">
        <f ca="1">Orcamento!F29</f>
        <v>15113.99</v>
      </c>
      <c r="G22" s="449">
        <f t="shared" ca="1" si="0"/>
        <v>4.0955904821750093E-2</v>
      </c>
    </row>
    <row r="23" spans="2:7" ht="15" customHeight="1" x14ac:dyDescent="0.2">
      <c r="B23" s="445" t="s">
        <v>937</v>
      </c>
      <c r="C23" s="454" t="s">
        <v>782</v>
      </c>
      <c r="D23" s="454"/>
      <c r="E23" s="456">
        <f ca="1">Orcamento!E30</f>
        <v>10415.540000000001</v>
      </c>
      <c r="F23" s="455">
        <f ca="1">Orcamento!F30</f>
        <v>15113.99</v>
      </c>
      <c r="G23" s="449">
        <f t="shared" ca="1" si="0"/>
        <v>4.0955904821750093E-2</v>
      </c>
    </row>
    <row r="24" spans="2:7" ht="15" customHeight="1" x14ac:dyDescent="0.2">
      <c r="B24" s="110" t="s">
        <v>428</v>
      </c>
      <c r="C24" s="233" t="s">
        <v>721</v>
      </c>
      <c r="D24" s="233"/>
      <c r="E24" s="451">
        <f ca="1">Orcamento!E19</f>
        <v>7952.13</v>
      </c>
      <c r="F24" s="451">
        <f ca="1">Orcamento!F19</f>
        <v>11539.33</v>
      </c>
      <c r="G24" s="444">
        <f t="shared" ca="1" si="0"/>
        <v>3.1269287672333085E-2</v>
      </c>
    </row>
    <row r="25" spans="2:7" ht="15" customHeight="1" x14ac:dyDescent="0.25">
      <c r="B25" s="110" t="s">
        <v>1008</v>
      </c>
      <c r="C25" s="233" t="s">
        <v>1186</v>
      </c>
      <c r="D25" s="233"/>
      <c r="E25" s="180">
        <f ca="1">Orcamento!E53</f>
        <v>8100.5300000000007</v>
      </c>
      <c r="F25" s="180">
        <f ca="1">Orcamento!F53</f>
        <v>11754.67</v>
      </c>
      <c r="G25" s="444">
        <f t="shared" ca="1" si="0"/>
        <v>3.1852816214056057E-2</v>
      </c>
    </row>
    <row r="26" spans="2:7" ht="15" customHeight="1" x14ac:dyDescent="0.2">
      <c r="B26" s="110" t="s">
        <v>947</v>
      </c>
      <c r="C26" s="233" t="s">
        <v>214</v>
      </c>
      <c r="D26" s="233"/>
      <c r="E26" s="451">
        <f ca="1">Orcamento!E42</f>
        <v>6943.6999999999971</v>
      </c>
      <c r="F26" s="451">
        <f ca="1">Orcamento!F42</f>
        <v>10076</v>
      </c>
      <c r="G26" s="444">
        <f t="shared" ca="1" si="0"/>
        <v>2.7303954613173219E-2</v>
      </c>
    </row>
    <row r="27" spans="2:7" ht="15" customHeight="1" x14ac:dyDescent="0.2">
      <c r="B27" s="110" t="s">
        <v>948</v>
      </c>
      <c r="C27" s="233" t="s">
        <v>783</v>
      </c>
      <c r="D27" s="233"/>
      <c r="E27" s="451">
        <f ca="1">Orcamento!E43</f>
        <v>6943.6999999999971</v>
      </c>
      <c r="F27" s="451">
        <f ca="1">Orcamento!F43</f>
        <v>10076</v>
      </c>
      <c r="G27" s="444">
        <f t="shared" ca="1" si="0"/>
        <v>2.7303954613173219E-2</v>
      </c>
    </row>
    <row r="28" spans="2:7" ht="15" customHeight="1" x14ac:dyDescent="0.2">
      <c r="B28" s="110" t="s">
        <v>938</v>
      </c>
      <c r="C28" s="437" t="s">
        <v>542</v>
      </c>
      <c r="D28" s="233"/>
      <c r="E28" s="451">
        <f ca="1">Orcamento!E31</f>
        <v>6433.12</v>
      </c>
      <c r="F28" s="451">
        <f ca="1">Orcamento!F31</f>
        <v>9335.1</v>
      </c>
      <c r="G28" s="444">
        <f t="shared" ca="1" si="0"/>
        <v>2.5296263071599181E-2</v>
      </c>
    </row>
    <row r="29" spans="2:7" ht="15" customHeight="1" x14ac:dyDescent="0.2">
      <c r="B29" s="110" t="s">
        <v>940</v>
      </c>
      <c r="C29" s="437" t="s">
        <v>544</v>
      </c>
      <c r="D29" s="233"/>
      <c r="E29" s="451">
        <f ca="1">Orcamento!E33</f>
        <v>5647.73</v>
      </c>
      <c r="F29" s="451">
        <f ca="1">Orcamento!F33</f>
        <v>8195.42</v>
      </c>
      <c r="G29" s="444">
        <f t="shared" ca="1" si="0"/>
        <v>2.2207957097647089E-2</v>
      </c>
    </row>
    <row r="30" spans="2:7" ht="15" customHeight="1" x14ac:dyDescent="0.2">
      <c r="B30" s="110" t="s">
        <v>946</v>
      </c>
      <c r="C30" s="437" t="s">
        <v>213</v>
      </c>
      <c r="D30" s="233"/>
      <c r="E30" s="451">
        <f ca="1">Orcamento!E41</f>
        <v>5360.9399999999987</v>
      </c>
      <c r="F30" s="451">
        <f ca="1">Orcamento!F41</f>
        <v>7779.26</v>
      </c>
      <c r="G30" s="444">
        <f t="shared" ca="1" si="0"/>
        <v>2.108024632434239E-2</v>
      </c>
    </row>
    <row r="31" spans="2:7" ht="15" customHeight="1" x14ac:dyDescent="0.2">
      <c r="B31" s="110" t="s">
        <v>657</v>
      </c>
      <c r="C31" s="437" t="s">
        <v>540</v>
      </c>
      <c r="D31" s="233"/>
      <c r="E31" s="451">
        <f ca="1">Orcamento!E28</f>
        <v>5360.93</v>
      </c>
      <c r="F31" s="451">
        <f ca="1">Orcamento!F28</f>
        <v>7779.24</v>
      </c>
      <c r="G31" s="444">
        <f t="shared" ca="1" si="0"/>
        <v>2.1080192128322909E-2</v>
      </c>
    </row>
    <row r="32" spans="2:7" ht="15" customHeight="1" x14ac:dyDescent="0.2">
      <c r="B32" s="110" t="s">
        <v>939</v>
      </c>
      <c r="C32" s="437" t="s">
        <v>543</v>
      </c>
      <c r="D32" s="438"/>
      <c r="E32" s="451">
        <f ca="1">Orcamento!E32</f>
        <v>5003.53</v>
      </c>
      <c r="F32" s="451">
        <f ca="1">Orcamento!F32</f>
        <v>7260.62</v>
      </c>
      <c r="G32" s="444">
        <f t="shared" ca="1" si="0"/>
        <v>1.9674835147230819E-2</v>
      </c>
    </row>
    <row r="33" spans="2:7" ht="15" customHeight="1" x14ac:dyDescent="0.2">
      <c r="B33" s="110" t="s">
        <v>943</v>
      </c>
      <c r="C33" s="437" t="s">
        <v>560</v>
      </c>
      <c r="D33" s="438"/>
      <c r="E33" s="451">
        <f ca="1">Orcamento!E36</f>
        <v>4602.78</v>
      </c>
      <c r="F33" s="451">
        <f ca="1">Orcamento!F36</f>
        <v>6679.09</v>
      </c>
      <c r="G33" s="444">
        <f t="shared" ca="1" si="0"/>
        <v>1.8099004586869704E-2</v>
      </c>
    </row>
    <row r="34" spans="2:7" ht="15" customHeight="1" x14ac:dyDescent="0.2">
      <c r="B34" s="110" t="s">
        <v>949</v>
      </c>
      <c r="C34" s="437" t="s">
        <v>216</v>
      </c>
      <c r="D34" s="233"/>
      <c r="E34" s="451">
        <f ca="1">Orcamento!E44</f>
        <v>4288.7499999999991</v>
      </c>
      <c r="F34" s="451">
        <f ca="1">Orcamento!F44</f>
        <v>6223.4</v>
      </c>
      <c r="G34" s="444">
        <f t="shared" ca="1" si="0"/>
        <v>1.6864175381066118E-2</v>
      </c>
    </row>
    <row r="35" spans="2:7" ht="15" customHeight="1" x14ac:dyDescent="0.2">
      <c r="B35" s="110" t="s">
        <v>483</v>
      </c>
      <c r="C35" s="437" t="s">
        <v>209</v>
      </c>
      <c r="D35" s="233"/>
      <c r="E35" s="451">
        <f ca="1">Orcamento!E20</f>
        <v>4262.45</v>
      </c>
      <c r="F35" s="451">
        <f ca="1">Orcamento!F20</f>
        <v>6185.24</v>
      </c>
      <c r="G35" s="444">
        <f t="shared" ca="1" si="0"/>
        <v>1.6760769375901499E-2</v>
      </c>
    </row>
    <row r="36" spans="2:7" ht="15" customHeight="1" x14ac:dyDescent="0.2">
      <c r="B36" s="110" t="s">
        <v>951</v>
      </c>
      <c r="C36" s="437" t="s">
        <v>218</v>
      </c>
      <c r="D36" s="233"/>
      <c r="E36" s="451">
        <f ca="1">Orcamento!E46</f>
        <v>3765.16</v>
      </c>
      <c r="F36" s="452">
        <f ca="1">Orcamento!F46</f>
        <v>5463.62</v>
      </c>
      <c r="G36" s="444">
        <f t="shared" ca="1" si="0"/>
        <v>1.4805322797104552E-2</v>
      </c>
    </row>
    <row r="37" spans="2:7" ht="15" customHeight="1" x14ac:dyDescent="0.2">
      <c r="B37" s="110" t="s">
        <v>624</v>
      </c>
      <c r="C37" s="437" t="s">
        <v>558</v>
      </c>
      <c r="D37" s="233"/>
      <c r="E37" s="451">
        <f ca="1">Orcamento!E27</f>
        <v>3180.85</v>
      </c>
      <c r="F37" s="451">
        <f ca="1">Orcamento!F27</f>
        <v>4615.7299999999996</v>
      </c>
      <c r="G37" s="444">
        <f t="shared" ca="1" si="0"/>
        <v>1.2507709649331284E-2</v>
      </c>
    </row>
    <row r="38" spans="2:7" ht="15" customHeight="1" x14ac:dyDescent="0.2">
      <c r="B38" s="110" t="s">
        <v>945</v>
      </c>
      <c r="C38" s="453" t="s">
        <v>582</v>
      </c>
      <c r="D38" s="233"/>
      <c r="E38" s="451">
        <f ca="1">Orcamento!E40</f>
        <v>3180.86</v>
      </c>
      <c r="F38" s="451">
        <f ca="1">Orcamento!F40</f>
        <v>4615.74</v>
      </c>
      <c r="G38" s="444">
        <f t="shared" ca="1" si="0"/>
        <v>1.2507736747341023E-2</v>
      </c>
    </row>
    <row r="39" spans="2:7" ht="15" customHeight="1" x14ac:dyDescent="0.2">
      <c r="B39" s="110" t="s">
        <v>950</v>
      </c>
      <c r="C39" s="437" t="s">
        <v>217</v>
      </c>
      <c r="D39" s="233"/>
      <c r="E39" s="451">
        <f ca="1">Orcamento!E45</f>
        <v>3335.7</v>
      </c>
      <c r="F39" s="451">
        <f ca="1">Orcamento!F45</f>
        <v>4840.43</v>
      </c>
      <c r="G39" s="444">
        <f t="shared" ca="1" si="0"/>
        <v>1.3116601928170112E-2</v>
      </c>
    </row>
    <row r="40" spans="2:7" ht="15" customHeight="1" x14ac:dyDescent="0.2">
      <c r="B40" s="110" t="s">
        <v>954</v>
      </c>
      <c r="C40" s="437" t="s">
        <v>221</v>
      </c>
      <c r="D40" s="233"/>
      <c r="E40" s="451">
        <f ca="1">Orcamento!E49</f>
        <v>3068.5300000000007</v>
      </c>
      <c r="F40" s="451">
        <f ca="1">Orcamento!F49</f>
        <v>4452.74</v>
      </c>
      <c r="G40" s="444">
        <f t="shared" ca="1" si="0"/>
        <v>1.2066039188592786E-2</v>
      </c>
    </row>
    <row r="41" spans="2:7" ht="15" customHeight="1" x14ac:dyDescent="0.2">
      <c r="B41" s="110" t="s">
        <v>941</v>
      </c>
      <c r="C41" s="437" t="s">
        <v>556</v>
      </c>
      <c r="D41" s="233"/>
      <c r="E41" s="451">
        <f ca="1">Orcamento!E34</f>
        <v>4288.7299999999996</v>
      </c>
      <c r="F41" s="451">
        <f ca="1">Orcamento!F34</f>
        <v>6223.37</v>
      </c>
      <c r="G41" s="444">
        <f t="shared" ca="1" si="0"/>
        <v>1.6864094087036902E-2</v>
      </c>
    </row>
    <row r="42" spans="2:7" ht="15" customHeight="1" x14ac:dyDescent="0.2">
      <c r="B42" s="110" t="s">
        <v>952</v>
      </c>
      <c r="C42" s="453" t="s">
        <v>581</v>
      </c>
      <c r="D42" s="233"/>
      <c r="E42" s="451">
        <f ca="1">Orcamento!E47</f>
        <v>2859.16</v>
      </c>
      <c r="F42" s="452">
        <f ca="1">Orcamento!F47</f>
        <v>4148.92</v>
      </c>
      <c r="G42" s="444">
        <f t="shared" ca="1" si="0"/>
        <v>1.124274745669776E-2</v>
      </c>
    </row>
    <row r="43" spans="2:7" ht="15" customHeight="1" x14ac:dyDescent="0.2">
      <c r="B43" s="110" t="s">
        <v>484</v>
      </c>
      <c r="C43" s="453" t="s">
        <v>208</v>
      </c>
      <c r="D43" s="233"/>
      <c r="E43" s="451">
        <f ca="1">Orcamento!E22</f>
        <v>2382.63</v>
      </c>
      <c r="F43" s="451">
        <f ca="1">Orcamento!F22</f>
        <v>3457.43</v>
      </c>
      <c r="G43" s="444">
        <f t="shared" ca="1" si="0"/>
        <v>9.3689471812448862E-3</v>
      </c>
    </row>
    <row r="44" spans="2:7" ht="15" customHeight="1" x14ac:dyDescent="0.2">
      <c r="B44" s="110" t="s">
        <v>482</v>
      </c>
      <c r="C44" s="453" t="s">
        <v>206</v>
      </c>
      <c r="D44" s="233"/>
      <c r="E44" s="451">
        <f ca="1">Orcamento!E18</f>
        <v>2324.9700000000057</v>
      </c>
      <c r="F44" s="451">
        <f ca="1">Orcamento!F18</f>
        <v>3373.76</v>
      </c>
      <c r="G44" s="444">
        <f t="shared" ca="1" si="0"/>
        <v>9.1422181337573721E-3</v>
      </c>
    </row>
    <row r="45" spans="2:7" ht="15" customHeight="1" x14ac:dyDescent="0.2">
      <c r="B45" s="110" t="s">
        <v>1203</v>
      </c>
      <c r="C45" s="453" t="s">
        <v>1210</v>
      </c>
      <c r="D45" s="233"/>
      <c r="E45" s="451">
        <f ca="1">Orcamento!E54</f>
        <v>2287.98</v>
      </c>
      <c r="F45" s="451">
        <f ca="1">Orcamento!F54</f>
        <v>3320.08</v>
      </c>
      <c r="G45" s="444">
        <f t="shared" ca="1" si="0"/>
        <v>8.9967560174775852E-3</v>
      </c>
    </row>
    <row r="46" spans="2:7" ht="15" customHeight="1" x14ac:dyDescent="0.2">
      <c r="B46" s="110" t="s">
        <v>423</v>
      </c>
      <c r="C46" s="453" t="s">
        <v>210</v>
      </c>
      <c r="D46" s="233"/>
      <c r="E46" s="451">
        <f ca="1">Orcamento!E21</f>
        <v>2276.44</v>
      </c>
      <c r="F46" s="451">
        <f ca="1">Orcamento!F21</f>
        <v>3303.34</v>
      </c>
      <c r="G46" s="444">
        <f t="shared" ca="1" si="0"/>
        <v>8.9513939491742394E-3</v>
      </c>
    </row>
    <row r="47" spans="2:7" ht="15" customHeight="1" x14ac:dyDescent="0.2">
      <c r="B47" s="110" t="s">
        <v>1214</v>
      </c>
      <c r="C47" s="453" t="s">
        <v>1190</v>
      </c>
      <c r="D47" s="233"/>
      <c r="E47" s="451">
        <f ca="1">Orcamento!E56</f>
        <v>1970.68</v>
      </c>
      <c r="F47" s="451">
        <f ca="1">Orcamento!F56</f>
        <v>2859.65</v>
      </c>
      <c r="G47" s="444">
        <f t="shared" ca="1" si="0"/>
        <v>7.7490823550576422E-3</v>
      </c>
    </row>
    <row r="48" spans="2:7" ht="15" customHeight="1" x14ac:dyDescent="0.2">
      <c r="B48" s="110" t="s">
        <v>942</v>
      </c>
      <c r="C48" s="453" t="s">
        <v>722</v>
      </c>
      <c r="D48" s="233"/>
      <c r="E48" s="451">
        <f ca="1">Orcamento!E35</f>
        <v>1440.01</v>
      </c>
      <c r="F48" s="451">
        <f ca="1">Orcamento!F35</f>
        <v>2089.59</v>
      </c>
      <c r="G48" s="444">
        <f t="shared" ca="1" si="0"/>
        <v>5.662373017084223E-3</v>
      </c>
    </row>
    <row r="49" spans="2:7" ht="15" customHeight="1" x14ac:dyDescent="0.2">
      <c r="B49" s="110" t="s">
        <v>953</v>
      </c>
      <c r="C49" s="437" t="s">
        <v>220</v>
      </c>
      <c r="D49" s="233"/>
      <c r="E49" s="451">
        <f ca="1">Orcamento!E48</f>
        <v>960.01000000000045</v>
      </c>
      <c r="F49" s="451">
        <f ca="1">Orcamento!F48</f>
        <v>1393.07</v>
      </c>
      <c r="G49" s="444">
        <f t="shared" ca="1" si="0"/>
        <v>3.7749424427325541E-3</v>
      </c>
    </row>
    <row r="50" spans="2:7" ht="15" customHeight="1" x14ac:dyDescent="0.25">
      <c r="B50" s="552" t="s">
        <v>329</v>
      </c>
      <c r="C50" s="553"/>
      <c r="D50" s="554"/>
      <c r="E50" s="154">
        <f ca="1">SUM(E16:E49)</f>
        <v>254311.16000000009</v>
      </c>
      <c r="F50" s="450">
        <f ca="1">SUM(F16:F49)</f>
        <v>369030.79216000001</v>
      </c>
      <c r="G50" s="269">
        <f ca="1">SUM(G16:G49)</f>
        <v>1.0000000000000002</v>
      </c>
    </row>
    <row r="51" spans="2:7" ht="9" customHeight="1" x14ac:dyDescent="0.25"/>
    <row r="52" spans="2:7" ht="47.25" customHeight="1" x14ac:dyDescent="0.25">
      <c r="B52" s="475" t="s">
        <v>1129</v>
      </c>
      <c r="C52" s="475"/>
      <c r="D52" s="475"/>
      <c r="E52" s="475"/>
      <c r="F52" s="475"/>
      <c r="G52" s="475"/>
    </row>
    <row r="53" spans="2:7" ht="15" customHeight="1" x14ac:dyDescent="0.25">
      <c r="G53" s="273"/>
    </row>
    <row r="54" spans="2:7" ht="15" customHeight="1" x14ac:dyDescent="0.25">
      <c r="E54" s="273"/>
      <c r="F54" s="274"/>
      <c r="G54" s="273"/>
    </row>
    <row r="55" spans="2:7" ht="15" customHeight="1" x14ac:dyDescent="0.25">
      <c r="F55" s="154">
        <v>315187.81995799998</v>
      </c>
      <c r="G55" s="354"/>
    </row>
    <row r="56" spans="2:7" ht="15" customHeight="1" x14ac:dyDescent="0.25">
      <c r="E56" s="273"/>
    </row>
    <row r="57" spans="2:7" ht="15" customHeight="1" x14ac:dyDescent="0.25">
      <c r="E57" s="273"/>
    </row>
    <row r="58" spans="2:7" ht="15" customHeight="1" x14ac:dyDescent="0.25">
      <c r="E58" s="273"/>
    </row>
    <row r="59" spans="2:7" ht="15" customHeight="1" x14ac:dyDescent="0.25">
      <c r="E59" s="273"/>
    </row>
    <row r="60" spans="2:7" ht="15" customHeight="1" x14ac:dyDescent="0.25">
      <c r="E60" s="273"/>
    </row>
    <row r="61" spans="2:7" ht="15" customHeight="1" x14ac:dyDescent="0.25">
      <c r="E61" s="273"/>
    </row>
    <row r="62" spans="2:7" ht="15" customHeight="1" x14ac:dyDescent="0.25">
      <c r="E62" s="273"/>
    </row>
    <row r="63" spans="2:7" ht="15" customHeight="1" x14ac:dyDescent="0.25">
      <c r="E63" s="273"/>
    </row>
    <row r="64" spans="2:7" ht="15" customHeight="1" x14ac:dyDescent="0.25">
      <c r="E64" s="273"/>
    </row>
    <row r="65" spans="5:5" ht="15" customHeight="1" x14ac:dyDescent="0.25">
      <c r="E65" s="273"/>
    </row>
    <row r="66" spans="5:5" ht="15" customHeight="1" x14ac:dyDescent="0.25">
      <c r="E66" s="273"/>
    </row>
    <row r="67" spans="5:5" ht="15" customHeight="1" x14ac:dyDescent="0.25">
      <c r="E67" s="273"/>
    </row>
    <row r="68" spans="5:5" ht="15" customHeight="1" x14ac:dyDescent="0.25">
      <c r="E68" s="273"/>
    </row>
    <row r="69" spans="5:5" ht="15" customHeight="1" x14ac:dyDescent="0.25">
      <c r="E69" s="273"/>
    </row>
    <row r="70" spans="5:5" ht="15" customHeight="1" x14ac:dyDescent="0.25">
      <c r="E70" s="273"/>
    </row>
    <row r="71" spans="5:5" ht="15" customHeight="1" x14ac:dyDescent="0.25">
      <c r="E71" s="273"/>
    </row>
    <row r="72" spans="5:5" ht="15" customHeight="1" x14ac:dyDescent="0.25">
      <c r="E72" s="273"/>
    </row>
    <row r="73" spans="5:5" ht="15" customHeight="1" x14ac:dyDescent="0.25">
      <c r="E73" s="273"/>
    </row>
    <row r="74" spans="5:5" ht="15" customHeight="1" x14ac:dyDescent="0.25">
      <c r="E74" s="273"/>
    </row>
  </sheetData>
  <sortState ref="B16:G49">
    <sortCondition descending="1" ref="G16:G49"/>
  </sortState>
  <mergeCells count="8">
    <mergeCell ref="B52:G52"/>
    <mergeCell ref="C5:G5"/>
    <mergeCell ref="C10:D10"/>
    <mergeCell ref="B12:G12"/>
    <mergeCell ref="B14:B15"/>
    <mergeCell ref="C14:D15"/>
    <mergeCell ref="G14:G15"/>
    <mergeCell ref="B50:D50"/>
  </mergeCells>
  <printOptions horizontalCentered="1"/>
  <pageMargins left="0.78740157480314965" right="0.78740157480314965" top="0.39370078740157483" bottom="0.78740157480314965" header="0.19685039370078741" footer="0.19685039370078741"/>
  <pageSetup paperSize="9" scale="75" fitToHeight="0" orientation="portrait" r:id="rId1"/>
  <headerFooter>
    <oddFooter xml:space="preserve">&amp;C&amp;10Av. Des. José Nunes da Cunha, Bloco 14, Parque dos Poderes, Campo Grande (MS), CEP 79031-310
PABX: (67) 3318-5300/ Gab: 5538 – Fax (67) 3318-5386 – gabinete@seinfra.ms.gov.br
</oddFooter>
  </headerFooter>
  <drawing r:id="rId2"/>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1:M41"/>
  <sheetViews>
    <sheetView showGridLines="0" view="pageBreakPreview" zoomScaleNormal="100" zoomScaleSheetLayoutView="100" workbookViewId="0">
      <pane ySplit="12" topLeftCell="A13" activePane="bottomLeft" state="frozen"/>
      <selection pane="bottomLeft" activeCell="Q26" sqref="Q26"/>
    </sheetView>
  </sheetViews>
  <sheetFormatPr defaultColWidth="9.140625" defaultRowHeight="15" customHeight="1" x14ac:dyDescent="0.25"/>
  <cols>
    <col min="1" max="1" width="1.7109375" style="2" customWidth="1"/>
    <col min="2" max="2" width="9.85546875" style="2" bestFit="1" customWidth="1"/>
    <col min="3" max="3" width="26.28515625" style="2" customWidth="1"/>
    <col min="4" max="4" width="8.7109375" style="2" customWidth="1"/>
    <col min="5" max="5" width="8" style="2" customWidth="1"/>
    <col min="6" max="6" width="9.7109375" style="2" customWidth="1"/>
    <col min="7" max="7" width="6.42578125" style="2" bestFit="1" customWidth="1"/>
    <col min="8" max="8" width="14.140625" style="2" bestFit="1" customWidth="1"/>
    <col min="9" max="9" width="10.28515625" style="2" bestFit="1" customWidth="1"/>
    <col min="10" max="10" width="9.7109375" style="2" customWidth="1"/>
    <col min="11" max="11" width="14.7109375" style="2" bestFit="1" customWidth="1"/>
    <col min="12" max="12" width="16.28515625" style="2" bestFit="1" customWidth="1"/>
    <col min="13" max="13" width="10" style="2" customWidth="1"/>
    <col min="14" max="14" width="1.7109375" style="2" customWidth="1"/>
    <col min="15" max="15" width="9.140625" style="2" customWidth="1"/>
    <col min="16" max="16384" width="9.140625" style="2"/>
  </cols>
  <sheetData>
    <row r="1" spans="2:13" ht="9" customHeight="1" x14ac:dyDescent="0.25"/>
    <row r="2" spans="2:13" ht="34.5" customHeight="1" x14ac:dyDescent="0.25"/>
    <row r="3" spans="2:13" ht="26.25" customHeight="1" x14ac:dyDescent="0.25"/>
    <row r="4" spans="2:13" x14ac:dyDescent="0.25">
      <c r="B4" s="439" t="s">
        <v>0</v>
      </c>
      <c r="C4" s="551" t="str">
        <f>'Qd abrang'!C4</f>
        <v>Contratação de Projeto Executivo de Engenharia para Implantação do Aeródromo no município de Ribas do Rio Pardo</v>
      </c>
      <c r="D4" s="551"/>
      <c r="E4" s="551"/>
      <c r="F4" s="551"/>
      <c r="G4" s="551"/>
      <c r="H4" s="551"/>
      <c r="I4" s="551"/>
      <c r="J4" s="551"/>
      <c r="K4" s="551"/>
      <c r="L4" s="551"/>
      <c r="M4" s="370"/>
    </row>
    <row r="5" spans="2:13" x14ac:dyDescent="0.25">
      <c r="B5" s="440" t="s">
        <v>862</v>
      </c>
      <c r="C5" s="441" t="str">
        <f>'Qd abrang'!C5</f>
        <v>Ribas do Rio Pardo/MS</v>
      </c>
      <c r="D5" s="21"/>
      <c r="E5" s="21"/>
      <c r="F5" s="21"/>
      <c r="G5" s="21"/>
      <c r="H5" s="21"/>
      <c r="I5" s="21"/>
      <c r="J5" s="21"/>
      <c r="K5" s="21"/>
      <c r="L5" s="21"/>
    </row>
    <row r="6" spans="2:13" x14ac:dyDescent="0.25">
      <c r="B6" s="440" t="s">
        <v>863</v>
      </c>
      <c r="C6" s="441">
        <f>'Qd abrang'!C6</f>
        <v>0</v>
      </c>
      <c r="D6" s="21"/>
      <c r="E6" s="21"/>
      <c r="F6" s="21"/>
      <c r="G6" s="21"/>
      <c r="H6" s="21"/>
      <c r="I6" s="21"/>
      <c r="J6" s="21"/>
      <c r="K6" s="21"/>
      <c r="L6" s="21"/>
    </row>
    <row r="7" spans="2:13" x14ac:dyDescent="0.25">
      <c r="B7" s="440" t="s">
        <v>1</v>
      </c>
      <c r="C7" s="442">
        <f>'Qd abrang'!C7</f>
        <v>1.3</v>
      </c>
      <c r="D7" s="21" t="s">
        <v>1139</v>
      </c>
      <c r="E7" s="21"/>
      <c r="F7" s="21"/>
      <c r="G7" s="21"/>
      <c r="H7" s="21"/>
      <c r="I7" s="21"/>
      <c r="J7" s="21"/>
      <c r="K7" s="440" t="s">
        <v>16</v>
      </c>
      <c r="L7" s="443" t="str">
        <f>'Qd abrang'!N7</f>
        <v>79.009.850-2025</v>
      </c>
      <c r="M7" s="6"/>
    </row>
    <row r="8" spans="2:13" x14ac:dyDescent="0.25">
      <c r="B8" s="440" t="s">
        <v>2</v>
      </c>
      <c r="C8" s="441">
        <f>'Qd abrang'!C8</f>
        <v>365</v>
      </c>
      <c r="D8" s="21"/>
      <c r="E8" s="21"/>
      <c r="F8" s="21"/>
      <c r="G8" s="21"/>
      <c r="H8" s="21"/>
      <c r="I8" s="21"/>
      <c r="J8" s="21"/>
      <c r="K8" s="440" t="s">
        <v>17</v>
      </c>
      <c r="L8" s="443">
        <f>'Qd abrang'!N8</f>
        <v>45748</v>
      </c>
      <c r="M8" s="265"/>
    </row>
    <row r="9" spans="2:13" ht="8.25" customHeight="1" x14ac:dyDescent="0.25">
      <c r="B9" s="21"/>
      <c r="C9" s="21"/>
      <c r="D9" s="21"/>
      <c r="E9" s="21"/>
      <c r="F9" s="21"/>
      <c r="G9" s="21"/>
      <c r="H9" s="21"/>
      <c r="I9" s="21"/>
      <c r="J9" s="21"/>
      <c r="K9" s="21"/>
      <c r="L9" s="21"/>
    </row>
    <row r="10" spans="2:13" s="11" customFormat="1" ht="21" x14ac:dyDescent="0.25">
      <c r="B10" s="458" t="s">
        <v>1140</v>
      </c>
      <c r="C10" s="458"/>
      <c r="D10" s="458"/>
      <c r="E10" s="458"/>
      <c r="F10" s="458"/>
      <c r="G10" s="458"/>
      <c r="H10" s="458"/>
      <c r="I10" s="458"/>
      <c r="J10" s="458"/>
      <c r="K10" s="458"/>
      <c r="L10" s="458"/>
      <c r="M10" s="369"/>
    </row>
    <row r="11" spans="2:13" ht="6.75" customHeight="1" x14ac:dyDescent="0.25">
      <c r="L11" s="91"/>
      <c r="M11" s="91"/>
    </row>
    <row r="12" spans="2:13" ht="30" customHeight="1" x14ac:dyDescent="0.25">
      <c r="B12" s="473" t="s">
        <v>29</v>
      </c>
      <c r="C12" s="478" t="s">
        <v>15</v>
      </c>
      <c r="D12" s="473" t="s">
        <v>390</v>
      </c>
      <c r="E12" s="372" t="s">
        <v>391</v>
      </c>
      <c r="F12" s="372" t="s">
        <v>392</v>
      </c>
      <c r="G12" s="372" t="s">
        <v>393</v>
      </c>
      <c r="H12" s="372" t="s">
        <v>325</v>
      </c>
      <c r="I12" s="372" t="s">
        <v>326</v>
      </c>
      <c r="J12" s="372" t="s">
        <v>394</v>
      </c>
      <c r="K12" s="372" t="s">
        <v>395</v>
      </c>
      <c r="L12" s="372" t="s">
        <v>1143</v>
      </c>
      <c r="M12" s="372" t="s">
        <v>414</v>
      </c>
    </row>
    <row r="13" spans="2:13" s="371" customFormat="1" ht="15" customHeight="1" x14ac:dyDescent="0.25">
      <c r="B13" s="473"/>
      <c r="C13" s="478"/>
      <c r="D13" s="473"/>
      <c r="E13" s="372" t="s">
        <v>330</v>
      </c>
      <c r="F13" s="372" t="s">
        <v>331</v>
      </c>
      <c r="G13" s="372" t="s">
        <v>332</v>
      </c>
      <c r="H13" s="372" t="s">
        <v>333</v>
      </c>
      <c r="I13" s="372" t="s">
        <v>1142</v>
      </c>
      <c r="J13" s="372" t="s">
        <v>335</v>
      </c>
      <c r="K13" s="372"/>
      <c r="L13" s="372" t="s">
        <v>1206</v>
      </c>
      <c r="M13" s="372"/>
    </row>
    <row r="14" spans="2:13" s="21" customFormat="1" ht="15" customHeight="1" x14ac:dyDescent="0.25">
      <c r="B14" s="377" t="str">
        <f>'Memo calc'!B1210</f>
        <v>P8061</v>
      </c>
      <c r="C14" s="378" t="str">
        <f t="shared" ref="C14:C30" ca="1" si="0">IFERROR(VLOOKUP(B14,MO_Matriz,2,0),"")</f>
        <v>Engenheiro coordenador</v>
      </c>
      <c r="D14" s="377" t="str">
        <f t="shared" ref="D14:D30" ca="1" si="1">IFERROR(VLOOKUP(B14,MO_Matriz,3,0),"")</f>
        <v>S</v>
      </c>
      <c r="E14" s="377">
        <f>'Memo calc'!H1210</f>
        <v>1</v>
      </c>
      <c r="F14" s="377">
        <f>'Memo calc'!I1210</f>
        <v>1</v>
      </c>
      <c r="G14" s="379">
        <f>'Memo calc'!K1210</f>
        <v>3.6666666666666665</v>
      </c>
      <c r="H14" s="380">
        <f>'Memo calc'!M1210+'Memo calc'!M656</f>
        <v>134.85714285714286</v>
      </c>
      <c r="I14" s="380">
        <f>SUMIF(MO!$B$15:$B$101,"P8061",MO!$J$15:$J$101)</f>
        <v>511.23809523809518</v>
      </c>
      <c r="J14" s="380">
        <f t="shared" ref="J14:J30" si="2">I14/220</f>
        <v>2.3238095238095235</v>
      </c>
      <c r="K14" s="381">
        <f t="shared" ref="K14:K30" ca="1" si="3">IFERROR(VLOOKUP(B14,MO_Matriz,5,0),"")</f>
        <v>35173.129999999997</v>
      </c>
      <c r="L14" s="381">
        <f ca="1">TRUNC(J14*K14*(1+Orcamento!$C$10),2)-0.02</f>
        <v>118606.58</v>
      </c>
      <c r="M14" s="382">
        <f ca="1">L14/Orcamento!$F$60</f>
        <v>0.32140022599679424</v>
      </c>
    </row>
    <row r="15" spans="2:13" s="21" customFormat="1" ht="15" customHeight="1" x14ac:dyDescent="0.25">
      <c r="B15" s="377" t="str">
        <f>'Memo calc'!B29</f>
        <v>P8065</v>
      </c>
      <c r="C15" s="378" t="str">
        <f t="shared" ca="1" si="0"/>
        <v>Engenheiro de projetos júnior</v>
      </c>
      <c r="D15" s="377" t="str">
        <f t="shared" ca="1" si="1"/>
        <v>S</v>
      </c>
      <c r="E15" s="377">
        <f>'Memo calc'!I29</f>
        <v>1</v>
      </c>
      <c r="F15" s="377">
        <f>'Memo calc'!K29</f>
        <v>1</v>
      </c>
      <c r="G15" s="379">
        <f>'Memo calc'!N29</f>
        <v>7.333333333333333</v>
      </c>
      <c r="H15" s="380">
        <f>'Memo calc'!Q29+'Memo calc'!P245+'Memo calc'!P287+'Memo calc'!N410+'Memo calc'!N613+'Memo calc'!M747+'Memo calc'!M793+'Memo calc'!M839+'Memo calc'!M885+'Memo calc'!M931+'Memo calc'!M977+'Memo calc'!M1023+'Memo calc'!M1115+'Memo calc'!M1160</f>
        <v>50.538725238095232</v>
      </c>
      <c r="I15" s="380">
        <f>SUMIF(MO!$B$15:$B$101,"P8065",MO!$J$15:$J$101)</f>
        <v>370.61731841269841</v>
      </c>
      <c r="J15" s="380">
        <f t="shared" si="2"/>
        <v>1.6846241746031745</v>
      </c>
      <c r="K15" s="381">
        <f t="shared" ca="1" si="3"/>
        <v>24288.81</v>
      </c>
      <c r="L15" s="381">
        <f ca="1">TRUNC(J15*K15*(1+Orcamento!$C$10),2)-0.02</f>
        <v>59375.380000000005</v>
      </c>
      <c r="M15" s="382">
        <f ca="1">L15/Orcamento!$F$60</f>
        <v>0.16089546255060669</v>
      </c>
    </row>
    <row r="16" spans="2:13" s="21" customFormat="1" ht="15" customHeight="1" x14ac:dyDescent="0.25">
      <c r="B16" s="377" t="str">
        <f>'Memo calc'!B1554</f>
        <v>P8060</v>
      </c>
      <c r="C16" s="378" t="str">
        <f t="shared" ca="1" si="0"/>
        <v>Engenheiro consultor especial</v>
      </c>
      <c r="D16" s="377" t="str">
        <f t="shared" ca="1" si="1"/>
        <v>S</v>
      </c>
      <c r="E16" s="377">
        <f>'Memo calc'!H1554</f>
        <v>1</v>
      </c>
      <c r="F16" s="377">
        <f>'Memo calc'!I1554</f>
        <v>1</v>
      </c>
      <c r="G16" s="379">
        <f>'Memo calc'!K1554</f>
        <v>7.333333333333333</v>
      </c>
      <c r="H16" s="380">
        <f>'Memo calc'!M1554</f>
        <v>12.030460000000001</v>
      </c>
      <c r="I16" s="380">
        <f>SUMIF(MO!$B$15:$B$101,"P8060",MO!$J$15:$J$101)</f>
        <v>88.223373333333342</v>
      </c>
      <c r="J16" s="380">
        <f t="shared" si="2"/>
        <v>0.40101533333333339</v>
      </c>
      <c r="K16" s="381">
        <f t="shared" ca="1" si="3"/>
        <v>41989.87</v>
      </c>
      <c r="L16" s="381">
        <f ca="1">TRUNC(J16*K16*(1+Orcamento!$C$10),2)-0.02</f>
        <v>24434.44</v>
      </c>
      <c r="M16" s="382">
        <f ca="1">L16/Orcamento!$F$60</f>
        <v>6.6212469309081409E-2</v>
      </c>
    </row>
    <row r="17" spans="2:13" s="21" customFormat="1" ht="15" customHeight="1" x14ac:dyDescent="0.25">
      <c r="B17" s="377" t="str">
        <f>'Memo calc'!B80</f>
        <v>P8058</v>
      </c>
      <c r="C17" s="378" t="str">
        <f t="shared" ca="1" si="0"/>
        <v>Engenheiro ambiental pleno</v>
      </c>
      <c r="D17" s="377" t="str">
        <f t="shared" ca="1" si="1"/>
        <v>S</v>
      </c>
      <c r="E17" s="377">
        <f>'Memo calc'!H80</f>
        <v>1</v>
      </c>
      <c r="F17" s="377">
        <f>'Memo calc'!J80</f>
        <v>1</v>
      </c>
      <c r="G17" s="379">
        <f>'Memo calc'!M80</f>
        <v>7.333333333333333</v>
      </c>
      <c r="H17" s="380">
        <f>'Memo calc'!O80+'Memo calc'!O159+'Memo calc'!P201+'Memo calc'!M1364+'Memo calc'!M1414+'Memo calc'!M1460+'Memo calc'!M1510</f>
        <v>18</v>
      </c>
      <c r="I17" s="380">
        <f>SUMIF(MO!$B$15:$B$101,"P8058",MO!$J$15:$J$101)</f>
        <v>132</v>
      </c>
      <c r="J17" s="380">
        <f t="shared" si="2"/>
        <v>0.6</v>
      </c>
      <c r="K17" s="381">
        <f t="shared" ca="1" si="3"/>
        <v>26558.86</v>
      </c>
      <c r="L17" s="381">
        <f ca="1">TRUNC(J17*K17*(1+Orcamento!$C$10),2)-0.02</f>
        <v>23123.71</v>
      </c>
      <c r="M17" s="382">
        <f ca="1">L17/Orcamento!$F$60</f>
        <v>6.2660651878541057E-2</v>
      </c>
    </row>
    <row r="18" spans="2:13" s="21" customFormat="1" ht="15" customHeight="1" x14ac:dyDescent="0.25">
      <c r="B18" s="110" t="str">
        <f>'Memo calc'!B288</f>
        <v>P9848</v>
      </c>
      <c r="C18" s="436" t="str">
        <f t="shared" ca="1" si="0"/>
        <v>Desenhista</v>
      </c>
      <c r="D18" s="110" t="str">
        <f t="shared" ca="1" si="1"/>
        <v>T</v>
      </c>
      <c r="E18" s="110">
        <f>'Memo calc'!H288</f>
        <v>1</v>
      </c>
      <c r="F18" s="110">
        <f>'Memo calc'!J288</f>
        <v>1</v>
      </c>
      <c r="G18" s="245">
        <f>'Memo calc'!M288</f>
        <v>7.333333333333333</v>
      </c>
      <c r="H18" s="246">
        <f>MO!I37+MO!I44+MO!I56+MO!I59+MO!I62+MO!I65+MO!I68+MO!I71+MO!I74+MO!I101</f>
        <v>49.052518571428564</v>
      </c>
      <c r="I18" s="246">
        <f>SUMIF(MO!$B$15:$B$101,"P9848",MO!$J$15:$J$101)</f>
        <v>359.71846952380952</v>
      </c>
      <c r="J18" s="246">
        <f t="shared" si="2"/>
        <v>1.6350839523809524</v>
      </c>
      <c r="K18" s="146">
        <f t="shared" ca="1" si="3"/>
        <v>7821.6815999999999</v>
      </c>
      <c r="L18" s="381">
        <f ca="1">TRUNC(J18*K18*(1+Orcamento!$C$10),2)-0.02</f>
        <v>18558.25</v>
      </c>
      <c r="M18" s="376">
        <f ca="1">L18/Orcamento!$F$60</f>
        <v>5.028916392416851E-2</v>
      </c>
    </row>
    <row r="19" spans="2:13" s="21" customFormat="1" ht="15" customHeight="1" x14ac:dyDescent="0.25">
      <c r="B19" s="110" t="str">
        <f>'Memo calc'!B657</f>
        <v>P8147</v>
      </c>
      <c r="C19" s="373" t="str">
        <f t="shared" ca="1" si="0"/>
        <v>Técnico de obras</v>
      </c>
      <c r="D19" s="110" t="str">
        <f t="shared" ca="1" si="1"/>
        <v>T</v>
      </c>
      <c r="E19" s="110">
        <f>'Memo calc'!H657</f>
        <v>1</v>
      </c>
      <c r="F19" s="110">
        <f>'Memo calc'!I657</f>
        <v>1</v>
      </c>
      <c r="G19" s="245">
        <f>'Memo calc'!K657</f>
        <v>7.333333333333333</v>
      </c>
      <c r="H19" s="246">
        <f>'Memo calc'!M657</f>
        <v>4.5714285714285712</v>
      </c>
      <c r="I19" s="246">
        <f>SUMIF(MO!$B$15:$B$101,"P8147",MO!$J$15:$J$101)</f>
        <v>101.72380952380951</v>
      </c>
      <c r="J19" s="246">
        <f t="shared" si="2"/>
        <v>0.46238095238095228</v>
      </c>
      <c r="K19" s="146">
        <f t="shared" ca="1" si="3"/>
        <v>7040.14</v>
      </c>
      <c r="L19" s="381">
        <f ca="1">TRUNC(J19*K19*(1+Orcamento!$C$10),2)-0.01</f>
        <v>4723.6399999999994</v>
      </c>
      <c r="M19" s="376">
        <f ca="1">L19/Orcamento!$F$60</f>
        <v>1.2800124272426511E-2</v>
      </c>
    </row>
    <row r="20" spans="2:13" s="21" customFormat="1" ht="15" customHeight="1" x14ac:dyDescent="0.25">
      <c r="B20" s="110" t="str">
        <f>'Memo calc'!B160</f>
        <v>P8143</v>
      </c>
      <c r="C20" s="373" t="str">
        <f t="shared" ca="1" si="0"/>
        <v>Técnico ambiental</v>
      </c>
      <c r="D20" s="110" t="str">
        <f t="shared" ca="1" si="1"/>
        <v>T</v>
      </c>
      <c r="E20" s="110">
        <f>'Memo calc'!H160</f>
        <v>1</v>
      </c>
      <c r="F20" s="110">
        <f>'Memo calc'!J160</f>
        <v>1</v>
      </c>
      <c r="G20" s="245">
        <f>'Memo calc'!L160</f>
        <v>7.333333333333333</v>
      </c>
      <c r="H20" s="246">
        <f>'Memo calc'!O160</f>
        <v>2</v>
      </c>
      <c r="I20" s="246">
        <f>SUMIF(MO!$B$15:$B$101,"P8143",MO!$J$15:$J$101)</f>
        <v>91.666666666666657</v>
      </c>
      <c r="J20" s="246">
        <f t="shared" si="2"/>
        <v>0.41666666666666663</v>
      </c>
      <c r="K20" s="146">
        <f t="shared" ca="1" si="3"/>
        <v>6565.04</v>
      </c>
      <c r="L20" s="381">
        <f ca="1">TRUNC(J20*K20*(1+Orcamento!$C$10),2)-0.01</f>
        <v>3969.37</v>
      </c>
      <c r="M20" s="376">
        <f ca="1">L20/Orcamento!$F$60</f>
        <v>1.075620269183122E-2</v>
      </c>
    </row>
    <row r="21" spans="2:13" s="21" customFormat="1" ht="15" customHeight="1" x14ac:dyDescent="0.25">
      <c r="B21" s="110" t="str">
        <f>'Memo calc'!B81</f>
        <v>P8025</v>
      </c>
      <c r="C21" s="373" t="str">
        <f t="shared" ca="1" si="0"/>
        <v>Auxiliar</v>
      </c>
      <c r="D21" s="110" t="str">
        <f t="shared" ca="1" si="1"/>
        <v>A</v>
      </c>
      <c r="E21" s="110">
        <f>'Memo calc'!H81</f>
        <v>1</v>
      </c>
      <c r="F21" s="110">
        <f>'Memo calc'!J81</f>
        <v>1</v>
      </c>
      <c r="G21" s="245">
        <f>'Memo calc'!M81</f>
        <v>7.333333333333333</v>
      </c>
      <c r="H21" s="246">
        <f>'Memo calc'!O81</f>
        <v>3</v>
      </c>
      <c r="I21" s="246">
        <f>SUMIF(MO!$B$15:$B$101,"P8025",MO!$J$15:$J$101)</f>
        <v>139.33333333333331</v>
      </c>
      <c r="J21" s="246">
        <f t="shared" si="2"/>
        <v>0.63333333333333319</v>
      </c>
      <c r="K21" s="146">
        <f t="shared" ca="1" si="3"/>
        <v>4276.41</v>
      </c>
      <c r="L21" s="381">
        <f ca="1">TRUNC(J21*K21*(1+Orcamento!$C$10),2)-0.01</f>
        <v>3930.1299999999997</v>
      </c>
      <c r="M21" s="376">
        <f ca="1">L21/Orcamento!$F$60</f>
        <v>1.0649870101614773E-2</v>
      </c>
    </row>
    <row r="22" spans="2:13" s="21" customFormat="1" ht="15" customHeight="1" x14ac:dyDescent="0.25">
      <c r="B22" s="110" t="str">
        <f>'Memo calc'!B551</f>
        <v>P8098</v>
      </c>
      <c r="C22" s="373" t="str">
        <f t="shared" ca="1" si="0"/>
        <v>Laboratorista</v>
      </c>
      <c r="D22" s="110" t="str">
        <f t="shared" ca="1" si="1"/>
        <v>T</v>
      </c>
      <c r="E22" s="110">
        <f>'Memo calc'!H551</f>
        <v>1</v>
      </c>
      <c r="F22" s="110">
        <f>'Memo calc'!J551</f>
        <v>1</v>
      </c>
      <c r="G22" s="245">
        <f>'Memo calc'!L551</f>
        <v>7.333333333333333</v>
      </c>
      <c r="H22" s="246">
        <f>'Memo calc'!N551</f>
        <v>7.5</v>
      </c>
      <c r="I22" s="246">
        <f>SUMIF(MO!$B$15:$B$101,"P8098",MO!$J$15:$J$101)</f>
        <v>78.588888888888889</v>
      </c>
      <c r="J22" s="246">
        <f t="shared" si="2"/>
        <v>0.35722222222222222</v>
      </c>
      <c r="K22" s="146">
        <f t="shared" ca="1" si="3"/>
        <v>5615.95</v>
      </c>
      <c r="L22" s="381">
        <f ca="1">TRUNC(J22*K22*(1+Orcamento!$C$10),2)-0.01</f>
        <v>2911.1</v>
      </c>
      <c r="M22" s="376">
        <f ca="1">L22/Orcamento!$F$60</f>
        <v>7.8885016151655964E-3</v>
      </c>
    </row>
    <row r="23" spans="2:13" s="21" customFormat="1" ht="15" customHeight="1" x14ac:dyDescent="0.25">
      <c r="B23" s="110" t="str">
        <f>MO!B95</f>
        <v>P8033</v>
      </c>
      <c r="C23" s="373" t="str">
        <f t="shared" ca="1" si="0"/>
        <v>Biólogo pleno</v>
      </c>
      <c r="D23" s="110" t="str">
        <f t="shared" ca="1" si="1"/>
        <v>S</v>
      </c>
      <c r="E23" s="110">
        <v>1</v>
      </c>
      <c r="F23" s="110">
        <v>1</v>
      </c>
      <c r="G23" s="245">
        <v>7.333333333333333</v>
      </c>
      <c r="H23" s="246">
        <f>'Memo calc'!M1366+'Memo calc'!M1462</f>
        <v>5</v>
      </c>
      <c r="I23" s="246">
        <f>SUMIF(MO!$B$15:$B$101,"P8033",MO!$J$15:$J$101)</f>
        <v>36.666666666666664</v>
      </c>
      <c r="J23" s="246">
        <f t="shared" si="2"/>
        <v>0.16666666666666666</v>
      </c>
      <c r="K23" s="146">
        <f t="shared" ca="1" si="3"/>
        <v>8820.85</v>
      </c>
      <c r="L23" s="381">
        <f ca="1">TRUNC(J23*K23*(1+Orcamento!$C$10),2)-0.01</f>
        <v>2133.31</v>
      </c>
      <c r="M23" s="376">
        <f ca="1">L23/Orcamento!$F$60</f>
        <v>5.7808455156638109E-3</v>
      </c>
    </row>
    <row r="24" spans="2:13" s="21" customFormat="1" ht="15" customHeight="1" x14ac:dyDescent="0.25">
      <c r="B24" s="110" t="str">
        <f>'Memo calc'!B552</f>
        <v>P8027</v>
      </c>
      <c r="C24" s="373" t="str">
        <f t="shared" ca="1" si="0"/>
        <v>Auxiliar de laboratório</v>
      </c>
      <c r="D24" s="110" t="str">
        <f t="shared" ca="1" si="1"/>
        <v>A</v>
      </c>
      <c r="E24" s="110">
        <f>'Memo calc'!H552</f>
        <v>1</v>
      </c>
      <c r="F24" s="110">
        <f>'Memo calc'!J552</f>
        <v>1</v>
      </c>
      <c r="G24" s="245">
        <f>'Memo calc'!L552</f>
        <v>7.333333333333333</v>
      </c>
      <c r="H24" s="246">
        <f>'Memo calc'!N552</f>
        <v>7.5</v>
      </c>
      <c r="I24" s="246">
        <f>SUMIF(MO!$B$15:$B$101,"P8027",MO!$J$15:$J$101)</f>
        <v>55</v>
      </c>
      <c r="J24" s="246">
        <f t="shared" si="2"/>
        <v>0.25</v>
      </c>
      <c r="K24" s="146">
        <f t="shared" ca="1" si="3"/>
        <v>4554.09</v>
      </c>
      <c r="L24" s="381">
        <f ca="1">TRUNC(J24*K24*(1+Orcamento!$C$10),2)</f>
        <v>1652.1</v>
      </c>
      <c r="M24" s="376">
        <f ca="1">L24/Orcamento!$F$60</f>
        <v>4.4768621890059028E-3</v>
      </c>
    </row>
    <row r="25" spans="2:13" s="21" customFormat="1" ht="15" customHeight="1" x14ac:dyDescent="0.25">
      <c r="B25" s="110" t="str">
        <f>'Memo calc'!B332</f>
        <v>P8163</v>
      </c>
      <c r="C25" s="373" t="str">
        <f t="shared" ca="1" si="0"/>
        <v>Topógrafo</v>
      </c>
      <c r="D25" s="110" t="str">
        <f t="shared" ca="1" si="1"/>
        <v>T</v>
      </c>
      <c r="E25" s="110">
        <f>'Memo calc'!H332</f>
        <v>1</v>
      </c>
      <c r="F25" s="110">
        <f>'Memo calc'!J332</f>
        <v>1</v>
      </c>
      <c r="G25" s="245">
        <f>'Memo calc'!L332</f>
        <v>7.333333333333333</v>
      </c>
      <c r="H25" s="246">
        <f>'Memo calc'!N332</f>
        <v>3</v>
      </c>
      <c r="I25" s="246">
        <f>SUMIF(MO!$B$15:$B$101,"P8163",MO!$J$15:$J$101)</f>
        <v>36.666666666666664</v>
      </c>
      <c r="J25" s="246">
        <f t="shared" si="2"/>
        <v>0.16666666666666666</v>
      </c>
      <c r="K25" s="146">
        <f t="shared" ca="1" si="3"/>
        <v>5810.76</v>
      </c>
      <c r="L25" s="381">
        <f ca="1">TRUNC(J25*K25*(1+Orcamento!$C$10),2)-0.01</f>
        <v>1405.32</v>
      </c>
      <c r="M25" s="376">
        <f ca="1">L25/Orcamento!$F$60</f>
        <v>3.8081375046630198E-3</v>
      </c>
    </row>
    <row r="26" spans="2:13" s="21" customFormat="1" ht="15" customHeight="1" x14ac:dyDescent="0.25">
      <c r="B26" s="110" t="str">
        <f>'Memo calc'!B1069</f>
        <v>P8081</v>
      </c>
      <c r="C26" s="373" t="str">
        <f t="shared" ca="1" si="0"/>
        <v>Geólogo pleno</v>
      </c>
      <c r="D26" s="110" t="str">
        <f t="shared" ca="1" si="1"/>
        <v>S</v>
      </c>
      <c r="E26" s="110">
        <f>'Memo calc'!H1069</f>
        <v>1</v>
      </c>
      <c r="F26" s="110">
        <f>'Memo calc'!I1069</f>
        <v>1</v>
      </c>
      <c r="G26" s="245">
        <f>'Memo calc'!K1069</f>
        <v>7.333333333333333</v>
      </c>
      <c r="H26" s="246">
        <f>'Memo calc'!M1069</f>
        <v>1</v>
      </c>
      <c r="I26" s="246">
        <f>SUMIF(MO!$B$15:$B$101,"P8081",MO!$J$15:$J$101)</f>
        <v>7.333333333333333</v>
      </c>
      <c r="J26" s="246">
        <f t="shared" si="2"/>
        <v>3.3333333333333333E-2</v>
      </c>
      <c r="K26" s="146">
        <f t="shared" ca="1" si="3"/>
        <v>25780.18</v>
      </c>
      <c r="L26" s="381">
        <f ca="1">TRUNC(J26*K26*(1+Orcamento!$C$10),2)-0.01</f>
        <v>1246.97</v>
      </c>
      <c r="M26" s="376">
        <f ca="1">L26/Orcamento!$F$60</f>
        <v>3.3790405204434906E-3</v>
      </c>
    </row>
    <row r="27" spans="2:13" s="21" customFormat="1" ht="15" customHeight="1" x14ac:dyDescent="0.25">
      <c r="B27" s="110" t="str">
        <f>'Memo calc'!B333</f>
        <v>P8028</v>
      </c>
      <c r="C27" s="373" t="str">
        <f t="shared" ca="1" si="0"/>
        <v>Auxiliar de topografia</v>
      </c>
      <c r="D27" s="110" t="str">
        <f t="shared" ca="1" si="1"/>
        <v>A</v>
      </c>
      <c r="E27" s="110">
        <f>'Memo calc'!H333</f>
        <v>1</v>
      </c>
      <c r="F27" s="110">
        <f>'Memo calc'!J333</f>
        <v>2</v>
      </c>
      <c r="G27" s="245">
        <f>'Memo calc'!L333</f>
        <v>7.333333333333333</v>
      </c>
      <c r="H27" s="246">
        <f>'Memo calc'!N333</f>
        <v>3</v>
      </c>
      <c r="I27" s="246">
        <f>SUMIF(MO!$B$15:$B$101,"P8028",MO!$J$15:$J$101)</f>
        <v>44</v>
      </c>
      <c r="J27" s="246">
        <f t="shared" si="2"/>
        <v>0.2</v>
      </c>
      <c r="K27" s="146">
        <f t="shared" ca="1" si="3"/>
        <v>4255.96</v>
      </c>
      <c r="L27" s="381">
        <f ca="1">TRUNC(J27*K27*(1+Orcamento!$C$10),2)</f>
        <v>1235.1600000000001</v>
      </c>
      <c r="M27" s="376">
        <f ca="1">L27/Orcamento!$F$60</f>
        <v>3.3470377709415478E-3</v>
      </c>
    </row>
    <row r="28" spans="2:13" s="21" customFormat="1" ht="15" customHeight="1" x14ac:dyDescent="0.25">
      <c r="B28" s="110" t="str">
        <f>'Memo calc'!B462</f>
        <v>P8139</v>
      </c>
      <c r="C28" s="373" t="str">
        <f t="shared" ca="1" si="0"/>
        <v>Sondador</v>
      </c>
      <c r="D28" s="110" t="str">
        <f t="shared" ca="1" si="1"/>
        <v>T</v>
      </c>
      <c r="E28" s="110">
        <f>'Memo calc'!H462</f>
        <v>1</v>
      </c>
      <c r="F28" s="110">
        <f>'Memo calc'!J462</f>
        <v>1</v>
      </c>
      <c r="G28" s="245">
        <f>'Memo calc'!L462</f>
        <v>7.333333333333333</v>
      </c>
      <c r="H28" s="246">
        <f>'Memo calc'!N462</f>
        <v>5</v>
      </c>
      <c r="I28" s="246">
        <f>SUMIF(MO!$B$15:$B$101,"P8139",MO!$J$15:$J$101)</f>
        <v>36.666666666666664</v>
      </c>
      <c r="J28" s="246">
        <f t="shared" si="2"/>
        <v>0.16666666666666666</v>
      </c>
      <c r="K28" s="146">
        <f t="shared" ca="1" si="3"/>
        <v>5087.7700000000004</v>
      </c>
      <c r="L28" s="381">
        <f ca="1">TRUNC(J28*K28*(1+Orcamento!$C$10),2)-0.01</f>
        <v>1230.46</v>
      </c>
      <c r="M28" s="376">
        <f ca="1">L28/Orcamento!$F$60</f>
        <v>3.3343017063641447E-3</v>
      </c>
    </row>
    <row r="29" spans="2:13" ht="15" customHeight="1" x14ac:dyDescent="0.25">
      <c r="B29" s="110" t="str">
        <f>'Memo calc'!B202</f>
        <v>P8080</v>
      </c>
      <c r="C29" s="373" t="str">
        <f t="shared" ca="1" si="0"/>
        <v>Geólogo júnior</v>
      </c>
      <c r="D29" s="110" t="str">
        <f t="shared" ca="1" si="1"/>
        <v>S</v>
      </c>
      <c r="E29" s="110">
        <f>'Memo calc'!H202</f>
        <v>1</v>
      </c>
      <c r="F29" s="110">
        <f>'Memo calc'!J202</f>
        <v>1</v>
      </c>
      <c r="G29" s="245">
        <f>'Memo calc'!M202</f>
        <v>7.333333333333333</v>
      </c>
      <c r="H29" s="246">
        <f>'Memo calc'!P202</f>
        <v>1</v>
      </c>
      <c r="I29" s="246">
        <f>SUMIF(MO!$B$15:$B$101,"P8080",MO!$J$15:$J$101)</f>
        <v>7.333333333333333</v>
      </c>
      <c r="J29" s="246">
        <f t="shared" si="2"/>
        <v>3.3333333333333333E-2</v>
      </c>
      <c r="K29" s="146">
        <f t="shared" ca="1" si="3"/>
        <v>24321.09</v>
      </c>
      <c r="L29" s="381">
        <f ca="1">TRUNC(J29*K29*(1+Orcamento!$C$10),2)-0.01</f>
        <v>1176.4000000000001</v>
      </c>
      <c r="M29" s="376">
        <f ca="1">L29/Orcamento!$F$60</f>
        <v>3.1878098657142696E-3</v>
      </c>
    </row>
    <row r="30" spans="2:13" ht="15" customHeight="1" x14ac:dyDescent="0.25">
      <c r="B30" s="110" t="str">
        <f>'Memo calc'!B246</f>
        <v>P8155</v>
      </c>
      <c r="C30" s="426" t="str">
        <f t="shared" ca="1" si="0"/>
        <v>Técnico em geoprocessamento</v>
      </c>
      <c r="D30" s="110" t="str">
        <f t="shared" ca="1" si="1"/>
        <v>T</v>
      </c>
      <c r="E30" s="110">
        <f>'Memo calc'!H246</f>
        <v>1</v>
      </c>
      <c r="F30" s="110">
        <f>'Memo calc'!J246</f>
        <v>1</v>
      </c>
      <c r="G30" s="245">
        <f>'Memo calc'!M246</f>
        <v>7.333333333333333</v>
      </c>
      <c r="H30" s="246">
        <f>'Memo calc'!P246</f>
        <v>1</v>
      </c>
      <c r="I30" s="246">
        <f>SUMIF(MO!$B$15:$B$101,"P8155",MO!$J$15:$J$101)</f>
        <v>7.333333333333333</v>
      </c>
      <c r="J30" s="246">
        <f t="shared" si="2"/>
        <v>3.3333333333333333E-2</v>
      </c>
      <c r="K30" s="146">
        <f t="shared" ca="1" si="3"/>
        <v>6390.65</v>
      </c>
      <c r="L30" s="381">
        <f ca="1">TRUNC(J30*K30*(1+Orcamento!$C$10),2)-0.01</f>
        <v>309.10000000000002</v>
      </c>
      <c r="M30" s="376">
        <f ca="1">L30/Orcamento!$F$60</f>
        <v>8.3759948103730077E-4</v>
      </c>
    </row>
    <row r="31" spans="2:13" ht="15" customHeight="1" x14ac:dyDescent="0.25">
      <c r="B31" s="72"/>
      <c r="C31" s="374"/>
      <c r="D31" s="73"/>
      <c r="E31" s="73"/>
      <c r="F31" s="73"/>
      <c r="G31" s="74"/>
      <c r="H31" s="75"/>
      <c r="I31" s="75"/>
      <c r="J31" s="75"/>
      <c r="K31" s="76" t="s">
        <v>676</v>
      </c>
      <c r="L31" s="77">
        <f ca="1">SUMIF($D$14:$D$30,"S",$L$14:$L$30)-0.02</f>
        <v>230096.77000000002</v>
      </c>
      <c r="M31" s="555">
        <f ca="1">SUM(M14:M29)</f>
        <v>0.73086670741302628</v>
      </c>
    </row>
    <row r="32" spans="2:13" ht="15" customHeight="1" x14ac:dyDescent="0.25">
      <c r="B32" s="72"/>
      <c r="C32" s="374"/>
      <c r="D32" s="73"/>
      <c r="E32" s="73"/>
      <c r="F32" s="73"/>
      <c r="G32" s="74"/>
      <c r="H32" s="75"/>
      <c r="I32" s="75"/>
      <c r="J32" s="75"/>
      <c r="K32" s="76" t="s">
        <v>677</v>
      </c>
      <c r="L32" s="77">
        <f ca="1">SUMIF($D$14:$D$29,"T",$L$14:$L$29)</f>
        <v>32798.14</v>
      </c>
      <c r="M32" s="555"/>
    </row>
    <row r="33" spans="2:13" ht="15" customHeight="1" x14ac:dyDescent="0.25">
      <c r="B33" s="72"/>
      <c r="C33" s="374"/>
      <c r="D33" s="73"/>
      <c r="E33" s="73"/>
      <c r="F33" s="73"/>
      <c r="G33" s="74"/>
      <c r="H33" s="75"/>
      <c r="I33" s="75"/>
      <c r="J33" s="75"/>
      <c r="K33" s="76" t="s">
        <v>678</v>
      </c>
      <c r="L33" s="77">
        <f ca="1">SUMIF($D$14:$D$29,"A",$L$14:$L$29)</f>
        <v>6817.3899999999994</v>
      </c>
      <c r="M33" s="555"/>
    </row>
    <row r="34" spans="2:13" ht="15" customHeight="1" x14ac:dyDescent="0.25">
      <c r="B34" s="72"/>
      <c r="C34" s="374"/>
      <c r="D34" s="73"/>
      <c r="E34" s="73"/>
      <c r="F34" s="73"/>
      <c r="G34" s="74"/>
      <c r="H34" s="75"/>
      <c r="I34" s="75"/>
      <c r="J34" s="75"/>
      <c r="K34" s="76" t="s">
        <v>693</v>
      </c>
      <c r="L34" s="77">
        <f ca="1">SUM(L31:L33)</f>
        <v>269712.30000000005</v>
      </c>
      <c r="M34" s="555"/>
    </row>
    <row r="35" spans="2:13" ht="15" customHeight="1" x14ac:dyDescent="0.25">
      <c r="B35" s="68" t="s">
        <v>587</v>
      </c>
    </row>
    <row r="36" spans="2:13" x14ac:dyDescent="0.25">
      <c r="B36" s="3" t="s">
        <v>679</v>
      </c>
    </row>
    <row r="37" spans="2:13" ht="30" customHeight="1" x14ac:dyDescent="0.25">
      <c r="B37" s="499" t="s">
        <v>858</v>
      </c>
      <c r="C37" s="499"/>
      <c r="D37" s="499"/>
      <c r="E37" s="499"/>
      <c r="F37" s="499"/>
      <c r="G37" s="499"/>
      <c r="H37" s="499"/>
      <c r="I37" s="499"/>
      <c r="J37" s="499"/>
      <c r="K37" s="499"/>
      <c r="L37" s="499"/>
      <c r="M37" s="375"/>
    </row>
    <row r="38" spans="2:13" ht="9" customHeight="1" x14ac:dyDescent="0.25"/>
    <row r="39" spans="2:13" ht="15" customHeight="1" x14ac:dyDescent="0.25">
      <c r="L39" s="91">
        <f ca="1">L31/(1+Orcamento!$C$10)</f>
        <v>158567.13527668666</v>
      </c>
    </row>
    <row r="40" spans="2:13" ht="15" customHeight="1" x14ac:dyDescent="0.25">
      <c r="L40" s="91">
        <f ca="1">L32/(1+Orcamento!$C$10)</f>
        <v>22602.260354214042</v>
      </c>
    </row>
    <row r="41" spans="2:13" ht="15" customHeight="1" x14ac:dyDescent="0.25">
      <c r="L41" s="91">
        <f ca="1">L33/(1+Orcamento!$C$10)</f>
        <v>4698.0842119771205</v>
      </c>
    </row>
  </sheetData>
  <sortState ref="B14:M30">
    <sortCondition descending="1" ref="M14:M30"/>
  </sortState>
  <mergeCells count="7">
    <mergeCell ref="B37:L37"/>
    <mergeCell ref="M31:M34"/>
    <mergeCell ref="C4:L4"/>
    <mergeCell ref="B10:L10"/>
    <mergeCell ref="B12:B13"/>
    <mergeCell ref="C12:C13"/>
    <mergeCell ref="D12:D13"/>
  </mergeCells>
  <printOptions horizontalCentered="1"/>
  <pageMargins left="0.78740157480314965" right="0.78740157480314965" top="0.39370078740157483" bottom="0.78740157480314965" header="0.19685039370078741" footer="0.19685039370078741"/>
  <pageSetup paperSize="9" scale="57" fitToHeight="0" orientation="portrait" r:id="rId1"/>
  <headerFooter>
    <oddFooter xml:space="preserve">&amp;C&amp;10Av. Des. José Nunes da Cunha, Bloco 14, Parque dos Poderes, Campo Grande (MS), CEP 79031-310
PABX: (67) 3318-5300/ Gab: 5538 – Fax (67) 3318-5386 – gabinete@seinfra.ms.gov.br
</oddFooter>
  </headerFooter>
  <rowBreaks count="1" manualBreakCount="1">
    <brk id="37" max="13" man="1"/>
  </row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6" baseType="variant">
      <vt:variant>
        <vt:lpstr>Planilhas</vt:lpstr>
      </vt:variant>
      <vt:variant>
        <vt:i4>28</vt:i4>
      </vt:variant>
      <vt:variant>
        <vt:lpstr>Gráficos</vt:lpstr>
      </vt:variant>
      <vt:variant>
        <vt:i4>1</vt:i4>
      </vt:variant>
      <vt:variant>
        <vt:lpstr>Intervalos nomeados</vt:lpstr>
      </vt:variant>
      <vt:variant>
        <vt:i4>22</vt:i4>
      </vt:variant>
    </vt:vector>
  </HeadingPairs>
  <TitlesOfParts>
    <vt:vector size="51" baseType="lpstr">
      <vt:lpstr>Sumario</vt:lpstr>
      <vt:lpstr>Qd abrang</vt:lpstr>
      <vt:lpstr>Orcamento</vt:lpstr>
      <vt:lpstr>Crono medicoes</vt:lpstr>
      <vt:lpstr>Custos proj</vt:lpstr>
      <vt:lpstr>MO</vt:lpstr>
      <vt:lpstr>Veículos</vt:lpstr>
      <vt:lpstr>Equip + materiais</vt:lpstr>
      <vt:lpstr>Diárias + passagens</vt:lpstr>
      <vt:lpstr>Mob desmob MO</vt:lpstr>
      <vt:lpstr>Mob desmob equip rod</vt:lpstr>
      <vt:lpstr>Inst + diversos</vt:lpstr>
      <vt:lpstr>BDI OK</vt:lpstr>
      <vt:lpstr>Serv graf</vt:lpstr>
      <vt:lpstr>Produtividade</vt:lpstr>
      <vt:lpstr>Carac trecho</vt:lpstr>
      <vt:lpstr>Memo calc</vt:lpstr>
      <vt:lpstr>Crono fisico</vt:lpstr>
      <vt:lpstr>Histo esc</vt:lpstr>
      <vt:lpstr>Histo resid</vt:lpstr>
      <vt:lpstr>Listas</vt:lpstr>
      <vt:lpstr>Lista MO</vt:lpstr>
      <vt:lpstr>Lista veiculo+equip+mat</vt:lpstr>
      <vt:lpstr>Imóveis-Mobiliários-Cestas-Dive</vt:lpstr>
      <vt:lpstr>BDI</vt:lpstr>
      <vt:lpstr>Sudecap</vt:lpstr>
      <vt:lpstr>Curva ABC Insumos</vt:lpstr>
      <vt:lpstr>Curva ABC MO</vt:lpstr>
      <vt:lpstr>Graf crono fisico</vt:lpstr>
      <vt:lpstr>'BDI OK'!Area_de_impressao</vt:lpstr>
      <vt:lpstr>'Carac trecho'!Area_de_impressao</vt:lpstr>
      <vt:lpstr>'Crono medicoes'!Area_de_impressao</vt:lpstr>
      <vt:lpstr>'Curva ABC Insumos'!Area_de_impressao</vt:lpstr>
      <vt:lpstr>'Curva ABC MO'!Area_de_impressao</vt:lpstr>
      <vt:lpstr>'Custos proj'!Area_de_impressao</vt:lpstr>
      <vt:lpstr>'Diárias + passagens'!Area_de_impressao</vt:lpstr>
      <vt:lpstr>'Equip + materiais'!Area_de_impressao</vt:lpstr>
      <vt:lpstr>'Inst + diversos'!Area_de_impressao</vt:lpstr>
      <vt:lpstr>'Lista MO'!Area_de_impressao</vt:lpstr>
      <vt:lpstr>MO!Area_de_impressao</vt:lpstr>
      <vt:lpstr>'Mob desmob equip rod'!Area_de_impressao</vt:lpstr>
      <vt:lpstr>'Mob desmob MO'!Area_de_impressao</vt:lpstr>
      <vt:lpstr>Orcamento!Area_de_impressao</vt:lpstr>
      <vt:lpstr>Produtividade!Area_de_impressao</vt:lpstr>
      <vt:lpstr>'Qd abrang'!Area_de_impressao</vt:lpstr>
      <vt:lpstr>'Serv graf'!Area_de_impressao</vt:lpstr>
      <vt:lpstr>Sumario!Area_de_impressao</vt:lpstr>
      <vt:lpstr>Veículos!Area_de_impressao</vt:lpstr>
      <vt:lpstr>'Curva ABC MO'!Titulos_de_impressao</vt:lpstr>
      <vt:lpstr>'Memo calc'!Titulos_de_impressao</vt:lpstr>
      <vt:lpstr>MO!Titulos_de_impressao</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Gelio Proença Brum Filho</dc:creator>
  <cp:lastModifiedBy>Raquel Braga dos Santos Reis</cp:lastModifiedBy>
  <cp:lastPrinted>2025-08-29T20:09:39Z</cp:lastPrinted>
  <dcterms:created xsi:type="dcterms:W3CDTF">2021-07-12T19:37:23Z</dcterms:created>
  <dcterms:modified xsi:type="dcterms:W3CDTF">2025-10-07T19:28:25Z</dcterms:modified>
</cp:coreProperties>
</file>