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phabl\Documentos\PROESTE\PROJETOS\PM Tacuru - Ponte Rio Puitã\Projeto Executivo\OAE R2\"/>
    </mc:Choice>
  </mc:AlternateContent>
  <xr:revisionPtr revIDLastSave="0" documentId="13_ncr:1_{CE8D5361-7029-4888-91F0-7D51842AC6B1}" xr6:coauthVersionLast="47" xr6:coauthVersionMax="47" xr10:uidLastSave="{00000000-0000-0000-0000-000000000000}"/>
  <bookViews>
    <workbookView xWindow="19095" yWindow="0" windowWidth="19410" windowHeight="15585" firstSheet="1" activeTab="1" xr2:uid="{00000000-000D-0000-FFFF-FFFF00000000}"/>
  </bookViews>
  <sheets>
    <sheet name="MODELO" sheetId="21" state="hidden" r:id="rId1"/>
    <sheet name="QUANT-PE" sheetId="33" r:id="rId2"/>
    <sheet name="MQ-PE" sheetId="34" r:id="rId3"/>
    <sheet name="BLOCOS" sheetId="22" r:id="rId4"/>
    <sheet name="PILARES" sheetId="23" r:id="rId5"/>
    <sheet name="VIGA 1870" sheetId="24" r:id="rId6"/>
    <sheet name="VIGA 1470" sheetId="25" r:id="rId7"/>
    <sheet name="TRAV E1E3" sheetId="26" r:id="rId8"/>
    <sheet name="TRAV E2" sheetId="27" r:id="rId9"/>
    <sheet name="ALAS" sheetId="28" r:id="rId10"/>
    <sheet name="LAJE TRANS" sheetId="29" r:id="rId11"/>
    <sheet name="TRANSV" sheetId="30" r:id="rId12"/>
    <sheet name="PRELAJES" sheetId="31" r:id="rId13"/>
    <sheet name="LAJE" sheetId="32" r:id="rId14"/>
  </sheets>
  <definedNames>
    <definedName name="___________________OUT98" localSheetId="1" hidden="1">{#N/A,#N/A,TRUE,"Serviços"}</definedName>
    <definedName name="___________________OUT98" hidden="1">{#N/A,#N/A,TRUE,"Serviços"}</definedName>
    <definedName name="__________________OUT98" localSheetId="1" hidden="1">{#N/A,#N/A,TRUE,"Serviços"}</definedName>
    <definedName name="__________________OUT98" hidden="1">{#N/A,#N/A,TRUE,"Serviços"}</definedName>
    <definedName name="_________________OUT98" localSheetId="1" hidden="1">{#N/A,#N/A,TRUE,"Serviços"}</definedName>
    <definedName name="_________________OUT98" hidden="1">{#N/A,#N/A,TRUE,"Serviços"}</definedName>
    <definedName name="________________OUT98" localSheetId="1" hidden="1">{#N/A,#N/A,TRUE,"Serviços"}</definedName>
    <definedName name="________________OUT98" hidden="1">{#N/A,#N/A,TRUE,"Serviços"}</definedName>
    <definedName name="_____________OUT98" localSheetId="1" hidden="1">{#N/A,#N/A,TRUE,"Serviços"}</definedName>
    <definedName name="_____________OUT98" hidden="1">{#N/A,#N/A,TRUE,"Serviços"}</definedName>
    <definedName name="____________OUT98" localSheetId="1" hidden="1">{#N/A,#N/A,TRUE,"Serviços"}</definedName>
    <definedName name="____________OUT98" hidden="1">{#N/A,#N/A,TRUE,"Serviços"}</definedName>
    <definedName name="____________OUT988" localSheetId="1" hidden="1">{#N/A,#N/A,TRUE,"Serviços"}</definedName>
    <definedName name="____________OUT988" hidden="1">{#N/A,#N/A,TRUE,"Serviços"}</definedName>
    <definedName name="___________OUT98" localSheetId="1" hidden="1">{#N/A,#N/A,TRUE,"Serviços"}</definedName>
    <definedName name="___________OUT98" hidden="1">{#N/A,#N/A,TRUE,"Serviços"}</definedName>
    <definedName name="___________OUT988" localSheetId="1" hidden="1">{#N/A,#N/A,TRUE,"Serviços"}</definedName>
    <definedName name="___________OUT988" hidden="1">{#N/A,#N/A,TRUE,"Serviços"}</definedName>
    <definedName name="___________OUT9888" localSheetId="1" hidden="1">{#N/A,#N/A,TRUE,"Serviços"}</definedName>
    <definedName name="___________OUT9888" hidden="1">{#N/A,#N/A,TRUE,"Serviços"}</definedName>
    <definedName name="__________OUT98" localSheetId="1" hidden="1">{#N/A,#N/A,TRUE,"Serviços"}</definedName>
    <definedName name="__________OUT98" hidden="1">{#N/A,#N/A,TRUE,"Serviços"}</definedName>
    <definedName name="_________OUT98" localSheetId="1" hidden="1">{#N/A,#N/A,TRUE,"Serviços"}</definedName>
    <definedName name="_________OUT98" hidden="1">{#N/A,#N/A,TRUE,"Serviços"}</definedName>
    <definedName name="_________OUTT98" localSheetId="1" hidden="1">{#N/A,#N/A,TRUE,"Serviços"}</definedName>
    <definedName name="_________OUTT98" hidden="1">{#N/A,#N/A,TRUE,"Serviços"}</definedName>
    <definedName name="_________OUTT988" localSheetId="1" hidden="1">{#N/A,#N/A,TRUE,"Serviços"}</definedName>
    <definedName name="_________OUTT988" hidden="1">{#N/A,#N/A,TRUE,"Serviços"}</definedName>
    <definedName name="________OUT98" localSheetId="1" hidden="1">{#N/A,#N/A,TRUE,"Serviços"}</definedName>
    <definedName name="________OUT98" hidden="1">{#N/A,#N/A,TRUE,"Serviços"}</definedName>
    <definedName name="________OUTTT98" localSheetId="1" hidden="1">{#N/A,#N/A,TRUE,"Serviços"}</definedName>
    <definedName name="________OUTTT98" hidden="1">{#N/A,#N/A,TRUE,"Serviços"}</definedName>
    <definedName name="_______OUT98" localSheetId="1" hidden="1">{#N/A,#N/A,TRUE,"Serviços"}</definedName>
    <definedName name="_______OUT98" hidden="1">{#N/A,#N/A,TRUE,"Serviços"}</definedName>
    <definedName name="_______OUT9888" localSheetId="1" hidden="1">{#N/A,#N/A,TRUE,"Serviços"}</definedName>
    <definedName name="_______OUT9888" hidden="1">{#N/A,#N/A,TRUE,"Serviços"}</definedName>
    <definedName name="______OUT98" localSheetId="1" hidden="1">{#N/A,#N/A,TRUE,"Serviços"}</definedName>
    <definedName name="______OUT98" hidden="1">{#N/A,#N/A,TRUE,"Serviços"}</definedName>
    <definedName name="______OUTT98888" localSheetId="1" hidden="1">{#N/A,#N/A,TRUE,"Serviços"}</definedName>
    <definedName name="______OUTT98888" hidden="1">{#N/A,#N/A,TRUE,"Serviços"}</definedName>
    <definedName name="_____OUT98" localSheetId="1" hidden="1">{#N/A,#N/A,TRUE,"Serviços"}</definedName>
    <definedName name="_____OUT98" hidden="1">{#N/A,#N/A,TRUE,"Serviços"}</definedName>
    <definedName name="_____out99" localSheetId="1" hidden="1">{#N/A,#N/A,TRUE,"Serviços"}</definedName>
    <definedName name="_____out99" hidden="1">{#N/A,#N/A,TRUE,"Serviços"}</definedName>
    <definedName name="_____OUTTT988" localSheetId="1" hidden="1">{#N/A,#N/A,TRUE,"Serviços"}</definedName>
    <definedName name="_____OUTTT988" hidden="1">{#N/A,#N/A,TRUE,"Serviços"}</definedName>
    <definedName name="____OUT98" localSheetId="1" hidden="1">{#N/A,#N/A,TRUE,"Serviços"}</definedName>
    <definedName name="____OUT98" hidden="1">{#N/A,#N/A,TRUE,"Serviços"}</definedName>
    <definedName name="____out99" localSheetId="1" hidden="1">{#N/A,#N/A,TRUE,"Serviços"}</definedName>
    <definedName name="____out99" hidden="1">{#N/A,#N/A,TRUE,"Serviços"}</definedName>
    <definedName name="____OUTTT98" localSheetId="1" hidden="1">{#N/A,#N/A,TRUE,"Serviços"}</definedName>
    <definedName name="____OUTTT98" hidden="1">{#N/A,#N/A,TRUE,"Serviços"}</definedName>
    <definedName name="___OUT98" localSheetId="1" hidden="1">{#N/A,#N/A,TRUE,"Serviços"}</definedName>
    <definedName name="___OUT98" hidden="1">{#N/A,#N/A,TRUE,"Serviços"}</definedName>
    <definedName name="___out99" localSheetId="1" hidden="1">{#N/A,#N/A,TRUE,"Serviços"}</definedName>
    <definedName name="___out99" hidden="1">{#N/A,#N/A,TRUE,"Serviços"}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IntlFixup" hidden="1">TRUE</definedName>
    <definedName name="__OUT98" localSheetId="1" hidden="1">{#N/A,#N/A,TRUE,"Serviços"}</definedName>
    <definedName name="__OUT98" hidden="1">{#N/A,#N/A,TRUE,"Serviços"}</definedName>
    <definedName name="__OUT988888" localSheetId="1" hidden="1">{#N/A,#N/A,TRUE,"Serviços"}</definedName>
    <definedName name="__OUT988888" hidden="1">{#N/A,#N/A,TRUE,"Serviços"}</definedName>
    <definedName name="__out99" localSheetId="1" hidden="1">{#N/A,#N/A,TRUE,"Serviços"}</definedName>
    <definedName name="__out99" hidden="1">{#N/A,#N/A,TRUE,"Serviços"}</definedName>
    <definedName name="__xlfn.AVERAGEIF" hidden="1">#NAME?</definedName>
    <definedName name="__xlfn.RTD" hidden="1">#NAME?</definedName>
    <definedName name="_1830201" hidden="1">#N/A</definedName>
    <definedName name="_Fill" localSheetId="1" hidden="1">#REF!</definedName>
    <definedName name="_Fill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OUT98" localSheetId="1" hidden="1">{#N/A,#N/A,TRUE,"Serviços"}</definedName>
    <definedName name="_OUT98" hidden="1">{#N/A,#N/A,TRUE,"Serviços"}</definedName>
    <definedName name="_OUT98_" localSheetId="1" hidden="1">{#N/A,#N/A,TRUE,"Serviços"}</definedName>
    <definedName name="_OUT98_" hidden="1">{#N/A,#N/A,TRUE,"Serviços"}</definedName>
    <definedName name="_OUTTTT9888" localSheetId="1" hidden="1">{#N/A,#N/A,TRUE,"Serviços"}</definedName>
    <definedName name="_OUTTTT9888" hidden="1">{#N/A,#N/A,TRUE,"Serviços"}</definedName>
    <definedName name="_Parse_On" localSheetId="1" hidden="1">#REF!</definedName>
    <definedName name="_Parse_On" hidden="1">#REF!</definedName>
    <definedName name="_Parse_Out" hidden="1">#REF!</definedName>
    <definedName name="_Regression_Int" hidden="1">1</definedName>
    <definedName name="_Sort" localSheetId="1" hidden="1">#REF!</definedName>
    <definedName name="_Sort" hidden="1">#REF!</definedName>
    <definedName name="aa" localSheetId="1" hidden="1">{"'EI 060 02'!$A$1:$K$59"}</definedName>
    <definedName name="aa" hidden="1">{"'EI 060 02'!$A$1:$K$59"}</definedName>
    <definedName name="aaaa" localSheetId="1" hidden="1">#REF!</definedName>
    <definedName name="aaaa" hidden="1">#REF!</definedName>
    <definedName name="aaaaa" localSheetId="1" hidden="1">{#N/A,#N/A,FALSE,"MO (2)"}</definedName>
    <definedName name="aaaaa" hidden="1">{#N/A,#N/A,FALSE,"MO (2)"}</definedName>
    <definedName name="acost" localSheetId="1" hidden="1">{#N/A,#N/A,TRUE,"Serviços"}</definedName>
    <definedName name="acost" hidden="1">{#N/A,#N/A,TRUE,"Serviços"}</definedName>
    <definedName name="ad" localSheetId="1" hidden="1">{#N/A,#N/A,FALSE,"MO (2)"}</definedName>
    <definedName name="ad" hidden="1">{#N/A,#N/A,FALSE,"MO (2)"}</definedName>
    <definedName name="AGO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lex" localSheetId="1" hidden="1">{#N/A,#N/A,FALSE,"MO (2)"}</definedName>
    <definedName name="alex" hidden="1">{#N/A,#N/A,FALSE,"MO (2)"}</definedName>
    <definedName name="alex_1" localSheetId="1" hidden="1">{#N/A,#N/A,FALSE,"MO (2)"}</definedName>
    <definedName name="alex_1" hidden="1">{#N/A,#N/A,FALSE,"MO (2)"}</definedName>
    <definedName name="am" localSheetId="1" hidden="1">{#N/A,#N/A,FALSE,"MO (2)"}</definedName>
    <definedName name="am" hidden="1">{#N/A,#N/A,FALSE,"MO (2)"}</definedName>
    <definedName name="anscount" hidden="1">3</definedName>
    <definedName name="ant" localSheetId="1" hidden="1">{#N/A,#N/A,FALSE,"MO (2)"}</definedName>
    <definedName name="ant" hidden="1">{#N/A,#N/A,FALSE,"MO (2)"}</definedName>
    <definedName name="ant_1" localSheetId="1" hidden="1">{#N/A,#N/A,FALSE,"MO (2)"}</definedName>
    <definedName name="ant_1" hidden="1">{#N/A,#N/A,FALSE,"MO (2)"}</definedName>
    <definedName name="_xlnm.Print_Area" localSheetId="1">'QUANT-PE'!$A$1:$E$96</definedName>
    <definedName name="asasa" localSheetId="1" hidden="1">{#N/A,#N/A,FALSE,"MO (2)"}</definedName>
    <definedName name="asasa" hidden="1">{#N/A,#N/A,FALSE,"MO (2)"}</definedName>
    <definedName name="ASDF" localSheetId="13" hidden="1">VLOOKUP(#REF!,rec,5,0)</definedName>
    <definedName name="ASDF" localSheetId="12" hidden="1">VLOOKUP(#REF!,rec,5,0)</definedName>
    <definedName name="ASDF" hidden="1">VLOOKUP(#REF!,rec,5,0)</definedName>
    <definedName name="ASDFG" localSheetId="1" hidden="1">{#N/A,#N/A,TRUE,"Serviços"}</definedName>
    <definedName name="ASDFG" hidden="1">{#N/A,#N/A,TRUE,"Serviços"}</definedName>
    <definedName name="asdfghqefha" localSheetId="1" hidden="1">{#N/A,#N/A,FALSE,"MO (2)"}</definedName>
    <definedName name="asdfghqefha" hidden="1">{#N/A,#N/A,FALSE,"MO (2)"}</definedName>
    <definedName name="ASFGG" localSheetId="1" hidden="1">{#N/A,#N/A,TRUE,"Serviços"}</definedName>
    <definedName name="ASFGG" hidden="1">{#N/A,#N/A,TRUE,"Serviços"}</definedName>
    <definedName name="Aut_original">#REF!</definedName>
    <definedName name="Aut_resumo">#REF!</definedName>
    <definedName name="aux" localSheetId="1">#REF!</definedName>
    <definedName name="aux">#REF!</definedName>
    <definedName name="batista" localSheetId="1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bb" localSheetId="1" hidden="1">{#N/A,#N/A,FALSE,"MO (2)"}</definedName>
    <definedName name="bbbb" hidden="1">{#N/A,#N/A,FALSE,"MO (2)"}</definedName>
    <definedName name="bbbb_1" localSheetId="1" hidden="1">{#N/A,#N/A,FALSE,"MO (2)"}</definedName>
    <definedName name="bbbb_1" hidden="1">{#N/A,#N/A,FALSE,"MO (2)"}</definedName>
    <definedName name="bbbbbbb" localSheetId="1" hidden="1">{#N/A,#N/A,FALSE,"MO (2)"}</definedName>
    <definedName name="bbbbbbb" hidden="1">{#N/A,#N/A,FALSE,"MO (2)"}</definedName>
    <definedName name="Bloco" localSheetId="1" hidden="1">#REF!</definedName>
    <definedName name="Bloco" hidden="1">#REF!</definedName>
    <definedName name="Bloco2" hidden="1">#REF!</definedName>
    <definedName name="BLOCOS" localSheetId="1" hidden="1">{#N/A,#N/A,FALSE,"Plan1"}</definedName>
    <definedName name="BLOCOS" hidden="1">{#N/A,#N/A,FALSE,"Plan1"}</definedName>
    <definedName name="Brita_TSD" hidden="1">{#N/A,#N/A,TRUE,"Plan1"}</definedName>
    <definedName name="Brita_TSD_2" hidden="1">{#N/A,#N/A,TRUE,"Plan1"}</definedName>
    <definedName name="Ç" localSheetId="1" hidden="1">{#N/A,#N/A,FALSE,"MO (2)"}</definedName>
    <definedName name="Ç" hidden="1">{#N/A,#N/A,FALSE,"MO (2)"}</definedName>
    <definedName name="cadeira" localSheetId="1" hidden="1">{#N/A,#N/A,TRUE,"Serviços"}</definedName>
    <definedName name="cadeira" hidden="1">{#N/A,#N/A,TRUE,"Serviços"}</definedName>
    <definedName name="CadIns" localSheetId="1" hidden="1">#REF!</definedName>
    <definedName name="CadIns" hidden="1">#REF!</definedName>
    <definedName name="CadSrv" hidden="1">#REF!</definedName>
    <definedName name="CAPA" localSheetId="1" hidden="1">{#N/A,#N/A,TRUE,"Serviços"}</definedName>
    <definedName name="CAPA" hidden="1">{#N/A,#N/A,TRUE,"Serviços"}</definedName>
    <definedName name="capa1" localSheetId="1" hidden="1">{#N/A,#N/A,TRUE,"Serviços"}</definedName>
    <definedName name="capa1" hidden="1">{#N/A,#N/A,TRUE,"Serviços"}</definedName>
    <definedName name="capa11" localSheetId="1" hidden="1">{#N/A,#N/A,TRUE,"Serviços"}</definedName>
    <definedName name="capa11" hidden="1">{#N/A,#N/A,TRUE,"Serviços"}</definedName>
    <definedName name="capa2" localSheetId="1" hidden="1">{#N/A,#N/A,TRUE,"Serviços"}</definedName>
    <definedName name="capa2" hidden="1">{#N/A,#N/A,TRUE,"Serviços"}</definedName>
    <definedName name="capa22" localSheetId="1" hidden="1">{#N/A,#N/A,TRUE,"Serviços"}</definedName>
    <definedName name="capa22" hidden="1">{#N/A,#N/A,TRUE,"Serviços"}</definedName>
    <definedName name="CAPAA" localSheetId="1" hidden="1">{#N/A,#N/A,TRUE,"Serviços"}</definedName>
    <definedName name="CAPAA" hidden="1">{#N/A,#N/A,TRUE,"Serviços"}</definedName>
    <definedName name="CARL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CCCCCCC" localSheetId="1" hidden="1">{#N/A,#N/A,FALSE,"Plan1"}</definedName>
    <definedName name="CCCCCCCC" hidden="1">{#N/A,#N/A,FALSE,"Plan1"}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localSheetId="1" hidden="1">#REF!</definedName>
    <definedName name="Chave" hidden="1">#REF!</definedName>
    <definedName name="Chave1" hidden="1">#REF!</definedName>
    <definedName name="Clas" hidden="1">MAX(LEN(#REF!))</definedName>
    <definedName name="Clas_1" hidden="1">MAX(LEN(#REF!))</definedName>
    <definedName name="Cliente" hidden="1">""</definedName>
    <definedName name="Cls" hidden="1">#N/A</definedName>
    <definedName name="Cod" localSheetId="1" hidden="1">#REF!</definedName>
    <definedName name="Cod" hidden="1">#REF!</definedName>
    <definedName name="Codigo" hidden="1">#REF!</definedName>
    <definedName name="Coluna" hidden="1">#REF!</definedName>
    <definedName name="Comp" hidden="1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" localSheetId="1" hidden="1">{#N/A,#N/A,FALSE,"MO (2)"}</definedName>
    <definedName name="Cron" hidden="1">{#N/A,#N/A,FALSE,"MO (2)"}</definedName>
    <definedName name="Cron_1" localSheetId="1" hidden="1">{#N/A,#N/A,FALSE,"MO (2)"}</definedName>
    <definedName name="Cron_1" hidden="1">{#N/A,#N/A,FALSE,"MO (2)"}</definedName>
    <definedName name="cronograma" localSheetId="1" hidden="1">{#N/A,#N/A,TRUE,"Plan1"}</definedName>
    <definedName name="cronograma" hidden="1">{#N/A,#N/A,TRUE,"Plan1"}</definedName>
    <definedName name="cu" localSheetId="1" hidden="1">{#N/A,#N/A,TRUE,"Serviços"}</definedName>
    <definedName name="cu" hidden="1">{#N/A,#N/A,TRUE,"Serviços"}</definedName>
    <definedName name="Cun" localSheetId="13" hidden="1">VLOOKUP(#REF!,rec,5,0)</definedName>
    <definedName name="Cun" localSheetId="12" hidden="1">VLOOKUP(#REF!,rec,5,0)</definedName>
    <definedName name="Cun" localSheetId="1" hidden="1">VLOOKUP(#REF!,rec,5,0)</definedName>
    <definedName name="Cun" hidden="1">VLOOKUP(#REF!,rec,5,0)</definedName>
    <definedName name="CunEq" localSheetId="1" hidden="1">SUM(IF(#REF! =#REF!,(#REF!)*(#REF!="EQ")))</definedName>
    <definedName name="CunEq" hidden="1">SUM(IF(#REF! =#REF!,(#REF!)*(#REF!="EQ")))</definedName>
    <definedName name="CunEq_1" localSheetId="1" hidden="1">SUM(IF(#REF! =#REF!,(#REF!)*(#REF!="EQ")))</definedName>
    <definedName name="CunEq_1" hidden="1">SUM(IF(#REF! =#REF!,(#REF!)*(#REF!="EQ")))</definedName>
    <definedName name="CunMo" localSheetId="1" hidden="1">SUM(IF(#REF! =#REF!,(#REF!)*(#REF!="MO")))</definedName>
    <definedName name="CunMo" hidden="1">SUM(IF(#REF! =#REF!,(#REF!)*(#REF!="MO")))</definedName>
    <definedName name="CunMo_1" localSheetId="1" hidden="1">SUM(IF(#REF! =#REF!,(#REF!)*(#REF!="MO")))</definedName>
    <definedName name="CunMo_1" hidden="1">SUM(IF(#REF! =#REF!,(#REF!)*(#REF!="MO")))</definedName>
    <definedName name="CunMp" localSheetId="1" hidden="1">SUM(IF(#REF! =#REF!,(#REF!)*(#REF!="MP")))</definedName>
    <definedName name="CunMp" hidden="1">SUM(IF(#REF! =#REF!,(#REF!)*(#REF!="MP")))</definedName>
    <definedName name="CunMp_1" localSheetId="1" hidden="1">SUM(IF(#REF! =#REF!,(#REF!)*(#REF!="MP")))</definedName>
    <definedName name="CunMp_1" hidden="1">SUM(IF(#REF! =#REF!,(#REF!)*(#REF!="MP")))</definedName>
    <definedName name="DAER1" localSheetId="1" hidden="1">{#N/A,#N/A,TRUE,"Serviços"}</definedName>
    <definedName name="DAER1" hidden="1">{#N/A,#N/A,TRUE,"Serviços"}</definedName>
    <definedName name="DAER11" localSheetId="1" hidden="1">{#N/A,#N/A,TRUE,"Serviços"}</definedName>
    <definedName name="DAER11" hidden="1">{#N/A,#N/A,TRUE,"Serviços"}</definedName>
    <definedName name="Data" localSheetId="1" hidden="1">#REF!</definedName>
    <definedName name="Data" hidden="1">#REF!</definedName>
    <definedName name="ddere" localSheetId="1" hidden="1">{#N/A,#N/A,FALSE,"MO (2)"}</definedName>
    <definedName name="ddere" hidden="1">{#N/A,#N/A,FALSE,"MO (2)"}</definedName>
    <definedName name="deb" localSheetId="1" hidden="1">#REF!</definedName>
    <definedName name="deb" hidden="1">#REF!</definedName>
    <definedName name="defensas" hidden="1">#REF!</definedName>
    <definedName name="DescAux" hidden="1">#N/A</definedName>
    <definedName name="dfdfdfd" localSheetId="1" hidden="1">{#N/A,#N/A,FALSE,"MO (2)"}</definedName>
    <definedName name="dfdfdfd" hidden="1">{#N/A,#N/A,FALSE,"MO (2)"}</definedName>
    <definedName name="dfgs" localSheetId="1" hidden="1">{#N/A,#N/A,TRUE,"Serviços"}</definedName>
    <definedName name="dfgs" hidden="1">{#N/A,#N/A,TRUE,"Serviços"}</definedName>
    <definedName name="dfgss" localSheetId="1" hidden="1">{#N/A,#N/A,TRUE,"Serviços"}</definedName>
    <definedName name="dfgss" hidden="1">{#N/A,#N/A,TRUE,"Serviços"}</definedName>
    <definedName name="DGF" localSheetId="1" hidden="1">{#N/A,#N/A,FALSE,"MO (2)"}</definedName>
    <definedName name="DGF" hidden="1">{#N/A,#N/A,FALSE,"MO (2)"}</definedName>
    <definedName name="DGF_1" localSheetId="1" hidden="1">{#N/A,#N/A,FALSE,"MO (2)"}</definedName>
    <definedName name="DGF_1" hidden="1">{#N/A,#N/A,FALSE,"MO (2)"}</definedName>
    <definedName name="Dsc" hidden="1">#N/A</definedName>
    <definedName name="DTM">#REF!</definedName>
    <definedName name="Edit" localSheetId="1" hidden="1">#REF!</definedName>
    <definedName name="Edit" hidden="1">#REF!</definedName>
    <definedName name="eeeee" localSheetId="1" hidden="1">{#N/A,#N/A,FALSE,"MO (2)"}</definedName>
    <definedName name="eeeee" hidden="1">{#N/A,#N/A,FALSE,"MO (2)"}</definedName>
    <definedName name="EmpAux" hidden="1">""</definedName>
    <definedName name="Empr" localSheetId="1" hidden="1">#REF!</definedName>
    <definedName name="Empr" hidden="1">#REF!</definedName>
    <definedName name="eng." localSheetId="1" hidden="1">{#N/A,#N/A,FALSE,"MO (2)"}</definedName>
    <definedName name="eng." hidden="1">{#N/A,#N/A,FALSE,"MO (2)"}</definedName>
    <definedName name="ENGENHARIA" localSheetId="1" hidden="1">{#N/A,#N/A,FALSE,"MO (2)"}</definedName>
    <definedName name="ENGENHARIA" hidden="1">{#N/A,#N/A,FALSE,"MO (2)"}</definedName>
    <definedName name="Enrocamento" localSheetId="1" hidden="1">{#N/A,#N/A,TRUE,"Plan1"}</definedName>
    <definedName name="Enrocamento" hidden="1">{#N/A,#N/A,TRUE,"Plan1"}</definedName>
    <definedName name="Enrocamentos" localSheetId="1" hidden="1">{#N/A,#N/A,TRUE,"Plan1"}</definedName>
    <definedName name="Enrocamentos" hidden="1">{#N/A,#N/A,TRUE,"Plan1"}</definedName>
    <definedName name="EQ" localSheetId="1" hidden="1">#REF!</definedName>
    <definedName name="EQ" hidden="1">#REF!</definedName>
    <definedName name="Equip" hidden="1">#REF!</definedName>
    <definedName name="ereerer" localSheetId="1" hidden="1">{#N/A,#N/A,FALSE,"MO (2)"}</definedName>
    <definedName name="ereerer" hidden="1">{#N/A,#N/A,FALSE,"MO (2)"}</definedName>
    <definedName name="ES" localSheetId="1" hidden="1">#REF!</definedName>
    <definedName name="ES" hidden="1">#REF!</definedName>
    <definedName name="EU" localSheetId="1" hidden="1">{#N/A,#N/A,FALSE,"MO (2)"}</definedName>
    <definedName name="EU" hidden="1">{#N/A,#N/A,FALSE,"MO (2)"}</definedName>
    <definedName name="EU_1" localSheetId="1" hidden="1">{#N/A,#N/A,FALSE,"MO (2)"}</definedName>
    <definedName name="EU_1" hidden="1">{#N/A,#N/A,FALSE,"MO (2)"}</definedName>
    <definedName name="FATURAS2002" localSheetId="1" hidden="1">{#N/A,#N/A,TRUE,"Serviços"}</definedName>
    <definedName name="FATURAS2002" hidden="1">{#N/A,#N/A,TRUE,"Serviços"}</definedName>
    <definedName name="FATURAS20022" localSheetId="1" hidden="1">{#N/A,#N/A,TRUE,"Serviços"}</definedName>
    <definedName name="FATURAS20022" hidden="1">{#N/A,#N/A,TRUE,"Serviços"}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fff" localSheetId="1" hidden="1">{"'EI 060 02'!$A$1:$K$59"}</definedName>
    <definedName name="fffff" hidden="1">{"'EI 060 02'!$A$1:$K$59"}</definedName>
    <definedName name="fgff" localSheetId="1" hidden="1">{#N/A,#N/A,FALSE,"MO (2)"}</definedName>
    <definedName name="fgff" hidden="1">{#N/A,#N/A,FALSE,"MO (2)"}</definedName>
    <definedName name="fgff_1" localSheetId="1" hidden="1">{#N/A,#N/A,FALSE,"MO (2)"}</definedName>
    <definedName name="fgff_1" hidden="1">{#N/A,#N/A,FALSE,"MO (2)"}</definedName>
    <definedName name="FOLHA01" localSheetId="1" hidden="1">{#N/A,#N/A,TRUE,"Serviços"}</definedName>
    <definedName name="FOLHA01" hidden="1">{#N/A,#N/A,TRUE,"Serviços"}</definedName>
    <definedName name="FOLHA011" localSheetId="1" hidden="1">{#N/A,#N/A,TRUE,"Serviços"}</definedName>
    <definedName name="FOLHA011" hidden="1">{#N/A,#N/A,TRUE,"Serviços"}</definedName>
    <definedName name="folha1" localSheetId="1" hidden="1">{#N/A,#N/A,TRUE,"Serviços"}</definedName>
    <definedName name="folha1" hidden="1">{#N/A,#N/A,TRUE,"Serviços"}</definedName>
    <definedName name="folha11" localSheetId="1" hidden="1">{#N/A,#N/A,TRUE,"Serviços"}</definedName>
    <definedName name="folha11" hidden="1">{#N/A,#N/A,TRUE,"Serviços"}</definedName>
    <definedName name="Fonte">#REF!</definedName>
    <definedName name="FOOR" localSheetId="1" hidden="1">{#N/A,#N/A,FALSE,"Plan1"}</definedName>
    <definedName name="FOOR" hidden="1">{#N/A,#N/A,FALSE,"Plan1"}</definedName>
    <definedName name="FORMULÁRIO" localSheetId="1" hidden="1">{#N/A,#N/A,FALSE,"Plan1"}</definedName>
    <definedName name="FORMULÁRIO" hidden="1">{#N/A,#N/A,FALSE,"Plan1"}</definedName>
    <definedName name="FORRO" localSheetId="1" hidden="1">{#N/A,#N/A,FALSE,"Plan1"}</definedName>
    <definedName name="FORRO" hidden="1">{#N/A,#N/A,FALSE,"Plan1"}</definedName>
    <definedName name="Fot" localSheetId="1" hidden="1">{"'EI 060 02'!$A$1:$K$59"}</definedName>
    <definedName name="Fot" hidden="1">{"'EI 060 02'!$A$1:$K$59"}</definedName>
    <definedName name="Fresagem01" localSheetId="1" hidden="1">{#N/A,#N/A,TRUE,"Serviços"}</definedName>
    <definedName name="Fresagem01" hidden="1">{#N/A,#N/A,TRUE,"Serviços"}</definedName>
    <definedName name="Fresagem011" localSheetId="1" hidden="1">{#N/A,#N/A,TRUE,"Serviços"}</definedName>
    <definedName name="Fresagem011" hidden="1">{#N/A,#N/A,TRUE,"Serviços"}</definedName>
    <definedName name="FRR" localSheetId="1" hidden="1">{#N/A,#N/A,FALSE,"Plan1"}</definedName>
    <definedName name="FRR" hidden="1">{#N/A,#N/A,FALSE,"Plan1"}</definedName>
    <definedName name="gfgfgfg" localSheetId="1" hidden="1">{#N/A,#N/A,FALSE,"MO (2)"}</definedName>
    <definedName name="gfgfgfg" hidden="1">{#N/A,#N/A,FALSE,"MO (2)"}</definedName>
    <definedName name="ghghgh" localSheetId="1" hidden="1">{#N/A,#N/A,FALSE,"MO (2)"}</definedName>
    <definedName name="ghghgh" hidden="1">{#N/A,#N/A,FALSE,"MO (2)"}</definedName>
    <definedName name="gtryfj" localSheetId="1" hidden="1">{#N/A,#N/A,TRUE,"Serviços"}</definedName>
    <definedName name="gtryfj" hidden="1">{#N/A,#N/A,TRUE,"Serviços"}</definedName>
    <definedName name="gtryfjj" localSheetId="1" hidden="1">{#N/A,#N/A,TRUE,"Serviços"}</definedName>
    <definedName name="gtryfjj" hidden="1">{#N/A,#N/A,TRUE,"Serviços"}</definedName>
    <definedName name="hhhhh" localSheetId="1" hidden="1">{#N/A,#N/A,FALSE,"MO (2)"}</definedName>
    <definedName name="hhhhh" hidden="1">{#N/A,#N/A,FALSE,"MO (2)"}</definedName>
    <definedName name="hjhjhjhju" localSheetId="1" hidden="1">{#N/A,#N/A,FALSE,"MO (2)"}</definedName>
    <definedName name="hjhjhjhju" hidden="1">{#N/A,#N/A,FALSE,"MO (2)"}</definedName>
    <definedName name="HTML_CodePage" hidden="1">1252</definedName>
    <definedName name="HTML_Control" localSheetId="1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 localSheetId="1" hidden="1">{#N/A,#N/A,FALSE,"MO (2)"}</definedName>
    <definedName name="i" hidden="1">{#N/A,#N/A,FALSE,"MO (2)"}</definedName>
    <definedName name="Insumos" localSheetId="1" hidden="1">#REF!</definedName>
    <definedName name="Insumos" hidden="1">#REF!</definedName>
    <definedName name="Item" localSheetId="1">#REF!</definedName>
    <definedName name="Item">#REF!</definedName>
    <definedName name="Itens" localSheetId="1" hidden="1">#REF!</definedName>
    <definedName name="Itens" hidden="1">#REF!</definedName>
    <definedName name="j" localSheetId="1" hidden="1">{#N/A,#N/A,FALSE,"MO (2)"}</definedName>
    <definedName name="j" hidden="1">{#N/A,#N/A,FALSE,"MO (2)"}</definedName>
    <definedName name="JANEIRO2003" localSheetId="1" hidden="1">{#N/A,#N/A,TRUE,"Serviços"}</definedName>
    <definedName name="JANEIRO2003" hidden="1">{#N/A,#N/A,TRUE,"Serviços"}</definedName>
    <definedName name="JANEIRO20033" localSheetId="1" hidden="1">{#N/A,#N/A,TRUE,"Serviços"}</definedName>
    <definedName name="JANEIRO20033" hidden="1">{#N/A,#N/A,TRUE,"Serviços"}</definedName>
    <definedName name="jhjhjhjju" localSheetId="1" hidden="1">{#N/A,#N/A,FALSE,"MO (2)"}</definedName>
    <definedName name="jhjhjhjju" hidden="1">{#N/A,#N/A,FALSE,"MO (2)"}</definedName>
    <definedName name="jjjjj" localSheetId="1" hidden="1">{#N/A,#N/A,FALSE,"MO (2)"}</definedName>
    <definedName name="jjjjj" hidden="1">{#N/A,#N/A,FALSE,"MO (2)"}</definedName>
    <definedName name="jo" localSheetId="1" hidden="1">{#N/A,#N/A,FALSE,"MO (2)"}</definedName>
    <definedName name="jo" hidden="1">{#N/A,#N/A,FALSE,"MO (2)"}</definedName>
    <definedName name="JOAO" localSheetId="1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1" hidden="1">{#N/A,#N/A,FALSE,"LEVFER V2 P";#N/A,#N/A,FALSE,"LEVFER V2 P10%"}</definedName>
    <definedName name="JOAO1" hidden="1">{#N/A,#N/A,FALSE,"LEVFER V2 P";#N/A,#N/A,FALSE,"LEVFER V2 P10%"}</definedName>
    <definedName name="JOSE" localSheetId="1" hidden="1">{#N/A,#N/A,FALSE,"LEVFER V2 P";#N/A,#N/A,FALSE,"LEVFER V2 P10%"}</definedName>
    <definedName name="JOSE" hidden="1">{#N/A,#N/A,FALSE,"LEVFER V2 P";#N/A,#N/A,FALSE,"LEVFER V2 P10%"}</definedName>
    <definedName name="juca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kkkkk" localSheetId="1" hidden="1">{#N/A,#N/A,FALSE,"MO (2)"}</definedName>
    <definedName name="kkkkkk" hidden="1">{#N/A,#N/A,FALSE,"MO (2)"}</definedName>
    <definedName name="klklklkl" localSheetId="1" hidden="1">{#N/A,#N/A,FALSE,"MO (2)"}</definedName>
    <definedName name="klklklkl" hidden="1">{#N/A,#N/A,FALSE,"MO (2)"}</definedName>
    <definedName name="la" localSheetId="1" hidden="1">{#N/A,#N/A,FALSE,"MO (2)"}</definedName>
    <definedName name="la" hidden="1">{#N/A,#N/A,FALSE,"MO (2)"}</definedName>
    <definedName name="la_1" localSheetId="1" hidden="1">{#N/A,#N/A,FALSE,"MO (2)"}</definedName>
    <definedName name="la_1" hidden="1">{#N/A,#N/A,FALSE,"MO (2)"}</definedName>
    <definedName name="lab" localSheetId="1" hidden="1">{#N/A,#N/A,TRUE,"Serviços"}</definedName>
    <definedName name="lab" hidden="1">{#N/A,#N/A,TRUE,"Serviços"}</definedName>
    <definedName name="labb" localSheetId="1" hidden="1">{#N/A,#N/A,TRUE,"Serviços"}</definedName>
    <definedName name="labb" hidden="1">{#N/A,#N/A,TRUE,"Serviços"}</definedName>
    <definedName name="LLLLL">#REF!</definedName>
    <definedName name="Local" hidden="1">""</definedName>
    <definedName name="lu" localSheetId="1" hidden="1">{#N/A,#N/A,FALSE,"MO (2)"}</definedName>
    <definedName name="lu" hidden="1">{#N/A,#N/A,FALSE,"MO (2)"}</definedName>
    <definedName name="MAO_DE_OBRA">#REF!</definedName>
    <definedName name="Max" hidden="1">COUNTIF(#REF!,"&lt;&gt;0")+3</definedName>
    <definedName name="melhoria" localSheetId="1" hidden="1">{#N/A,#N/A,FALSE,"Plan1"}</definedName>
    <definedName name="melhoria" hidden="1">{#N/A,#N/A,FALSE,"Plan1"}</definedName>
    <definedName name="MO">#REF!</definedName>
    <definedName name="Mob" localSheetId="1" hidden="1">#REF!</definedName>
    <definedName name="Mob" hidden="1">#REF!</definedName>
    <definedName name="Modelo" localSheetId="1" hidden="1">#REF!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çamrest" localSheetId="1" hidden="1">{#N/A,#N/A,TRUE,"Serviços"}</definedName>
    <definedName name="orçamrest" hidden="1">{#N/A,#N/A,TRUE,"Serviços"}</definedName>
    <definedName name="orçamrestt" localSheetId="1" hidden="1">{#N/A,#N/A,TRUE,"Serviços"}</definedName>
    <definedName name="orçamrestt" hidden="1">{#N/A,#N/A,TRUE,"Serviços"}</definedName>
    <definedName name="Ordem" localSheetId="1" hidden="1">#REF!</definedName>
    <definedName name="Ordem" hidden="1">#REF!</definedName>
    <definedName name="Origem" hidden="1">#REF!</definedName>
    <definedName name="PassaExtenso">#REF!</definedName>
    <definedName name="PISTA" localSheetId="1" hidden="1">{#N/A,#N/A,TRUE,"Serviços"}</definedName>
    <definedName name="PISTA" hidden="1">{#N/A,#N/A,TRUE,"Serviços"}</definedName>
    <definedName name="Plan1" localSheetId="1" hidden="1">#REF!</definedName>
    <definedName name="Plan1" hidden="1">#REF!</definedName>
    <definedName name="popopopo" localSheetId="1" hidden="1">{#N/A,#N/A,FALSE,"MO (2)"}</definedName>
    <definedName name="popopopo" hidden="1">{#N/A,#N/A,FALSE,"MO (2)"}</definedName>
    <definedName name="Posição" localSheetId="1" hidden="1">#REF!</definedName>
    <definedName name="Posição" hidden="1">#REF!</definedName>
    <definedName name="Prd" hidden="1">#N/A</definedName>
    <definedName name="PrdAux" hidden="1">#N/A</definedName>
    <definedName name="Print" localSheetId="1">#REF!</definedName>
    <definedName name="Print">#REF!</definedName>
    <definedName name="Print_Area_MI" localSheetId="1">#REF!</definedName>
    <definedName name="Print_Area_MI">#REF!</definedName>
    <definedName name="PROD_1" localSheetId="1" hidden="1">{#N/A,#N/A,TRUE,"Serviços"}</definedName>
    <definedName name="PROD_1" hidden="1">{#N/A,#N/A,TRUE,"Serviços"}</definedName>
    <definedName name="PROD_11" localSheetId="1" hidden="1">{#N/A,#N/A,TRUE,"Serviços"}</definedName>
    <definedName name="PROD_11" hidden="1">{#N/A,#N/A,TRUE,"Serviços"}</definedName>
    <definedName name="Pto" hidden="1">ROUND(#REF!*#REF!,2)</definedName>
    <definedName name="Pun" hidden="1">#N/A</definedName>
    <definedName name="Q" localSheetId="1" hidden="1">#REF!</definedName>
    <definedName name="Q" hidden="1">#REF!</definedName>
    <definedName name="QD" hidden="1">#REF!</definedName>
    <definedName name="qqqqq" localSheetId="1" hidden="1">{#N/A,#N/A,FALSE,"MO (2)"}</definedName>
    <definedName name="qqqqq" hidden="1">{#N/A,#N/A,FALSE,"MO (2)"}</definedName>
    <definedName name="QTD" localSheetId="1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ascunho" localSheetId="1">#REF!</definedName>
    <definedName name="rascunho">#REF!</definedName>
    <definedName name="REFEITO" localSheetId="1" hidden="1">{#N/A,#N/A,FALSE,"Plan1"}</definedName>
    <definedName name="REFEITO" hidden="1">{#N/A,#N/A,FALSE,"Plan1"}</definedName>
    <definedName name="REL" localSheetId="1" hidden="1">{#N/A,#N/A,TRUE,"Serviços"}</definedName>
    <definedName name="REL" hidden="1">{#N/A,#N/A,TRUE,"Serviços"}</definedName>
    <definedName name="Relat" localSheetId="1" hidden="1">#REF!</definedName>
    <definedName name="Relat" hidden="1">#REF!</definedName>
    <definedName name="RELL" localSheetId="1" hidden="1">{#N/A,#N/A,TRUE,"Serviços"}</definedName>
    <definedName name="RELL" hidden="1">{#N/A,#N/A,TRUE,"Serviços"}</definedName>
    <definedName name="RELMOB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u" localSheetId="1" hidden="1">{#N/A,#N/A,FALSE,"MO (2)"}</definedName>
    <definedName name="resu" hidden="1">{#N/A,#N/A,FALSE,"MO (2)"}</definedName>
    <definedName name="resumoii" localSheetId="1" hidden="1">{#N/A,#N/A,FALSE,"MO (2)"}</definedName>
    <definedName name="resumoii" hidden="1">{#N/A,#N/A,FALSE,"MO (2)"}</definedName>
    <definedName name="resumou" localSheetId="1" hidden="1">{#N/A,#N/A,TRUE,"Plan1"}</definedName>
    <definedName name="resumou" hidden="1">{#N/A,#N/A,TRUE,"Plan1"}</definedName>
    <definedName name="Rod" localSheetId="1" hidden="1">#REF!</definedName>
    <definedName name="Rod" hidden="1">#REF!</definedName>
    <definedName name="rr" localSheetId="1" hidden="1">{#N/A,#N/A,TRUE,"Serviços"}</definedName>
    <definedName name="rr" hidden="1">{#N/A,#N/A,TRUE,"Serviços"}</definedName>
    <definedName name="rrff" localSheetId="1" hidden="1">{#N/A,#N/A,TRUE,"Serviços"}</definedName>
    <definedName name="rrff" hidden="1">{#N/A,#N/A,TRUE,"Serviços"}</definedName>
    <definedName name="rrfff" localSheetId="1" hidden="1">{#N/A,#N/A,TRUE,"Serviços"}</definedName>
    <definedName name="rrfff" hidden="1">{#N/A,#N/A,TRUE,"Serviços"}</definedName>
    <definedName name="rrr" localSheetId="1" hidden="1">{#N/A,#N/A,TRUE,"Serviços"}</definedName>
    <definedName name="rrr" hidden="1">{#N/A,#N/A,TRUE,"Serviços"}</definedName>
    <definedName name="salete" localSheetId="1" hidden="1">{#N/A,#N/A,FALSE,"MO (2)"}</definedName>
    <definedName name="salete" hidden="1">{#N/A,#N/A,FALSE,"MO (2)"}</definedName>
    <definedName name="salete.com" localSheetId="1" hidden="1">{#N/A,#N/A,FALSE,"MO (2)"}</definedName>
    <definedName name="salete.com" hidden="1">{#N/A,#N/A,FALSE,"MO (2)"}</definedName>
    <definedName name="SASA" localSheetId="1" hidden="1">{#N/A,#N/A,FALSE,"MO (2)"}</definedName>
    <definedName name="SASA" hidden="1">{#N/A,#N/A,FALSE,"MO (2)"}</definedName>
    <definedName name="sasa.com" localSheetId="1" hidden="1">{#N/A,#N/A,FALSE,"MO (2)"}</definedName>
    <definedName name="sasa.com" hidden="1">{#N/A,#N/A,FALSE,"MO (2)"}</definedName>
    <definedName name="sasaasa" localSheetId="1" hidden="1">{#N/A,#N/A,FALSE,"MO (2)"}</definedName>
    <definedName name="sasaasa" hidden="1">{#N/A,#N/A,FALSE,"MO (2)"}</definedName>
    <definedName name="SASASA" localSheetId="1" hidden="1">{#N/A,#N/A,FALSE,"MO (2)"}</definedName>
    <definedName name="SASASA" hidden="1">{#N/A,#N/A,FALSE,"MO (2)"}</definedName>
    <definedName name="SASASA_1" localSheetId="1" hidden="1">{#N/A,#N/A,FALSE,"MO (2)"}</definedName>
    <definedName name="SASASA_1" hidden="1">{#N/A,#N/A,FALSE,"MO (2)"}</definedName>
    <definedName name="sasda" localSheetId="1" hidden="1">{#N/A,#N/A,TRUE,"Serviços"}</definedName>
    <definedName name="sasda" hidden="1">{#N/A,#N/A,TRUE,"Serviços"}</definedName>
    <definedName name="sasdaa" localSheetId="1" hidden="1">{#N/A,#N/A,TRUE,"Serviços"}</definedName>
    <definedName name="sasdaa" hidden="1">{#N/A,#N/A,TRUE,"Serviços"}</definedName>
    <definedName name="SB" localSheetId="1" hidden="1">#REF!</definedName>
    <definedName name="SB" hidden="1">#REF!</definedName>
    <definedName name="sdsdsds" localSheetId="1" hidden="1">{#N/A,#N/A,FALSE,"MO (2)"}</definedName>
    <definedName name="sdsdsds" hidden="1">{#N/A,#N/A,FALSE,"MO (2)"}</definedName>
    <definedName name="sdsdsdsx" localSheetId="1" hidden="1">{#N/A,#N/A,FALSE,"MO (2)"}</definedName>
    <definedName name="sdsdsdsx" hidden="1">{#N/A,#N/A,FALSE,"MO (2)"}</definedName>
    <definedName name="SE" localSheetId="1" hidden="1">#REF!</definedName>
    <definedName name="SE" hidden="1">#REF!</definedName>
    <definedName name="sencount" hidden="1">1</definedName>
    <definedName name="SERVI">#REF!</definedName>
    <definedName name="Serviços">#REF!</definedName>
    <definedName name="SETEMBRO" localSheetId="1" hidden="1">{#N/A,#N/A,TRUE,"Serviços"}</definedName>
    <definedName name="SETEMBRO" hidden="1">{#N/A,#N/A,TRUE,"Serviços"}</definedName>
    <definedName name="SETEMBROO" localSheetId="1" hidden="1">{#N/A,#N/A,TRUE,"Serviços"}</definedName>
    <definedName name="SETEMBROO" hidden="1">{#N/A,#N/A,TRUE,"Serviços"}</definedName>
    <definedName name="SINTETICO" localSheetId="1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RV" localSheetId="1" hidden="1">#REF!</definedName>
    <definedName name="SRV" hidden="1">#REF!</definedName>
    <definedName name="SS" localSheetId="1" hidden="1">{#N/A,#N/A,FALSE,"MO (2)"}</definedName>
    <definedName name="SS" hidden="1">{#N/A,#N/A,FALSE,"MO (2)"}</definedName>
    <definedName name="SSS" localSheetId="1" hidden="1">{#N/A,#N/A,FALSE,"MO (2)"}</definedName>
    <definedName name="SSS" hidden="1">{#N/A,#N/A,FALSE,"MO (2)"}</definedName>
    <definedName name="SSS_1" localSheetId="1" hidden="1">{#N/A,#N/A,FALSE,"MO (2)"}</definedName>
    <definedName name="SSS_1" hidden="1">{#N/A,#N/A,FALSE,"MO (2)"}</definedName>
    <definedName name="ssssss" localSheetId="1" hidden="1">{#N/A,#N/A,FALSE,"MO (2)"}</definedName>
    <definedName name="ssssss" hidden="1">{#N/A,#N/A,FALSE,"MO (2)"}</definedName>
    <definedName name="sssssssssssssssssssss" localSheetId="1" hidden="1">{#N/A,#N/A,TRUE,"Plan1"}</definedName>
    <definedName name="sssssssssssssssssssss" hidden="1">{#N/A,#N/A,TRUE,"Plan1"}</definedName>
    <definedName name="sssssssssssssssssssss_1" localSheetId="1" hidden="1">{#N/A,#N/A,TRUE,"Plan1"}</definedName>
    <definedName name="sssssssssssssssssssss_1" hidden="1">{#N/A,#N/A,TRUE,"Plan1"}</definedName>
    <definedName name="Subt" localSheetId="1" hidden="1">#REF!</definedName>
    <definedName name="Subt" hidden="1">#REF!</definedName>
    <definedName name="sxcc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ABREC">#REF!</definedName>
    <definedName name="Tachas" localSheetId="1" hidden="1">{#N/A,#N/A,TRUE,"Plan1"}</definedName>
    <definedName name="Tachas" hidden="1">{#N/A,#N/A,TRUE,"Plan1"}</definedName>
    <definedName name="Tachas_1" localSheetId="1" hidden="1">{#N/A,#N/A,TRUE,"Plan1"}</definedName>
    <definedName name="Tachas_1" hidden="1">{#N/A,#N/A,TRUE,"Plan1"}</definedName>
    <definedName name="_xlnm.Print_Titles" localSheetId="1">'QUANT-PE'!$1:$3</definedName>
    <definedName name="TOT" localSheetId="1" hidden="1">#REF!</definedName>
    <definedName name="TOT" hidden="1">#REF!</definedName>
    <definedName name="Transporte_Brita_TSD" hidden="1">{#N/A,#N/A,TRUE,"Plan1"}</definedName>
    <definedName name="Trec" hidden="1">#REF!</definedName>
    <definedName name="TYUIO" localSheetId="1" hidden="1">{#N/A,#N/A,TRUE,"Serviços"}</definedName>
    <definedName name="TYUIO" hidden="1">{#N/A,#N/A,TRUE,"Serviços"}</definedName>
    <definedName name="TYUIOO" localSheetId="1" hidden="1">{#N/A,#N/A,TRUE,"Serviços"}</definedName>
    <definedName name="TYUIOO" hidden="1">{#N/A,#N/A,TRUE,"Serviços"}</definedName>
    <definedName name="un" hidden="1">#N/A</definedName>
    <definedName name="Und" hidden="1">#N/A</definedName>
    <definedName name="UnidAux" hidden="1">#N/A</definedName>
    <definedName name="uuu" localSheetId="1" hidden="1">{#N/A,#N/A,TRUE,"Serviços"}</definedName>
    <definedName name="uuu" hidden="1">{#N/A,#N/A,TRUE,"Serviços"}</definedName>
    <definedName name="vm" localSheetId="1" hidden="1">{#N/A,#N/A,FALSE,"MO (2)"}</definedName>
    <definedName name="vm" hidden="1">{#N/A,#N/A,FALSE,"MO (2)"}</definedName>
    <definedName name="vvv" localSheetId="1" hidden="1">{#N/A,#N/A,FALSE,"MO (2)"}</definedName>
    <definedName name="vvv" hidden="1">{#N/A,#N/A,FALSE,"MO (2)"}</definedName>
    <definedName name="vvv_1" localSheetId="1" hidden="1">{#N/A,#N/A,FALSE,"MO (2)"}</definedName>
    <definedName name="vvv_1" hidden="1">{#N/A,#N/A,FALSE,"MO (2)"}</definedName>
    <definedName name="wewewew" localSheetId="1" hidden="1">{#N/A,#N/A,FALSE,"MO (2)"}</definedName>
    <definedName name="wewewew" hidden="1">{#N/A,#N/A,FALSE,"MO (2)"}</definedName>
    <definedName name="wrn.ACABINT.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localSheetId="1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LEVFER." localSheetId="1" hidden="1">{#N/A,#N/A,FALSE,"LEVFER V2 P";#N/A,#N/A,FALSE,"LEVFER V2 P10%"}</definedName>
    <definedName name="wrn.LEVFER." hidden="1">{#N/A,#N/A,FALSE,"LEVFER V2 P";#N/A,#N/A,FALSE,"LEVFER V2 P10%"}</definedName>
    <definedName name="wrn.mo2." localSheetId="1" hidden="1">{#N/A,#N/A,FALSE,"MO (2)"}</definedName>
    <definedName name="wrn.mo2." hidden="1">{#N/A,#N/A,FALSE,"MO (2)"}</definedName>
    <definedName name="wrn.mo2._1" localSheetId="1" hidden="1">{#N/A,#N/A,FALSE,"MO (2)"}</definedName>
    <definedName name="wrn.mo2._1" hidden="1">{#N/A,#N/A,FALSE,"MO (2)"}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1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1" hidden="1">{#N/A,#N/A,TRUE,"Plan1"}</definedName>
    <definedName name="wrn.relext." hidden="1">{#N/A,#N/A,TRUE,"Plan1"}</definedName>
    <definedName name="wrn.relext._1" localSheetId="1" hidden="1">{#N/A,#N/A,TRUE,"Plan1"}</definedName>
    <definedName name="wrn.relext._1" hidden="1">{#N/A,#N/A,TRUE,"Plan1"}</definedName>
    <definedName name="wrn.SBBE." localSheetId="1" hidden="1">{#N/A,#N/A,FALSE,"Plan1"}</definedName>
    <definedName name="wrn.SBBE." hidden="1">{#N/A,#N/A,FALSE,"Plan1"}</definedName>
    <definedName name="wrn.SERV._.PAVTO." localSheetId="1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1" hidden="1">{#N/A,#N/A,TRUE,"Serviços"}</definedName>
    <definedName name="wrn.Tipo." hidden="1">{#N/A,#N/A,TRUE,"Serviços"}</definedName>
    <definedName name="wrn.Tipo.." localSheetId="1" hidden="1">{#N/A,#N/A,TRUE,"Serviços"}</definedName>
    <definedName name="wrn.Tipo.." hidden="1">{#N/A,#N/A,TRUE,"Serviços"}</definedName>
    <definedName name="wwwww" localSheetId="1" hidden="1">{#N/A,#N/A,FALSE,"MO (2)"}</definedName>
    <definedName name="wwwww" hidden="1">{#N/A,#N/A,FALSE,"MO (2)"}</definedName>
    <definedName name="wwwwww" localSheetId="1" hidden="1">{#N/A,#N/A,FALSE,"MO (2)"}</definedName>
    <definedName name="wwwwww" hidden="1">{#N/A,#N/A,FALSE,"MO (2)"}</definedName>
    <definedName name="XX" localSheetId="1" hidden="1">{"'EI 060 02'!$A$1:$K$59"}</definedName>
    <definedName name="XX" hidden="1">{"'EI 060 02'!$A$1:$K$59"}</definedName>
    <definedName name="xxxxx" localSheetId="1" hidden="1">{#N/A,#N/A,FALSE,"MO (2)"}</definedName>
    <definedName name="xxxxx" hidden="1">{#N/A,#N/A,FALSE,"MO (2)"}</definedName>
    <definedName name="Y" localSheetId="1" hidden="1">{#N/A,#N/A,FALSE,"MO (2)"}</definedName>
    <definedName name="Y" hidden="1">{#N/A,#N/A,FALSE,"MO (2)"}</definedName>
    <definedName name="yy" localSheetId="1" hidden="1">{#N/A,#N/A,TRUE,"Serviços"}</definedName>
    <definedName name="yy" hidden="1">{#N/A,#N/A,TRUE,"Serviços"}</definedName>
    <definedName name="z" localSheetId="1" hidden="1">{#N/A,#N/A,FALSE,"MO (2)"}</definedName>
    <definedName name="z" hidden="1">{#N/A,#N/A,FALSE,"MO (2)"}</definedName>
    <definedName name="z_1" localSheetId="1" hidden="1">{#N/A,#N/A,FALSE,"MO (2)"}</definedName>
    <definedName name="z_1" hidden="1">{#N/A,#N/A,FALSE,"MO (2)"}</definedName>
    <definedName name="zaza" localSheetId="1" hidden="1">{#N/A,#N/A,FALSE,"MO (2)"}</definedName>
    <definedName name="zaza" hidden="1">{#N/A,#N/A,FALSE,"MO (2)"}</definedName>
    <definedName name="zaza_1" localSheetId="1" hidden="1">{#N/A,#N/A,FALSE,"MO (2)"}</definedName>
    <definedName name="zaza_1" hidden="1">{#N/A,#N/A,FALSE,"MO (2)"}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19" i="34" l="1"/>
  <c r="E120" i="33"/>
  <c r="E121" i="33" s="1"/>
  <c r="E50" i="33"/>
  <c r="B231" i="34"/>
  <c r="E49" i="33" s="1"/>
  <c r="B228" i="34"/>
  <c r="E48" i="33" s="1"/>
  <c r="B225" i="34"/>
  <c r="E47" i="33" s="1"/>
  <c r="B222" i="34"/>
  <c r="E46" i="33" s="1"/>
  <c r="B217" i="34"/>
  <c r="B234" i="34" s="1"/>
  <c r="B207" i="34"/>
  <c r="B205" i="34"/>
  <c r="B159" i="34"/>
  <c r="E28" i="33" s="1"/>
  <c r="E128" i="33"/>
  <c r="B425" i="34" l="1"/>
  <c r="E130" i="33" s="1"/>
  <c r="B422" i="34"/>
  <c r="E129" i="33" s="1"/>
  <c r="E116" i="33"/>
  <c r="E117" i="33" s="1"/>
  <c r="E114" i="33"/>
  <c r="E107" i="33" l="1"/>
  <c r="E106" i="33" s="1"/>
  <c r="E113" i="33" l="1"/>
  <c r="E109" i="33"/>
  <c r="E105" i="33"/>
  <c r="E108" i="33" s="1"/>
  <c r="E103" i="33"/>
  <c r="B404" i="34"/>
  <c r="B407" i="34" s="1"/>
  <c r="E100" i="33" s="1"/>
  <c r="B381" i="34"/>
  <c r="B365" i="34"/>
  <c r="B356" i="34"/>
  <c r="B352" i="34"/>
  <c r="B343" i="34"/>
  <c r="B334" i="34"/>
  <c r="B331" i="34"/>
  <c r="B313" i="34"/>
  <c r="B312" i="34"/>
  <c r="B299" i="34"/>
  <c r="B285" i="34"/>
  <c r="B262" i="34"/>
  <c r="B201" i="34"/>
  <c r="B180" i="34"/>
  <c r="B169" i="34"/>
  <c r="B137" i="34"/>
  <c r="B117" i="34"/>
  <c r="B102" i="34"/>
  <c r="B101" i="34"/>
  <c r="B81" i="34"/>
  <c r="B65" i="34"/>
  <c r="E14" i="33" s="1"/>
  <c r="B6" i="34"/>
  <c r="B5" i="34"/>
  <c r="E99" i="33" l="1"/>
  <c r="E10" i="33"/>
  <c r="B3" i="34"/>
  <c r="B387" i="34"/>
  <c r="B393" i="34" s="1"/>
  <c r="E93" i="33"/>
  <c r="B378" i="34"/>
  <c r="E96" i="33" s="1"/>
  <c r="E87" i="33"/>
  <c r="B349" i="34"/>
  <c r="E88" i="33" s="1"/>
  <c r="E89" i="33" s="1"/>
  <c r="B346" i="34"/>
  <c r="E86" i="33" s="1"/>
  <c r="E80" i="33"/>
  <c r="B290" i="34"/>
  <c r="E66" i="33" s="1"/>
  <c r="B248" i="34"/>
  <c r="B253" i="34" s="1"/>
  <c r="E54" i="33" s="1"/>
  <c r="B210" i="34"/>
  <c r="E45" i="33" s="1"/>
  <c r="B198" i="34"/>
  <c r="E42" i="33" s="1"/>
  <c r="B195" i="34"/>
  <c r="E40" i="33" s="1"/>
  <c r="E41" i="33" s="1"/>
  <c r="B185" i="34"/>
  <c r="B192" i="34" s="1"/>
  <c r="E38" i="33" s="1"/>
  <c r="E33" i="33"/>
  <c r="B177" i="34"/>
  <c r="E34" i="33" s="1"/>
  <c r="E35" i="33" s="1"/>
  <c r="B162" i="34"/>
  <c r="E29" i="33" s="1"/>
  <c r="B142" i="34"/>
  <c r="B156" i="34" s="1"/>
  <c r="B131" i="34"/>
  <c r="B122" i="34"/>
  <c r="B134" i="34" s="1"/>
  <c r="B121" i="34"/>
  <c r="B114" i="34"/>
  <c r="B111" i="34"/>
  <c r="B108" i="34"/>
  <c r="B88" i="34"/>
  <c r="B94" i="34" s="1"/>
  <c r="B87" i="34"/>
  <c r="B91" i="34" s="1"/>
  <c r="E18" i="33"/>
  <c r="B72" i="34"/>
  <c r="B78" i="34" s="1"/>
  <c r="B71" i="34"/>
  <c r="B75" i="34" s="1"/>
  <c r="B62" i="34"/>
  <c r="B59" i="34"/>
  <c r="B53" i="34"/>
  <c r="B50" i="34"/>
  <c r="B47" i="34"/>
  <c r="E8" i="33" s="1"/>
  <c r="B44" i="34"/>
  <c r="E79" i="33"/>
  <c r="E74" i="33"/>
  <c r="E75" i="33" s="1"/>
  <c r="E71" i="33"/>
  <c r="E70" i="33"/>
  <c r="E69" i="33"/>
  <c r="E68" i="33"/>
  <c r="E62" i="33"/>
  <c r="E63" i="33" s="1"/>
  <c r="E59" i="33"/>
  <c r="E58" i="33"/>
  <c r="E57" i="33"/>
  <c r="E56" i="33"/>
  <c r="E39" i="33"/>
  <c r="E25" i="33"/>
  <c r="B259" i="34" l="1"/>
  <c r="E61" i="33" s="1"/>
  <c r="E24" i="33"/>
  <c r="B11" i="34"/>
  <c r="E7" i="33" s="1"/>
  <c r="B14" i="34"/>
  <c r="E6" i="33" s="1"/>
  <c r="B17" i="34"/>
  <c r="E9" i="33" s="1"/>
  <c r="B20" i="34"/>
  <c r="E11" i="33" s="1"/>
  <c r="E12" i="33" s="1"/>
  <c r="B375" i="34"/>
  <c r="E94" i="33" s="1"/>
  <c r="E95" i="33" s="1"/>
  <c r="B128" i="34"/>
  <c r="B322" i="34"/>
  <c r="E78" i="33" s="1"/>
  <c r="B293" i="34"/>
  <c r="E67" i="33" s="1"/>
  <c r="B372" i="34"/>
  <c r="E17" i="33"/>
  <c r="B153" i="34"/>
  <c r="B296" i="34"/>
  <c r="E72" i="33" s="1"/>
  <c r="B56" i="34"/>
  <c r="E13" i="33" s="1"/>
  <c r="E19" i="33"/>
  <c r="E20" i="33" s="1"/>
  <c r="B325" i="34"/>
  <c r="B174" i="34"/>
  <c r="E32" i="33" s="1"/>
  <c r="E26" i="33"/>
  <c r="E27" i="33" s="1"/>
  <c r="B256" i="34"/>
  <c r="E55" i="33" s="1"/>
  <c r="B390" i="34"/>
  <c r="E23" i="33" l="1"/>
  <c r="E60" i="33"/>
  <c r="E73" i="33"/>
  <c r="E92" i="33"/>
  <c r="B328" i="34"/>
  <c r="E83" i="33" s="1"/>
  <c r="E81" i="33"/>
  <c r="E82" i="33" s="1"/>
  <c r="C17" i="32" l="1"/>
  <c r="C16" i="32"/>
  <c r="C15" i="32"/>
  <c r="C14" i="32"/>
  <c r="H12" i="32"/>
  <c r="H11" i="32"/>
  <c r="C11" i="32" s="1"/>
  <c r="E11" i="32" s="1"/>
  <c r="H13" i="32"/>
  <c r="H10" i="32"/>
  <c r="H9" i="32"/>
  <c r="H8" i="32"/>
  <c r="E17" i="32"/>
  <c r="E16" i="32"/>
  <c r="E15" i="32"/>
  <c r="E14" i="32"/>
  <c r="C13" i="32"/>
  <c r="E13" i="32" s="1"/>
  <c r="C12" i="32"/>
  <c r="E12" i="32" s="1"/>
  <c r="C10" i="32"/>
  <c r="E10" i="32" s="1"/>
  <c r="C9" i="32"/>
  <c r="E9" i="32" s="1"/>
  <c r="C8" i="32"/>
  <c r="E8" i="32" s="1"/>
  <c r="B24" i="32" s="1"/>
  <c r="E24" i="32" s="1"/>
  <c r="C7" i="32"/>
  <c r="E7" i="32" s="1"/>
  <c r="C6" i="32"/>
  <c r="E6" i="32" s="1"/>
  <c r="C5" i="32"/>
  <c r="E5" i="32" s="1"/>
  <c r="C4" i="32"/>
  <c r="E4" i="32" s="1"/>
  <c r="C7" i="31"/>
  <c r="E7" i="31" s="1"/>
  <c r="B20" i="31" s="1"/>
  <c r="E20" i="31" s="1"/>
  <c r="E21" i="31" s="1"/>
  <c r="C6" i="31"/>
  <c r="E6" i="31" s="1"/>
  <c r="B14" i="31" s="1"/>
  <c r="E14" i="31" s="1"/>
  <c r="C5" i="31"/>
  <c r="E5" i="31" s="1"/>
  <c r="B15" i="31" s="1"/>
  <c r="E15" i="31" s="1"/>
  <c r="C4" i="31"/>
  <c r="E4" i="31" s="1"/>
  <c r="B16" i="31" s="1"/>
  <c r="E16" i="31" s="1"/>
  <c r="B25" i="32" l="1"/>
  <c r="E25" i="32" s="1"/>
  <c r="B26" i="32"/>
  <c r="E26" i="32" s="1"/>
  <c r="E17" i="31"/>
  <c r="E27" i="32" l="1"/>
  <c r="H6" i="30"/>
  <c r="C6" i="30" s="1"/>
  <c r="E6" i="30" s="1"/>
  <c r="C12" i="30"/>
  <c r="E12" i="30" s="1"/>
  <c r="B19" i="30" s="1"/>
  <c r="E19" i="30" s="1"/>
  <c r="C11" i="30"/>
  <c r="E11" i="30" s="1"/>
  <c r="C10" i="30"/>
  <c r="E10" i="30" s="1"/>
  <c r="C9" i="30"/>
  <c r="E9" i="30" s="1"/>
  <c r="C8" i="30"/>
  <c r="E8" i="30" s="1"/>
  <c r="C7" i="30"/>
  <c r="E7" i="30" s="1"/>
  <c r="C5" i="30"/>
  <c r="E5" i="30" s="1"/>
  <c r="B21" i="30" s="1"/>
  <c r="E21" i="30" s="1"/>
  <c r="C4" i="30"/>
  <c r="E4" i="30" s="1"/>
  <c r="H4" i="29"/>
  <c r="C6" i="29"/>
  <c r="E6" i="29" s="1"/>
  <c r="C5" i="29"/>
  <c r="E5" i="29" s="1"/>
  <c r="B13" i="29" s="1"/>
  <c r="E13" i="29" s="1"/>
  <c r="C4" i="29"/>
  <c r="E4" i="29" s="1"/>
  <c r="B14" i="29" s="1"/>
  <c r="E14" i="29" s="1"/>
  <c r="H12" i="28"/>
  <c r="C12" i="28" s="1"/>
  <c r="E12" i="28" s="1"/>
  <c r="H11" i="28"/>
  <c r="C11" i="28" s="1"/>
  <c r="E11" i="28" s="1"/>
  <c r="C10" i="28"/>
  <c r="E10" i="28" s="1"/>
  <c r="C9" i="28"/>
  <c r="E9" i="28" s="1"/>
  <c r="C8" i="28"/>
  <c r="E8" i="28" s="1"/>
  <c r="C7" i="28"/>
  <c r="E7" i="28" s="1"/>
  <c r="C6" i="28"/>
  <c r="E6" i="28" s="1"/>
  <c r="C5" i="28"/>
  <c r="E5" i="28" s="1"/>
  <c r="C4" i="28"/>
  <c r="E4" i="28" s="1"/>
  <c r="C13" i="27"/>
  <c r="E13" i="27" s="1"/>
  <c r="C12" i="27"/>
  <c r="E12" i="27" s="1"/>
  <c r="C11" i="27"/>
  <c r="E11" i="27" s="1"/>
  <c r="C10" i="27"/>
  <c r="E10" i="27" s="1"/>
  <c r="C9" i="27"/>
  <c r="E9" i="27" s="1"/>
  <c r="C8" i="27"/>
  <c r="E8" i="27" s="1"/>
  <c r="B21" i="27" s="1"/>
  <c r="E21" i="27" s="1"/>
  <c r="C7" i="27"/>
  <c r="E7" i="27" s="1"/>
  <c r="C6" i="27"/>
  <c r="E6" i="27" s="1"/>
  <c r="B20" i="27" s="1"/>
  <c r="E20" i="27" s="1"/>
  <c r="C5" i="27"/>
  <c r="E5" i="27" s="1"/>
  <c r="C4" i="27"/>
  <c r="E4" i="27" s="1"/>
  <c r="C16" i="26"/>
  <c r="E16" i="26" s="1"/>
  <c r="C15" i="26"/>
  <c r="E15" i="26" s="1"/>
  <c r="C14" i="26"/>
  <c r="E14" i="26" s="1"/>
  <c r="H8" i="26"/>
  <c r="C13" i="26"/>
  <c r="E13" i="26" s="1"/>
  <c r="C12" i="26"/>
  <c r="E12" i="26" s="1"/>
  <c r="C11" i="26"/>
  <c r="E11" i="26" s="1"/>
  <c r="C10" i="26"/>
  <c r="E10" i="26" s="1"/>
  <c r="C9" i="26"/>
  <c r="E9" i="26" s="1"/>
  <c r="C8" i="26"/>
  <c r="E8" i="26" s="1"/>
  <c r="C7" i="26"/>
  <c r="E7" i="26" s="1"/>
  <c r="C6" i="26"/>
  <c r="E6" i="26" s="1"/>
  <c r="B23" i="26" s="1"/>
  <c r="E23" i="26" s="1"/>
  <c r="C5" i="26"/>
  <c r="E5" i="26" s="1"/>
  <c r="C4" i="26"/>
  <c r="E4" i="26" s="1"/>
  <c r="B20" i="30" l="1"/>
  <c r="E20" i="30" s="1"/>
  <c r="B22" i="30"/>
  <c r="E22" i="30" s="1"/>
  <c r="E15" i="29"/>
  <c r="B19" i="28"/>
  <c r="E19" i="28" s="1"/>
  <c r="E20" i="28" s="1"/>
  <c r="B22" i="27"/>
  <c r="E22" i="27" s="1"/>
  <c r="E23" i="27" s="1"/>
  <c r="B25" i="26"/>
  <c r="E25" i="26" s="1"/>
  <c r="B24" i="26"/>
  <c r="E24" i="26" s="1"/>
  <c r="B26" i="26"/>
  <c r="E26" i="26" s="1"/>
  <c r="D15" i="25"/>
  <c r="D14" i="25"/>
  <c r="D13" i="25"/>
  <c r="D12" i="25"/>
  <c r="D11" i="25"/>
  <c r="D10" i="25"/>
  <c r="D9" i="25"/>
  <c r="H13" i="25"/>
  <c r="H12" i="25"/>
  <c r="H11" i="25"/>
  <c r="H10" i="25"/>
  <c r="C10" i="25" s="1"/>
  <c r="E10" i="25" s="1"/>
  <c r="C15" i="25"/>
  <c r="E15" i="25" s="1"/>
  <c r="B22" i="25" s="1"/>
  <c r="E22" i="25" s="1"/>
  <c r="C14" i="25"/>
  <c r="E14" i="25" s="1"/>
  <c r="C13" i="25"/>
  <c r="C12" i="25"/>
  <c r="C11" i="25"/>
  <c r="H9" i="25"/>
  <c r="C9" i="25" s="1"/>
  <c r="C8" i="25"/>
  <c r="E8" i="25" s="1"/>
  <c r="H7" i="25"/>
  <c r="C7" i="25" s="1"/>
  <c r="E7" i="25" s="1"/>
  <c r="H6" i="25"/>
  <c r="C6" i="25"/>
  <c r="E6" i="25" s="1"/>
  <c r="C5" i="25"/>
  <c r="E5" i="25" s="1"/>
  <c r="C4" i="25"/>
  <c r="E4" i="25" s="1"/>
  <c r="D15" i="24"/>
  <c r="C15" i="24"/>
  <c r="E23" i="30" l="1"/>
  <c r="E27" i="26"/>
  <c r="B25" i="25"/>
  <c r="E25" i="25" s="1"/>
  <c r="E9" i="25"/>
  <c r="E11" i="25"/>
  <c r="E13" i="25"/>
  <c r="E12" i="25"/>
  <c r="B24" i="25"/>
  <c r="E24" i="25" s="1"/>
  <c r="B23" i="25"/>
  <c r="E23" i="25" s="1"/>
  <c r="E15" i="24"/>
  <c r="C14" i="24"/>
  <c r="D14" i="24"/>
  <c r="D13" i="24"/>
  <c r="D12" i="24"/>
  <c r="D11" i="24"/>
  <c r="D10" i="24"/>
  <c r="H13" i="24"/>
  <c r="H12" i="24"/>
  <c r="H11" i="24"/>
  <c r="H10" i="24"/>
  <c r="H9" i="24"/>
  <c r="H7" i="24"/>
  <c r="C7" i="24" s="1"/>
  <c r="E7" i="24" s="1"/>
  <c r="H6" i="24"/>
  <c r="C6" i="24" s="1"/>
  <c r="E6" i="24" s="1"/>
  <c r="B22" i="24" s="1"/>
  <c r="E22" i="24" s="1"/>
  <c r="D9" i="24"/>
  <c r="C13" i="24"/>
  <c r="E13" i="24" s="1"/>
  <c r="C12" i="24"/>
  <c r="C11" i="24"/>
  <c r="E11" i="24" s="1"/>
  <c r="C10" i="24"/>
  <c r="E10" i="24" s="1"/>
  <c r="C9" i="24"/>
  <c r="C8" i="24"/>
  <c r="E8" i="24" s="1"/>
  <c r="C5" i="24"/>
  <c r="E5" i="24" s="1"/>
  <c r="C4" i="24"/>
  <c r="E4" i="24" s="1"/>
  <c r="C9" i="23"/>
  <c r="E9" i="23" s="1"/>
  <c r="C8" i="23"/>
  <c r="E8" i="23" s="1"/>
  <c r="C7" i="23"/>
  <c r="E7" i="23" s="1"/>
  <c r="C6" i="23"/>
  <c r="E6" i="23" s="1"/>
  <c r="C5" i="23"/>
  <c r="E5" i="23" s="1"/>
  <c r="C4" i="23"/>
  <c r="E4" i="23" s="1"/>
  <c r="E24" i="22"/>
  <c r="C15" i="22"/>
  <c r="E15" i="22" s="1"/>
  <c r="C14" i="22"/>
  <c r="E14" i="22" s="1"/>
  <c r="C13" i="22"/>
  <c r="E13" i="22" s="1"/>
  <c r="C12" i="22"/>
  <c r="E12" i="22" s="1"/>
  <c r="C11" i="22"/>
  <c r="E11" i="22" s="1"/>
  <c r="C10" i="22"/>
  <c r="E10" i="22" s="1"/>
  <c r="C9" i="22"/>
  <c r="E9" i="22" s="1"/>
  <c r="C8" i="22"/>
  <c r="E8" i="22" s="1"/>
  <c r="B24" i="22" s="1"/>
  <c r="C7" i="22"/>
  <c r="E7" i="22" s="1"/>
  <c r="C6" i="22"/>
  <c r="E6" i="22" s="1"/>
  <c r="C5" i="22"/>
  <c r="E5" i="22" s="1"/>
  <c r="C4" i="22"/>
  <c r="E4" i="22" s="1"/>
  <c r="E26" i="25" l="1"/>
  <c r="E14" i="24"/>
  <c r="E12" i="24"/>
  <c r="B23" i="24"/>
  <c r="E23" i="24" s="1"/>
  <c r="E9" i="24"/>
  <c r="B25" i="24"/>
  <c r="E25" i="24" s="1"/>
  <c r="B24" i="24"/>
  <c r="E24" i="24" s="1"/>
  <c r="B16" i="23"/>
  <c r="E16" i="23" s="1"/>
  <c r="B17" i="23"/>
  <c r="E17" i="23" s="1"/>
  <c r="B25" i="22"/>
  <c r="E25" i="22" s="1"/>
  <c r="B23" i="22"/>
  <c r="E23" i="22" s="1"/>
  <c r="B22" i="22"/>
  <c r="E22" i="22" s="1"/>
  <c r="C5" i="21"/>
  <c r="E5" i="21" s="1"/>
  <c r="C6" i="21"/>
  <c r="E6" i="21" s="1"/>
  <c r="B32" i="21" s="1"/>
  <c r="E32" i="21" s="1"/>
  <c r="C7" i="21"/>
  <c r="E7" i="21" s="1"/>
  <c r="B33" i="21" s="1"/>
  <c r="E33" i="21" s="1"/>
  <c r="C8" i="21"/>
  <c r="E8" i="21" s="1"/>
  <c r="B34" i="21" s="1"/>
  <c r="E34" i="21" s="1"/>
  <c r="C9" i="21"/>
  <c r="C10" i="21"/>
  <c r="E10" i="21" s="1"/>
  <c r="B36" i="21" s="1"/>
  <c r="E36" i="21" s="1"/>
  <c r="C11" i="21"/>
  <c r="E11" i="21" s="1"/>
  <c r="B37" i="21" s="1"/>
  <c r="E37" i="21" s="1"/>
  <c r="C12" i="21"/>
  <c r="E12" i="21" s="1"/>
  <c r="B38" i="21" s="1"/>
  <c r="E38" i="21" s="1"/>
  <c r="C13" i="21"/>
  <c r="E13" i="21" s="1"/>
  <c r="B39" i="21" s="1"/>
  <c r="E39" i="21" s="1"/>
  <c r="C4" i="21"/>
  <c r="E4" i="21" s="1"/>
  <c r="B30" i="21" s="1"/>
  <c r="E30" i="21" s="1"/>
  <c r="E23" i="21"/>
  <c r="E22" i="21"/>
  <c r="E21" i="21"/>
  <c r="E20" i="21"/>
  <c r="E19" i="21"/>
  <c r="E18" i="21"/>
  <c r="E17" i="21"/>
  <c r="E16" i="21"/>
  <c r="E15" i="21"/>
  <c r="E14" i="21"/>
  <c r="E9" i="21"/>
  <c r="E26" i="24" l="1"/>
  <c r="E18" i="23"/>
  <c r="E26" i="22"/>
  <c r="B31" i="21"/>
  <c r="E31" i="21" s="1"/>
  <c r="B35" i="21"/>
  <c r="E35" i="21" s="1"/>
  <c r="E40" i="21" l="1"/>
</calcChain>
</file>

<file path=xl/sharedStrings.xml><?xml version="1.0" encoding="utf-8"?>
<sst xmlns="http://schemas.openxmlformats.org/spreadsheetml/2006/main" count="1072" uniqueCount="448">
  <si>
    <t>N</t>
  </si>
  <si>
    <t>Ø</t>
  </si>
  <si>
    <t>Q</t>
  </si>
  <si>
    <t>PESO (KG)</t>
  </si>
  <si>
    <t>kg/m</t>
  </si>
  <si>
    <t>TOTAL</t>
  </si>
  <si>
    <t>COMPRIMENTO</t>
  </si>
  <si>
    <t>UNITÁRIO</t>
  </si>
  <si>
    <t>RESUMO DO AÇO</t>
  </si>
  <si>
    <t>AÇO CA-50</t>
  </si>
  <si>
    <t>COMP. (cm)</t>
  </si>
  <si>
    <t xml:space="preserve"> </t>
  </si>
  <si>
    <t>PESO TOTAL</t>
  </si>
  <si>
    <t>Qe</t>
  </si>
  <si>
    <t>Qu</t>
  </si>
  <si>
    <t>NOME DO ELEMENTO</t>
  </si>
  <si>
    <t>BLOCOS DE FUNDAÇÃO BL1 a BL6</t>
  </si>
  <si>
    <t>PILARES</t>
  </si>
  <si>
    <t>VIGA PRÉ-MOLDADA DE 18,70m</t>
  </si>
  <si>
    <t>VIGA PRÉ-MOLDADA DE 14,70m</t>
  </si>
  <si>
    <t>TRAVESSAS TR1 e TR3, CORTINAS E BERÇOS</t>
  </si>
  <si>
    <t>Var.</t>
  </si>
  <si>
    <t>TRAVESSAS TR2 E BERÇOS</t>
  </si>
  <si>
    <t>ALAS</t>
  </si>
  <si>
    <t>LAJE DE TRANSIÇÃO</t>
  </si>
  <si>
    <t>TRANSVERSINAS</t>
  </si>
  <si>
    <t>PRÉ-LAJES</t>
  </si>
  <si>
    <t>-</t>
  </si>
  <si>
    <t>TG-12R</t>
  </si>
  <si>
    <t>TRELIÇA SOLDADA CA-60</t>
  </si>
  <si>
    <t>LAJE E BARREIRAS</t>
  </si>
  <si>
    <t>QUADRO DE QUANTIDADES</t>
  </si>
  <si>
    <t>ITEM</t>
  </si>
  <si>
    <t>CÓDIGO</t>
  </si>
  <si>
    <t>DISCRIMINAÇÃO</t>
  </si>
  <si>
    <t>UND</t>
  </si>
  <si>
    <t>QUANT.</t>
  </si>
  <si>
    <t>INFRA E MESOESTRUTURA</t>
  </si>
  <si>
    <t>1.1</t>
  </si>
  <si>
    <t>ESTACAS E BLOCOS</t>
  </si>
  <si>
    <t>1.1.1</t>
  </si>
  <si>
    <t>Escavação mecânica de vala em material de 1ª categoria</t>
  </si>
  <si>
    <t>m³</t>
  </si>
  <si>
    <t>1.1.2</t>
  </si>
  <si>
    <t>m</t>
  </si>
  <si>
    <t>1.1.3</t>
  </si>
  <si>
    <t>1.1.4</t>
  </si>
  <si>
    <t>1.1.5</t>
  </si>
  <si>
    <t>Concreto magro - confecção em betoneira e lançamento manual - areia e brita comerciais</t>
  </si>
  <si>
    <t>1.1.6</t>
  </si>
  <si>
    <t>Fôrmas de compensado plastificado 12 mm - uso geral - utilização de 2 vezes - confecção, instalação e retirada</t>
  </si>
  <si>
    <t>m²</t>
  </si>
  <si>
    <t>1.1.7</t>
  </si>
  <si>
    <t>Armação em aço CA-50 - fornecimento, preparo e colocação</t>
  </si>
  <si>
    <t>kg</t>
  </si>
  <si>
    <t>1.1.8</t>
  </si>
  <si>
    <t>Concreto fck = 30 MPa - confecção em betoneira e lançamento manual - areia e brita comerciais</t>
  </si>
  <si>
    <t>1.1.9</t>
  </si>
  <si>
    <t>Adensamento de concreto por vibrador de imersão</t>
  </si>
  <si>
    <t>Reaterro e compactação com soquete vibratório</t>
  </si>
  <si>
    <t>Esgotamento de água com bomba submersa</t>
  </si>
  <si>
    <t>h</t>
  </si>
  <si>
    <t>1.2</t>
  </si>
  <si>
    <t>1.2.1</t>
  </si>
  <si>
    <t>1.2.3</t>
  </si>
  <si>
    <t>1.2.4</t>
  </si>
  <si>
    <t>1.2.5</t>
  </si>
  <si>
    <t>1.3</t>
  </si>
  <si>
    <t>TRAVESSAS, CORTINAS E BERÇOS</t>
  </si>
  <si>
    <t>1.3.1</t>
  </si>
  <si>
    <t>1.3.2</t>
  </si>
  <si>
    <t>Escoramento com pontaletes D = 10 cm - utilização de 2 vezes - confecção, instalação e retirada</t>
  </si>
  <si>
    <t>1.3.3</t>
  </si>
  <si>
    <t>1.3.4</t>
  </si>
  <si>
    <t>1.3.5</t>
  </si>
  <si>
    <t>1.3.6</t>
  </si>
  <si>
    <t>Aparelho de apoio de neoprene fretado para estruturas pré-moldadas - fornecimento e instalação</t>
  </si>
  <si>
    <t>dm³</t>
  </si>
  <si>
    <t>1.4</t>
  </si>
  <si>
    <t>1.4.1</t>
  </si>
  <si>
    <t>1.4.2</t>
  </si>
  <si>
    <t>1.4.3</t>
  </si>
  <si>
    <t>1.4.4</t>
  </si>
  <si>
    <t>1.5</t>
  </si>
  <si>
    <t>1.5.1</t>
  </si>
  <si>
    <t>1.5.2</t>
  </si>
  <si>
    <t>1.5.3</t>
  </si>
  <si>
    <t>1.5.4</t>
  </si>
  <si>
    <t>1.5.5</t>
  </si>
  <si>
    <t>Enchimento de junta de concreto com argamassa asfáltica de densidade 1.700 kg/m³ - espessura de 1 cm</t>
  </si>
  <si>
    <t>1.6</t>
  </si>
  <si>
    <t>1.6.1</t>
  </si>
  <si>
    <t>Enrocamento de pedra arrumada manualmente - pedra de mão comercial - fornecimento e assentamento</t>
  </si>
  <si>
    <t>SUPERESTRUTURA</t>
  </si>
  <si>
    <t>2.1</t>
  </si>
  <si>
    <t>2.1.1</t>
  </si>
  <si>
    <t>2.1.2</t>
  </si>
  <si>
    <t>Fôrma metálica para viga de concreto pré-moldada protendida para OAE - utilização de 20 vezes - confecção, instalação e retirada</t>
  </si>
  <si>
    <t>2.1.3</t>
  </si>
  <si>
    <t>2.1.4</t>
  </si>
  <si>
    <t>2.1.5</t>
  </si>
  <si>
    <t>2.1.6</t>
  </si>
  <si>
    <t>un.</t>
  </si>
  <si>
    <t>2.1.7</t>
  </si>
  <si>
    <t>2.1.8</t>
  </si>
  <si>
    <t>Concreto fck = 40 MPa - confecção em betoneira e lançamento manual - areia e brita comerciais</t>
  </si>
  <si>
    <t>2.1.9</t>
  </si>
  <si>
    <t>2.1.10</t>
  </si>
  <si>
    <t>Carga, descarga e manobra de vigas pré-moldadas de até 500 kN em cavalo mecânico com dolly de 4 eixos com capacidade de 57 t</t>
  </si>
  <si>
    <t>Lançamento de viga pré-moldada de até 500 kN com utilização de guindaste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</si>
  <si>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</si>
  <si>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</si>
  <si>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</si>
  <si>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</si>
  <si>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</si>
  <si>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</si>
  <si>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</si>
  <si>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</si>
  <si>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</si>
  <si>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</si>
  <si>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</si>
  <si>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2.3</t>
  </si>
  <si>
    <t>2.3.1</t>
  </si>
  <si>
    <t>2.3.2</t>
  </si>
  <si>
    <t>2.3.3</t>
  </si>
  <si>
    <t>Armação em aço CA-60 - fornecimento, preparo e colocação</t>
  </si>
  <si>
    <t>2.3.4</t>
  </si>
  <si>
    <t>2.3.5</t>
  </si>
  <si>
    <t>2.3.6</t>
  </si>
  <si>
    <t>Lançamento de pré-laje com utilização de guindauto</t>
  </si>
  <si>
    <t>t</t>
  </si>
  <si>
    <t>2.4</t>
  </si>
  <si>
    <t>2.4.1</t>
  </si>
  <si>
    <t>2.4.2</t>
  </si>
  <si>
    <t>2.4.3</t>
  </si>
  <si>
    <t>2.4.4</t>
  </si>
  <si>
    <t>2.5</t>
  </si>
  <si>
    <t>LAJE E BARREIRAS RÍGIDAS</t>
  </si>
  <si>
    <t>2.5.1</t>
  </si>
  <si>
    <t>2.5.2</t>
  </si>
  <si>
    <t>2.5.3</t>
  </si>
  <si>
    <t>2.5.4</t>
  </si>
  <si>
    <t>2.5.5</t>
  </si>
  <si>
    <t>Dreno de PVC D = 100 mm para OAE - fornecimento e instalação</t>
  </si>
  <si>
    <t>2.6</t>
  </si>
  <si>
    <t>2.6.1</t>
  </si>
  <si>
    <t>Memória de Cálculo das Quantidades</t>
  </si>
  <si>
    <t>Estacas</t>
  </si>
  <si>
    <t>unid</t>
  </si>
  <si>
    <t>cm</t>
  </si>
  <si>
    <t>Estacas em Solo</t>
  </si>
  <si>
    <t>Armação CA-50</t>
  </si>
  <si>
    <t>Conforme resumo de aço</t>
  </si>
  <si>
    <t>Quantidade de Pórticos (QP)</t>
  </si>
  <si>
    <t>Quantidade de Blocos por Pórtico (Qb)</t>
  </si>
  <si>
    <t>Altura Média de Escavação (He)</t>
  </si>
  <si>
    <t>Largura dos Blocos do Pórtico (Lbp)</t>
  </si>
  <si>
    <t>Extensão dos Blocos do Pórtico (Ebp)</t>
  </si>
  <si>
    <t>Largura de Trabalho (Lt)</t>
  </si>
  <si>
    <t>Razão dos Taludes H:V (Rt)</t>
  </si>
  <si>
    <t>Espessura do Lastro (El)</t>
  </si>
  <si>
    <t>Altura do Bloco (Hb)</t>
  </si>
  <si>
    <t>Largura do Bloco 1 (Lb1)</t>
  </si>
  <si>
    <t>Largura do Bloco 2 (Lb2)</t>
  </si>
  <si>
    <t>Altura de Viga de Rigidez (Hvr)</t>
  </si>
  <si>
    <t>Largura de Viga de Rigidez (Lvr)</t>
  </si>
  <si>
    <t>Extensão da Viga de Rigidez (Evr)</t>
  </si>
  <si>
    <t>Esgotamento de água com bomba (Esg)</t>
  </si>
  <si>
    <t>dias</t>
  </si>
  <si>
    <t>Espessura da Contenção (Econt)</t>
  </si>
  <si>
    <t>Escavação</t>
  </si>
  <si>
    <t>QP x [(Lbp + 2 x Lt + He x Rt) x 
          (Ebp + 2 x Lt + He x Rt) x He]</t>
  </si>
  <si>
    <t>Lastro de Concreto Magro</t>
  </si>
  <si>
    <t>QP x Qb x Lb1 x Lb2 x El</t>
  </si>
  <si>
    <t>Formas</t>
  </si>
  <si>
    <t>QP x Qb x (2 x (Lb1 + Lb2) x Hb) + 
QP x (2 x Hvr + Lvr) x Evr)</t>
  </si>
  <si>
    <t>Concreto</t>
  </si>
  <si>
    <t>QP x Qb x Lb1 x Lb2 x Hb + 
QP x Lvr x Hvr x Evr</t>
  </si>
  <si>
    <t>Reaterro</t>
  </si>
  <si>
    <t>(Vol. de Escavação) - (Vol. de Concreto + Lastro)</t>
  </si>
  <si>
    <t xml:space="preserve">Esgotamento </t>
  </si>
  <si>
    <t>Qp x Qb x Esg x 24h/dia</t>
  </si>
  <si>
    <t>Contenção</t>
  </si>
  <si>
    <t>Qp x He x 2 x (Lbp + Ebp + 4 x Lt) x Econt</t>
  </si>
  <si>
    <t>Quantidade de Pórticos (Q)</t>
  </si>
  <si>
    <t>Quantidade de Pilares por Portico (Qp)</t>
  </si>
  <si>
    <t>Altura Pilares (Ap)</t>
  </si>
  <si>
    <t>Perimetro dos Pilares (Pp)</t>
  </si>
  <si>
    <t>Área de Seção dos Pilares (Asp)</t>
  </si>
  <si>
    <t>Q x (Qp x Pp x Ap)</t>
  </si>
  <si>
    <t>Qx (Qp x Asp x Ap)</t>
  </si>
  <si>
    <t>Travessas e Cortinas</t>
  </si>
  <si>
    <t>Perimetro de Formas das Travessas (Pft)</t>
  </si>
  <si>
    <t>Área de Seção das Travessas (Ast)</t>
  </si>
  <si>
    <t>Comprimento da Travessa (Ct)</t>
  </si>
  <si>
    <t>Largura de Escoramento (Lesc)</t>
  </si>
  <si>
    <t>Altura do Escoramento (Hesc)</t>
  </si>
  <si>
    <t>Q x (Pft x Ct + 2 x Ast)</t>
  </si>
  <si>
    <t>Escoramento</t>
  </si>
  <si>
    <t>Q x Ct x Lesc x Hesc</t>
  </si>
  <si>
    <t>Q x (Ast x Ct)</t>
  </si>
  <si>
    <t>Travessa E2</t>
  </si>
  <si>
    <t>Berços e Aparelhos de Apoio</t>
  </si>
  <si>
    <t>Quantidade de Linhas de Apoio (Q)</t>
  </si>
  <si>
    <t>Quantidade de Berços por Pórtico (Qb)</t>
  </si>
  <si>
    <t>Comprimento Médio dos Berços (Cmb)</t>
  </si>
  <si>
    <t>Largura do Berço 1 (Lb1)</t>
  </si>
  <si>
    <t>Largura do Berço 2 (Lb2)</t>
  </si>
  <si>
    <t>Largura Aparelho de Apoio 1 (Laa1)</t>
  </si>
  <si>
    <t>dm</t>
  </si>
  <si>
    <t>Largura Aparelho de Apoio2 (Laa2)</t>
  </si>
  <si>
    <t>Altura  Aparelho de Apoio (Aaa)</t>
  </si>
  <si>
    <t>Q x Qb x 2 x (Lb1 + Lb2) x Cmb/100</t>
  </si>
  <si>
    <t>Q x Qb x Lb1 x Lb2 x Cmb/100</t>
  </si>
  <si>
    <t>Volume dos Aparelhos de Apoio</t>
  </si>
  <si>
    <t>Q x Qb x Laa1 x Laa2 x Aaa</t>
  </si>
  <si>
    <t>Junto a armação das Travessas e Cortinas</t>
  </si>
  <si>
    <t>Alas</t>
  </si>
  <si>
    <t>Quantidade de Alas (Qa)</t>
  </si>
  <si>
    <t>Perimetro de Formas das Alas (Pfa)</t>
  </si>
  <si>
    <t>Área de Seção das Alas (Asa)</t>
  </si>
  <si>
    <t>Espessura das Alas (Ea)</t>
  </si>
  <si>
    <t>Qa x (Pfa x Ea + 2 x Asa)</t>
  </si>
  <si>
    <t>Qa x Asa x Ea</t>
  </si>
  <si>
    <t>Laje de Transição</t>
  </si>
  <si>
    <t>Quantidade de Lajes de Transição (Q)</t>
  </si>
  <si>
    <t>Largura (L)</t>
  </si>
  <si>
    <t>Perimetro de Forma (Pf)</t>
  </si>
  <si>
    <t>Área de Seção (As)</t>
  </si>
  <si>
    <t>Espessura da Junta Freyssinet (Ejf)</t>
  </si>
  <si>
    <t>Largura da Junta Freyssinet (Ljf)</t>
  </si>
  <si>
    <t>Densidade da Junta (D)</t>
  </si>
  <si>
    <t>kg/m³</t>
  </si>
  <si>
    <t>Q x (2 x As + Pf x L)</t>
  </si>
  <si>
    <t>Q x As x L</t>
  </si>
  <si>
    <t>Massa da Junta</t>
  </si>
  <si>
    <t>Q x L x Ejf x Ljf x D</t>
  </si>
  <si>
    <t>Armação em aço CA-50</t>
  </si>
  <si>
    <t>Proteção dos Taludes</t>
  </si>
  <si>
    <t>Área de Seção P1 (As1)</t>
  </si>
  <si>
    <t>Área de Seção P2 (As2)</t>
  </si>
  <si>
    <t>Enrocamento</t>
  </si>
  <si>
    <t>As1 x Ext1 + As2 x Ext2</t>
  </si>
  <si>
    <t>Quantidade de Vigas (Q)</t>
  </si>
  <si>
    <t>Perimetro de Forma nos Apoios (Pfa)</t>
  </si>
  <si>
    <t>Perimetro de Forma nas Transições (Pft)</t>
  </si>
  <si>
    <t>Perimetro de Forma Intermediário (Pfi)</t>
  </si>
  <si>
    <t>Área de Seção nos Apoios (Asa)</t>
  </si>
  <si>
    <t>Área de Seção nas Transições (Ast)</t>
  </si>
  <si>
    <t>Área de Seção Intermediária (Asi)</t>
  </si>
  <si>
    <t>Número de Apoios (Na)</t>
  </si>
  <si>
    <t>Extensão nos Apoios (Ea)</t>
  </si>
  <si>
    <t>Extensão nas Transições (Et)</t>
  </si>
  <si>
    <t>Extensão Intermediária (Ei)</t>
  </si>
  <si>
    <t>Comprimento Total (Ct)</t>
  </si>
  <si>
    <t>Largura das Bases de Confecção (Lb)</t>
  </si>
  <si>
    <t>Espessura das Bases de Confecção (Eb)</t>
  </si>
  <si>
    <t>Concreto Magro</t>
  </si>
  <si>
    <t>Q x Ct x Lb x Eb</t>
  </si>
  <si>
    <t>Q x ((Pfa x Ea + Pft x Et) x Na + Pfi x Ei + 
2 x Asa)</t>
  </si>
  <si>
    <t>Q x (Asa x Na x Ea + Ast x Na x Et + Asi x Ei)</t>
  </si>
  <si>
    <t xml:space="preserve">Cordoalha CP 190 RB D=15,2 mm </t>
  </si>
  <si>
    <t>Conforme Projeto</t>
  </si>
  <si>
    <t>Ancoragem Ativa</t>
  </si>
  <si>
    <t>Vigas Pré-Moldadas Protendidas 23,70m</t>
  </si>
  <si>
    <t>Pré-Lajes</t>
  </si>
  <si>
    <t>Quantidade Tipo 1 (Q1)</t>
  </si>
  <si>
    <t>Área de Seção Transversal 1 (Ast1)</t>
  </si>
  <si>
    <t>Perimetro de Forma Lateral 1 (Pft1)</t>
  </si>
  <si>
    <t>Extensão 1 (Ext1)</t>
  </si>
  <si>
    <t>Quantidade Tipo 2 (Q2)</t>
  </si>
  <si>
    <t>Área de Seção Transversal 2 (Ast2)</t>
  </si>
  <si>
    <t>Perimetro de Forma Lateral 2 (Pft2)</t>
  </si>
  <si>
    <t>Extensão 2 (Ext2)</t>
  </si>
  <si>
    <t>Q1 x (2 x Ast1 + Pft1 x Ext1) +
Q2 x (2 x Ast2 + Pft2 x Ext2)</t>
  </si>
  <si>
    <t>Q1 x (Ast1 x Ext1) + 
Q2 x (Ast2 x Ext2)</t>
  </si>
  <si>
    <t>Lançamento de Pré Lajes</t>
  </si>
  <si>
    <t>Volume de Concreto x 2,50 t/m³</t>
  </si>
  <si>
    <t>Armação em aço CA-60</t>
  </si>
  <si>
    <t>Transversinas</t>
  </si>
  <si>
    <t>Quantidade de Transversinas (Q)</t>
  </si>
  <si>
    <t>Quantidade de Laterais por Transversinas (Ql)</t>
  </si>
  <si>
    <t>Quantidade de Entre Vigas por Transversina (Qev)</t>
  </si>
  <si>
    <t>Espessura das Transversinas (Et)</t>
  </si>
  <si>
    <t>Área Lateral (Al)</t>
  </si>
  <si>
    <t>Área Entre Vigas (Aev)</t>
  </si>
  <si>
    <t>Perimetro de Formas (Pf)</t>
  </si>
  <si>
    <t>Q x (Pf x Et + 2 x Ql x Al + 2 x Qev x Aev)</t>
  </si>
  <si>
    <t>Q x Et x (Ql x Al + Qev x Aev)</t>
  </si>
  <si>
    <t>Laje</t>
  </si>
  <si>
    <t>Extensão da Laje (El)</t>
  </si>
  <si>
    <t>Extensão da Laje com Pré-Lajes (Elaje)</t>
  </si>
  <si>
    <t>Largura da Laje (Ll)</t>
  </si>
  <si>
    <t>Espessura da Laje (Esp)</t>
  </si>
  <si>
    <t>Quantidade de Vigas (Qv)</t>
  </si>
  <si>
    <t>unid.</t>
  </si>
  <si>
    <t>Largura Entre Pré-Lajes (Lepl)</t>
  </si>
  <si>
    <t>Espessura das Pré Lajes (Epl)</t>
  </si>
  <si>
    <t>Perimetro de Forma dos Balanços (Pfb)</t>
  </si>
  <si>
    <t>Área de Seção dos Balanços (Asb)</t>
  </si>
  <si>
    <t>Quantidade de Balanços (Qb)</t>
  </si>
  <si>
    <t>Quantidade de Drenos (Qd)</t>
  </si>
  <si>
    <t>Comprimento dos Drenos (Cd)</t>
  </si>
  <si>
    <t>Qb x (Ll x Pfb + 2 x Asb)</t>
  </si>
  <si>
    <t>Elaje x Ll x Esp + Qv x Lepl x Epl x Elaje + Qb x Asb x Ll</t>
  </si>
  <si>
    <t>Drenos</t>
  </si>
  <si>
    <t>Qd x Cd</t>
  </si>
  <si>
    <t>Barreiras Rígidas</t>
  </si>
  <si>
    <t>Quantidade de Barreiras Simples (Qs)</t>
  </si>
  <si>
    <t>Extensão das Barreiras Simples (Es)</t>
  </si>
  <si>
    <t>Perimetro de Forma das Barreiras Simples (Pfs)</t>
  </si>
  <si>
    <t>Área de Seção das Barreiras Simples (Ass)</t>
  </si>
  <si>
    <t xml:space="preserve">Qs x (2 x Ass + Es x Pfs) </t>
  </si>
  <si>
    <t>Qs x Es x Ass</t>
  </si>
  <si>
    <t>Junto a armação da laje</t>
  </si>
  <si>
    <t>Quantidade de Juntas (Qj)</t>
  </si>
  <si>
    <t>Estaca duplo trilho TR 68 - com emenda - fornecimento e cravação</t>
  </si>
  <si>
    <t>Quantidade de Estacas BL1 (Qe1)</t>
  </si>
  <si>
    <t>Comprimento em Solo BL (Cs1)</t>
  </si>
  <si>
    <t>Qe1 x Cs1</t>
  </si>
  <si>
    <t>Junto a armação dos blocos</t>
  </si>
  <si>
    <t>Área de Seção Bloco de Ancoragem (Asba)</t>
  </si>
  <si>
    <t>Perimetro de Formas do Bloco de Ancoragem (Pfba)</t>
  </si>
  <si>
    <t>Altura do Bloco de Ancoragem (Hba)</t>
  </si>
  <si>
    <t>Altura de Escavação do Bloco de Ancoragem (Heba)</t>
  </si>
  <si>
    <t>Qe1 x Asba x Heba</t>
  </si>
  <si>
    <t>Qe1 x Pfba x Hba</t>
  </si>
  <si>
    <t>Qe1 x Asba x Hba</t>
  </si>
  <si>
    <t>Blocos  BL1 a BL6</t>
  </si>
  <si>
    <t>Pilares E1/E3</t>
  </si>
  <si>
    <t>Pilares E2</t>
  </si>
  <si>
    <t>Junto a armação dos pilares E1/E3</t>
  </si>
  <si>
    <t>Vigas Pré-Moldadas Protendidas 18,70m</t>
  </si>
  <si>
    <t>VIGAS PRÉ-MOLDADAS 18,70M</t>
  </si>
  <si>
    <t>VIGAS PRÉ-MOLDADAS 14,70M</t>
  </si>
  <si>
    <t>Cordoalha engraxada CP 190 RB D = 15,2 mm - fornecimento e instalação</t>
  </si>
  <si>
    <t>Ancoragem ativa para lajes com 1 cordoalha engraxada D = 15,2 mm - fornecimento e instalação</t>
  </si>
  <si>
    <t>Ancoragem passiva para lajes com 1 cordoalha engraxada D = 15,2 mm - fornecimento e instalação</t>
  </si>
  <si>
    <t>Ancoragem Passiva</t>
  </si>
  <si>
    <t>JUNTAS DE DILATAÇÃO</t>
  </si>
  <si>
    <t>2.6.2</t>
  </si>
  <si>
    <t>Junta de dilatação em elastômero e perfil VV - L = 50 mm e H = 80 mm - fornecimento e instalação</t>
  </si>
  <si>
    <t>Lábios poliméricos em junta de pavimento de concreto - L = 20 mm e H = 30 mm - confecção e assentamento</t>
  </si>
  <si>
    <t>Juntas de Dilatação</t>
  </si>
  <si>
    <t>Extensão das Juntas (Ej)</t>
  </si>
  <si>
    <t>Fator de Equivalencia de Área dos Labios (Eql)</t>
  </si>
  <si>
    <t>Juntas</t>
  </si>
  <si>
    <t>Qj x Ej</t>
  </si>
  <si>
    <t>Labios Poliméricos</t>
  </si>
  <si>
    <t>Qj x Ej x Eql</t>
  </si>
  <si>
    <t>DESVIO PROVISÓRIO</t>
  </si>
  <si>
    <t>Corpo de BSTC D = 0,80 m PA4 - areia, brita e pedra de mão comerciais</t>
  </si>
  <si>
    <t>Enrocamento de pedra espalhada e compactada mecanicamente - pedra de mão comercial - fornecimento e
assentamento</t>
  </si>
  <si>
    <t>Limpeza mecanizada da camada vegetal</t>
  </si>
  <si>
    <t>Escavação, carga e transporte de material de 1ª categoria - DMT de 50 a 200 m - caminho de serviço em leito natural - com escavadeira e caminhão basculante de 14 m³</t>
  </si>
  <si>
    <t>Compactação de aterros a 100% do Proctor normal</t>
  </si>
  <si>
    <t>Remoção de tubos de concreto com diâmetro de 0,40 m a 1,00 m em valas e bueiros</t>
  </si>
  <si>
    <t>3.1</t>
  </si>
  <si>
    <t>3.2</t>
  </si>
  <si>
    <t>3.3</t>
  </si>
  <si>
    <t>3.4</t>
  </si>
  <si>
    <t>3.5</t>
  </si>
  <si>
    <t>3.6</t>
  </si>
  <si>
    <t>3.7</t>
  </si>
  <si>
    <t>TERRAPLENAGEM</t>
  </si>
  <si>
    <t>Escavação, carga e transporte de material de 1ª categoria - DMT de 2.500 a 3.000 m - caminho de serviço em leito natural - com escavadeira e caminhão basculante de 14 m³</t>
  </si>
  <si>
    <t>4.1</t>
  </si>
  <si>
    <t>4.2</t>
  </si>
  <si>
    <t>Desmatamento, destocamento, limpeza de área e estocagem do material de limpeza com árvores de diâmetro até 0,15 m</t>
  </si>
  <si>
    <t>SINALIZAÇÃO E SEGURANÇA VIÁRIA</t>
  </si>
  <si>
    <t>Fornecimento e implantação de placa de aço, de solo, irregular, simples - película III + III</t>
  </si>
  <si>
    <t>Fornecimento e implantação de suporte e travessa para placa de sinalização em madeira de lei tratada 8 x 8 cm</t>
  </si>
  <si>
    <t xml:space="preserve">un </t>
  </si>
  <si>
    <t>5.1</t>
  </si>
  <si>
    <t>5.2</t>
  </si>
  <si>
    <t>5.3</t>
  </si>
  <si>
    <t>Enleivamento</t>
  </si>
  <si>
    <t>Irrigação de área plantada para proteção vegetal do corpo estradal</t>
  </si>
  <si>
    <t>REMOÇÃO DA PONTE DE MADEIRA</t>
  </si>
  <si>
    <t>Carga, manobra e descarga de materiais diversos em caminhão carroceria com capacidade de 11,5 t e com guindauto com capacidade de elevação de 11,9 t</t>
  </si>
  <si>
    <t>Transporte com caminhão carroceria com capacidade de 11,5 t e com guindauto com capacidade de elevação de 11,9 t - rodovia em leito natural</t>
  </si>
  <si>
    <t>tkm</t>
  </si>
  <si>
    <t>Transporte com caminhão carroceria com capacidade de 11,5 t e com guindauto com capacidade de elevação de 11,9 t - rodovia pavimentada</t>
  </si>
  <si>
    <t>Comprimento (Co)</t>
  </si>
  <si>
    <t>Espessura Média (Em)</t>
  </si>
  <si>
    <t>Densidade da madeira (Dm)</t>
  </si>
  <si>
    <t>t/m³</t>
  </si>
  <si>
    <t>DMT em Rodovia Pav (PV)</t>
  </si>
  <si>
    <t>DMT em Leito Natural (LN)</t>
  </si>
  <si>
    <t>km</t>
  </si>
  <si>
    <t>Remoção</t>
  </si>
  <si>
    <t>Transporte Leito Natural</t>
  </si>
  <si>
    <t>Transporte Leito Rodovia Pavimentada</t>
  </si>
  <si>
    <t>Co x L x Em x Dm x LN</t>
  </si>
  <si>
    <t>Co x L x Em x Dm x PV</t>
  </si>
  <si>
    <t>Espessura da Regularização em Graute (Eg)</t>
  </si>
  <si>
    <t>Largura 1 da Base do Macaco (Lm1)</t>
  </si>
  <si>
    <t>Largura 2 da Base do Macaco (Lm2)</t>
  </si>
  <si>
    <t>Graute</t>
  </si>
  <si>
    <t>Q x Qb x Eg/100 x (Lb1 x Lb2 + Lm1 x Lm2)</t>
  </si>
  <si>
    <t>Argamassa para reparos e grauteamento - confecção em misturador e lançamento manual</t>
  </si>
  <si>
    <t>1.3.7</t>
  </si>
  <si>
    <t>Extensão Média P2 (Ext2)</t>
  </si>
  <si>
    <t>Extensão Média P1 (Ext1)</t>
  </si>
  <si>
    <t>Injeção de nata de cimento</t>
  </si>
  <si>
    <t>Camada drenante para proteção de muros de contenção - areia comercial</t>
  </si>
  <si>
    <t>Camada drenante para proteção de muros de contenção - brita comercial</t>
  </si>
  <si>
    <t>1.6.2</t>
  </si>
  <si>
    <t>1.6.3</t>
  </si>
  <si>
    <t>1.6.4</t>
  </si>
  <si>
    <t>1.6.5</t>
  </si>
  <si>
    <t>PROTEÇÃO DOS TALUDES E ENCONTROS</t>
  </si>
  <si>
    <t>Proteção dos Encontros</t>
  </si>
  <si>
    <t>Área de Seção do Reaterro (Asr)</t>
  </si>
  <si>
    <t>Largura do Reaterro (Lr)</t>
  </si>
  <si>
    <t>Área de Seção de Areia (Aareia)</t>
  </si>
  <si>
    <t>Área de Seção de Brita (Abrita)</t>
  </si>
  <si>
    <t>Aplicação de geotêxtil não-tecido agulhado com resistência à tração longitudinal de 14 kN/m</t>
  </si>
  <si>
    <t>1.6.6</t>
  </si>
  <si>
    <t>Perimetro de geotextil na seção (Pgeo)</t>
  </si>
  <si>
    <t>Quantidade de Encontros (Qe)</t>
  </si>
  <si>
    <t>und</t>
  </si>
  <si>
    <t>%</t>
  </si>
  <si>
    <t>% de Nata de Cimento em volume (nc)</t>
  </si>
  <si>
    <t>Reaterro Manual</t>
  </si>
  <si>
    <t>QE x Asr x Lr</t>
  </si>
  <si>
    <t>Injeção de Nata de Cimento</t>
  </si>
  <si>
    <t>QE x Asr x Lr x nc</t>
  </si>
  <si>
    <t>Camada de Brita</t>
  </si>
  <si>
    <t>QE x Abrita x Lr</t>
  </si>
  <si>
    <t>QE x Aareia x Lr</t>
  </si>
  <si>
    <t>Camada de Areia</t>
  </si>
  <si>
    <t>Geotextil</t>
  </si>
  <si>
    <t>QE x Pgeo x Lr</t>
  </si>
  <si>
    <t>4.1.1</t>
  </si>
  <si>
    <t>4.1.2</t>
  </si>
  <si>
    <t>4.1.3</t>
  </si>
  <si>
    <t>4.1.4</t>
  </si>
  <si>
    <t>4.1.5</t>
  </si>
  <si>
    <t>ATERRO DOS ACESSOS</t>
  </si>
  <si>
    <t>Escavação, carga e transporte em material de 1ª categoria - DMT de 50 m</t>
  </si>
  <si>
    <t>Recomposição mecanizada de aterro com material de jazida</t>
  </si>
  <si>
    <t>4.2.1</t>
  </si>
  <si>
    <t>4.2.2</t>
  </si>
  <si>
    <t>REFORÇO DE SOLO - APOIO GUINDASTES</t>
  </si>
  <si>
    <t>Remoção da Ponte de Madeira e Residuos Sólidos</t>
  </si>
  <si>
    <t>Peso Estimado Residuos Sólidos (RS)</t>
  </si>
  <si>
    <t>Co x L x Em x Dm +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</si>
</sst>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#,##0.000"/>
    <numFmt numFmtId="166" formatCode="0\ \ "/>
    <numFmt numFmtId="167" formatCode="0.00\ \ "/>
    <numFmt numFmtId="168" formatCode="#,##0.00000"/>
    <numFmt numFmtId="169" formatCode="_-* #,##0.000_-;\-* #,##0.000_-;_-* &quot;-&quot;??_-;_-@_-"/>
    <numFmt numFmtId="170" formatCode="_-* #,##0.000_-;\-* #,##0.000_-;_-* &quot;-&quot;???_-;_-@_-"/>
  </numFmts>
  <fonts count="2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1"/>
      <color theme="0"/>
      <name val="Segoe UI"/>
      <family val="2"/>
    </font>
    <font>
      <sz val="11"/>
      <name val="Segoe UI"/>
      <family val="2"/>
    </font>
    <font>
      <sz val="11.4"/>
      <name val="Segoe UI"/>
      <family val="2"/>
    </font>
    <font>
      <sz val="16"/>
      <name val="Segoe UI"/>
      <family val="2"/>
    </font>
    <font>
      <sz val="14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0"/>
      <color theme="0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rgb="FFFF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8" fillId="0" borderId="0" applyFont="0" applyFill="0" applyBorder="0" applyAlignment="0" applyProtection="0"/>
    <xf numFmtId="0" fontId="11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4" fillId="0" borderId="0" xfId="3" applyFont="1" applyAlignment="1">
      <alignment horizontal="center" vertical="center" wrapText="1"/>
    </xf>
    <xf numFmtId="44" fontId="15" fillId="0" borderId="0" xfId="1" applyFont="1"/>
    <xf numFmtId="0" fontId="15" fillId="0" borderId="0" xfId="2" applyFont="1"/>
    <xf numFmtId="4" fontId="16" fillId="0" borderId="0" xfId="2" applyNumberFormat="1" applyFont="1" applyAlignment="1">
      <alignment horizontal="left" vertical="center"/>
    </xf>
    <xf numFmtId="44" fontId="15" fillId="0" borderId="0" xfId="1" applyFont="1" applyBorder="1"/>
    <xf numFmtId="0" fontId="14" fillId="0" borderId="0" xfId="2" applyFont="1" applyAlignment="1">
      <alignment horizontal="center" vertical="center"/>
    </xf>
    <xf numFmtId="4" fontId="14" fillId="0" borderId="0" xfId="2" applyNumberFormat="1" applyFont="1" applyAlignment="1">
      <alignment horizontal="center" vertical="center"/>
    </xf>
    <xf numFmtId="166" fontId="12" fillId="4" borderId="4" xfId="4" applyNumberFormat="1" applyFont="1" applyFill="1" applyBorder="1" applyAlignment="1">
      <alignment horizontal="center" vertical="center" wrapText="1"/>
    </xf>
    <xf numFmtId="167" fontId="12" fillId="4" borderId="5" xfId="4" applyNumberFormat="1" applyFont="1" applyFill="1" applyBorder="1" applyAlignment="1">
      <alignment vertical="center" wrapText="1"/>
    </xf>
    <xf numFmtId="0" fontId="14" fillId="5" borderId="4" xfId="5" applyFont="1" applyFill="1" applyBorder="1" applyAlignment="1">
      <alignment horizontal="center" vertical="center" wrapText="1"/>
    </xf>
    <xf numFmtId="0" fontId="15" fillId="5" borderId="5" xfId="5" applyFont="1" applyFill="1" applyBorder="1" applyAlignment="1">
      <alignment horizontal="center" vertical="center" wrapText="1"/>
    </xf>
    <xf numFmtId="0" fontId="14" fillId="5" borderId="5" xfId="6" applyFont="1" applyFill="1" applyBorder="1" applyAlignment="1">
      <alignment horizontal="left" vertical="center" wrapText="1"/>
    </xf>
    <xf numFmtId="0" fontId="15" fillId="5" borderId="5" xfId="5" applyFont="1" applyFill="1" applyBorder="1" applyAlignment="1">
      <alignment horizontal="center" vertical="center"/>
    </xf>
    <xf numFmtId="165" fontId="15" fillId="5" borderId="5" xfId="5" applyNumberFormat="1" applyFont="1" applyFill="1" applyBorder="1" applyAlignment="1">
      <alignment horizontal="right" vertical="center"/>
    </xf>
    <xf numFmtId="0" fontId="15" fillId="5" borderId="4" xfId="5" applyFont="1" applyFill="1" applyBorder="1" applyAlignment="1">
      <alignment horizontal="center" vertical="center" wrapText="1"/>
    </xf>
    <xf numFmtId="0" fontId="15" fillId="5" borderId="5" xfId="6" applyFont="1" applyFill="1" applyBorder="1" applyAlignment="1">
      <alignment horizontal="left" vertical="center" wrapText="1"/>
    </xf>
    <xf numFmtId="0" fontId="14" fillId="5" borderId="5" xfId="5" applyFont="1" applyFill="1" applyBorder="1" applyAlignment="1">
      <alignment horizontal="center" vertical="center" wrapText="1"/>
    </xf>
    <xf numFmtId="0" fontId="14" fillId="5" borderId="5" xfId="5" applyFont="1" applyFill="1" applyBorder="1" applyAlignment="1">
      <alignment horizontal="center" vertical="center"/>
    </xf>
    <xf numFmtId="165" fontId="14" fillId="5" borderId="5" xfId="5" applyNumberFormat="1" applyFont="1" applyFill="1" applyBorder="1" applyAlignment="1">
      <alignment horizontal="right" vertical="center"/>
    </xf>
    <xf numFmtId="0" fontId="15" fillId="5" borderId="5" xfId="5" quotePrefix="1" applyFont="1" applyFill="1" applyBorder="1" applyAlignment="1">
      <alignment horizontal="center" vertical="center" wrapText="1"/>
    </xf>
    <xf numFmtId="168" fontId="14" fillId="0" borderId="0" xfId="2" applyNumberFormat="1" applyFont="1" applyAlignment="1">
      <alignment horizontal="center" vertical="center"/>
    </xf>
    <xf numFmtId="4" fontId="15" fillId="0" borderId="0" xfId="2" applyNumberFormat="1" applyFont="1"/>
    <xf numFmtId="49" fontId="15" fillId="0" borderId="0" xfId="2" applyNumberFormat="1" applyFont="1" applyAlignment="1">
      <alignment vertical="center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4" fontId="15" fillId="0" borderId="0" xfId="2" applyNumberFormat="1" applyFont="1" applyAlignment="1">
      <alignment vertical="center"/>
    </xf>
    <xf numFmtId="0" fontId="17" fillId="0" borderId="2" xfId="0" applyFont="1" applyBorder="1" applyAlignment="1">
      <alignment horizontal="center"/>
    </xf>
    <xf numFmtId="0" fontId="10" fillId="0" borderId="0" xfId="0" applyFont="1"/>
    <xf numFmtId="0" fontId="18" fillId="0" borderId="1" xfId="0" applyFont="1" applyBorder="1" applyAlignment="1">
      <alignment horizontal="left" vertical="center"/>
    </xf>
    <xf numFmtId="169" fontId="18" fillId="0" borderId="1" xfId="7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69" fontId="4" fillId="0" borderId="1" xfId="7" applyNumberFormat="1" applyFont="1" applyBorder="1"/>
    <xf numFmtId="0" fontId="4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169" fontId="18" fillId="0" borderId="1" xfId="7" applyNumberFormat="1" applyFont="1" applyBorder="1"/>
    <xf numFmtId="0" fontId="1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169" fontId="18" fillId="0" borderId="1" xfId="7" applyNumberFormat="1" applyFont="1" applyFill="1" applyBorder="1"/>
    <xf numFmtId="0" fontId="18" fillId="0" borderId="1" xfId="0" quotePrefix="1" applyFont="1" applyBorder="1" applyAlignment="1">
      <alignment horizontal="center"/>
    </xf>
    <xf numFmtId="0" fontId="18" fillId="0" borderId="1" xfId="0" applyFont="1" applyBorder="1" applyAlignment="1">
      <alignment horizontal="left" wrapText="1"/>
    </xf>
    <xf numFmtId="0" fontId="19" fillId="7" borderId="0" xfId="0" applyFont="1" applyFill="1"/>
    <xf numFmtId="0" fontId="19" fillId="7" borderId="0" xfId="0" applyFont="1" applyFill="1" applyAlignment="1">
      <alignment horizontal="center"/>
    </xf>
    <xf numFmtId="0" fontId="19" fillId="0" borderId="1" xfId="0" applyFont="1" applyBorder="1" applyAlignment="1">
      <alignment horizontal="left"/>
    </xf>
    <xf numFmtId="169" fontId="19" fillId="0" borderId="1" xfId="7" applyNumberFormat="1" applyFont="1" applyBorder="1"/>
    <xf numFmtId="0" fontId="19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wrapText="1"/>
    </xf>
    <xf numFmtId="0" fontId="19" fillId="7" borderId="0" xfId="0" applyFont="1" applyFill="1" applyAlignment="1">
      <alignment horizontal="left"/>
    </xf>
    <xf numFmtId="169" fontId="19" fillId="7" borderId="0" xfId="7" applyNumberFormat="1" applyFont="1" applyFill="1" applyBorder="1"/>
    <xf numFmtId="169" fontId="19" fillId="0" borderId="1" xfId="7" applyNumberFormat="1" applyFont="1" applyBorder="1" applyAlignment="1">
      <alignment horizontal="right" vertical="center"/>
    </xf>
    <xf numFmtId="169" fontId="19" fillId="0" borderId="1" xfId="7" applyNumberFormat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70" fontId="10" fillId="0" borderId="0" xfId="0" applyNumberFormat="1" applyFont="1"/>
    <xf numFmtId="0" fontId="10" fillId="7" borderId="0" xfId="0" applyFont="1" applyFill="1"/>
    <xf numFmtId="169" fontId="18" fillId="0" borderId="1" xfId="7" applyNumberFormat="1" applyFont="1" applyBorder="1" applyAlignment="1">
      <alignment horizontal="right" vertical="center"/>
    </xf>
    <xf numFmtId="169" fontId="19" fillId="0" borderId="1" xfId="7" applyNumberFormat="1" applyFont="1" applyFill="1" applyBorder="1"/>
    <xf numFmtId="0" fontId="10" fillId="0" borderId="1" xfId="0" applyFont="1" applyBorder="1" applyAlignment="1">
      <alignment horizontal="left"/>
    </xf>
    <xf numFmtId="169" fontId="10" fillId="0" borderId="1" xfId="7" applyNumberFormat="1" applyFont="1" applyFill="1" applyBorder="1"/>
    <xf numFmtId="0" fontId="10" fillId="0" borderId="1" xfId="0" applyFont="1" applyBorder="1" applyAlignment="1">
      <alignment horizontal="center"/>
    </xf>
    <xf numFmtId="169" fontId="10" fillId="0" borderId="1" xfId="7" applyNumberFormat="1" applyFont="1" applyBorder="1"/>
    <xf numFmtId="0" fontId="22" fillId="0" borderId="1" xfId="0" applyFont="1" applyBorder="1" applyAlignment="1">
      <alignment horizontal="left"/>
    </xf>
    <xf numFmtId="169" fontId="19" fillId="0" borderId="1" xfId="7" applyNumberFormat="1" applyFont="1" applyFill="1" applyBorder="1" applyAlignment="1">
      <alignment horizontal="right" vertical="center"/>
    </xf>
    <xf numFmtId="0" fontId="23" fillId="0" borderId="0" xfId="0" applyFont="1"/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/>
    </xf>
    <xf numFmtId="0" fontId="19" fillId="0" borderId="1" xfId="0" applyFont="1" applyBorder="1" applyAlignment="1">
      <alignment horizontal="left" vertical="center"/>
    </xf>
    <xf numFmtId="169" fontId="19" fillId="0" borderId="1" xfId="7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/>
    </xf>
    <xf numFmtId="0" fontId="19" fillId="0" borderId="0" xfId="0" applyFont="1" applyAlignment="1">
      <alignment horizontal="left"/>
    </xf>
    <xf numFmtId="169" fontId="19" fillId="0" borderId="0" xfId="7" applyNumberFormat="1" applyFont="1" applyBorder="1"/>
    <xf numFmtId="0" fontId="19" fillId="0" borderId="0" xfId="0" applyFont="1" applyAlignment="1">
      <alignment horizontal="center"/>
    </xf>
    <xf numFmtId="10" fontId="19" fillId="0" borderId="1" xfId="8" applyNumberFormat="1" applyFont="1" applyBorder="1"/>
    <xf numFmtId="0" fontId="4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49" fontId="12" fillId="4" borderId="3" xfId="2" applyNumberFormat="1" applyFont="1" applyFill="1" applyBorder="1" applyAlignment="1">
      <alignment horizontal="center" vertical="center"/>
    </xf>
    <xf numFmtId="165" fontId="12" fillId="4" borderId="3" xfId="2" applyNumberFormat="1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/>
    </xf>
    <xf numFmtId="0" fontId="20" fillId="6" borderId="7" xfId="0" applyFont="1" applyFill="1" applyBorder="1" applyAlignment="1">
      <alignment horizontal="left"/>
    </xf>
    <xf numFmtId="0" fontId="20" fillId="6" borderId="8" xfId="0" applyFont="1" applyFill="1" applyBorder="1" applyAlignment="1">
      <alignment horizontal="left"/>
    </xf>
    <xf numFmtId="0" fontId="17" fillId="0" borderId="2" xfId="0" applyFont="1" applyBorder="1" applyAlignment="1">
      <alignment horizontal="center"/>
    </xf>
    <xf numFmtId="0" fontId="9" fillId="6" borderId="6" xfId="0" applyFont="1" applyFill="1" applyBorder="1" applyAlignment="1">
      <alignment horizontal="left"/>
    </xf>
    <xf numFmtId="0" fontId="9" fillId="6" borderId="7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left"/>
    </xf>
  </cellXfs>
  <cellStyles count="9">
    <cellStyle name="Moeda" xfId="1" builtinId="4"/>
    <cellStyle name="Normal" xfId="0" builtinId="0"/>
    <cellStyle name="Normal 11" xfId="2" xr:uid="{3FBD206C-78F1-4D52-A33B-0E2D70A2FD4F}"/>
    <cellStyle name="Normal 11 10" xfId="4" xr:uid="{B4A4DE06-BA2D-4E21-87A2-DC3D6150B7CC}"/>
    <cellStyle name="Normal 11 6 2" xfId="5" xr:uid="{F0475766-E938-4006-A15A-6CC5AD5AF210}"/>
    <cellStyle name="Normal_Mirassol" xfId="3" xr:uid="{11E15145-DE6C-44C2-8C0C-53A13CD4D9F8}"/>
    <cellStyle name="Normal_QQ Sinalização - JuizS1 2" xfId="6" xr:uid="{3FCEC95B-F5AC-47B4-A540-1F983FBFE7E8}"/>
    <cellStyle name="Porcentagem" xfId="8" builtinId="5"/>
    <cellStyle name="Vírgula 2" xfId="7" xr:uid="{9F3F43CA-1B28-4F20-B844-5E6E986237CE}"/>
  </cellStyles>
  <dxfs count="0"/>
  <tableStyles count="0" defaultTableStyle="TableStyleMedium2" defaultPivotStyle="PivotStyleLight16"/>
  <colors>
    <mruColors>
      <color rgb="FF00FFFF"/>
      <color rgb="FF00FF00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53AF-3658-4304-995D-0DFB3AFC775A}">
  <dimension ref="A1:L41"/>
  <sheetViews>
    <sheetView zoomScaleNormal="100" workbookViewId="0">
      <selection activeCell="J16" sqref="J16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15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/>
      <c r="C4" s="6">
        <f>G4*H4</f>
        <v>0</v>
      </c>
      <c r="D4" s="6"/>
      <c r="E4" s="6">
        <f>D4*C4</f>
        <v>0</v>
      </c>
      <c r="G4" s="3"/>
      <c r="H4" s="3"/>
    </row>
    <row r="5" spans="1:12" ht="24" customHeight="1" x14ac:dyDescent="0.25">
      <c r="A5" s="4">
        <v>2</v>
      </c>
      <c r="B5" s="5"/>
      <c r="C5" s="6">
        <f t="shared" ref="C5:C13" si="0">G5*H5</f>
        <v>0</v>
      </c>
      <c r="D5" s="6"/>
      <c r="E5" s="6">
        <f t="shared" ref="E5:E23" si="1">D5*C5</f>
        <v>0</v>
      </c>
      <c r="G5" s="3"/>
      <c r="H5" s="3"/>
    </row>
    <row r="6" spans="1:12" ht="24" customHeight="1" x14ac:dyDescent="0.25">
      <c r="A6" s="4">
        <v>3</v>
      </c>
      <c r="B6" s="5"/>
      <c r="C6" s="6">
        <f t="shared" si="0"/>
        <v>0</v>
      </c>
      <c r="D6" s="6"/>
      <c r="E6" s="6">
        <f>D6*C6</f>
        <v>0</v>
      </c>
      <c r="G6" s="3"/>
      <c r="H6" s="3"/>
    </row>
    <row r="7" spans="1:12" ht="24" customHeight="1" x14ac:dyDescent="0.25">
      <c r="A7" s="4">
        <v>4</v>
      </c>
      <c r="B7" s="5"/>
      <c r="C7" s="6">
        <f t="shared" si="0"/>
        <v>0</v>
      </c>
      <c r="D7" s="6"/>
      <c r="E7" s="6">
        <f t="shared" si="1"/>
        <v>0</v>
      </c>
      <c r="G7" s="3"/>
      <c r="H7" s="3"/>
    </row>
    <row r="8" spans="1:12" ht="24" customHeight="1" x14ac:dyDescent="0.25">
      <c r="A8" s="4">
        <v>5</v>
      </c>
      <c r="B8" s="5"/>
      <c r="C8" s="6">
        <f t="shared" si="0"/>
        <v>0</v>
      </c>
      <c r="D8" s="6"/>
      <c r="E8" s="6">
        <f t="shared" si="1"/>
        <v>0</v>
      </c>
      <c r="G8" s="3"/>
      <c r="H8" s="3"/>
    </row>
    <row r="9" spans="1:12" ht="24" customHeight="1" x14ac:dyDescent="0.25">
      <c r="A9" s="4">
        <v>6</v>
      </c>
      <c r="B9" s="5"/>
      <c r="C9" s="6">
        <f t="shared" si="0"/>
        <v>0</v>
      </c>
      <c r="D9" s="6"/>
      <c r="E9" s="6">
        <f t="shared" si="1"/>
        <v>0</v>
      </c>
      <c r="G9" s="3"/>
      <c r="H9" s="3"/>
    </row>
    <row r="10" spans="1:12" ht="24" customHeight="1" x14ac:dyDescent="0.25">
      <c r="A10" s="4">
        <v>7</v>
      </c>
      <c r="B10" s="5"/>
      <c r="C10" s="6">
        <f t="shared" si="0"/>
        <v>0</v>
      </c>
      <c r="D10" s="6"/>
      <c r="E10" s="6">
        <f t="shared" si="1"/>
        <v>0</v>
      </c>
      <c r="G10" s="3"/>
      <c r="H10" s="3"/>
    </row>
    <row r="11" spans="1:12" ht="24" customHeight="1" x14ac:dyDescent="0.25">
      <c r="A11" s="4">
        <v>8</v>
      </c>
      <c r="B11" s="5"/>
      <c r="C11" s="6">
        <f t="shared" si="0"/>
        <v>0</v>
      </c>
      <c r="D11" s="6"/>
      <c r="E11" s="6">
        <f t="shared" si="1"/>
        <v>0</v>
      </c>
      <c r="G11" s="3"/>
      <c r="H11" s="3"/>
    </row>
    <row r="12" spans="1:12" ht="24" customHeight="1" x14ac:dyDescent="0.25">
      <c r="A12" s="4">
        <v>9</v>
      </c>
      <c r="B12" s="5"/>
      <c r="C12" s="6">
        <f t="shared" si="0"/>
        <v>0</v>
      </c>
      <c r="D12" s="6"/>
      <c r="E12" s="6">
        <f t="shared" si="1"/>
        <v>0</v>
      </c>
      <c r="G12" s="3"/>
      <c r="H12" s="3"/>
    </row>
    <row r="13" spans="1:12" ht="24" customHeight="1" x14ac:dyDescent="0.25">
      <c r="A13" s="4">
        <v>10</v>
      </c>
      <c r="B13" s="5"/>
      <c r="C13" s="6">
        <f t="shared" si="0"/>
        <v>0</v>
      </c>
      <c r="D13" s="6"/>
      <c r="E13" s="6">
        <f t="shared" si="1"/>
        <v>0</v>
      </c>
      <c r="G13" s="3"/>
      <c r="H13" s="3"/>
      <c r="L13" s="1" t="s">
        <v>11</v>
      </c>
    </row>
    <row r="14" spans="1:12" ht="24" customHeight="1" x14ac:dyDescent="0.25">
      <c r="A14" s="4">
        <v>11</v>
      </c>
      <c r="B14" s="5"/>
      <c r="C14" s="6"/>
      <c r="D14" s="6"/>
      <c r="E14" s="6">
        <f t="shared" si="1"/>
        <v>0</v>
      </c>
    </row>
    <row r="15" spans="1:12" ht="24" customHeight="1" x14ac:dyDescent="0.25">
      <c r="A15" s="4">
        <v>12</v>
      </c>
      <c r="B15" s="5"/>
      <c r="C15" s="6"/>
      <c r="D15" s="6"/>
      <c r="E15" s="6">
        <f t="shared" si="1"/>
        <v>0</v>
      </c>
    </row>
    <row r="16" spans="1:12" ht="24" customHeight="1" x14ac:dyDescent="0.25">
      <c r="A16" s="4">
        <v>13</v>
      </c>
      <c r="B16" s="5"/>
      <c r="C16" s="6"/>
      <c r="D16" s="6"/>
      <c r="E16" s="6">
        <f t="shared" si="1"/>
        <v>0</v>
      </c>
      <c r="H16" s="1" t="s">
        <v>11</v>
      </c>
    </row>
    <row r="17" spans="1:5" ht="24" customHeight="1" x14ac:dyDescent="0.25">
      <c r="A17" s="4">
        <v>14</v>
      </c>
      <c r="B17" s="5"/>
      <c r="C17" s="6"/>
      <c r="D17" s="6"/>
      <c r="E17" s="6">
        <f t="shared" si="1"/>
        <v>0</v>
      </c>
    </row>
    <row r="18" spans="1:5" ht="24" customHeight="1" x14ac:dyDescent="0.25">
      <c r="A18" s="4">
        <v>15</v>
      </c>
      <c r="B18" s="5"/>
      <c r="C18" s="6"/>
      <c r="D18" s="6"/>
      <c r="E18" s="6">
        <f t="shared" si="1"/>
        <v>0</v>
      </c>
    </row>
    <row r="19" spans="1:5" ht="24" customHeight="1" x14ac:dyDescent="0.25">
      <c r="A19" s="4">
        <v>16</v>
      </c>
      <c r="B19" s="5"/>
      <c r="C19" s="6"/>
      <c r="D19" s="6"/>
      <c r="E19" s="6">
        <f t="shared" si="1"/>
        <v>0</v>
      </c>
    </row>
    <row r="20" spans="1:5" ht="24" customHeight="1" x14ac:dyDescent="0.25">
      <c r="A20" s="4">
        <v>17</v>
      </c>
      <c r="B20" s="5"/>
      <c r="C20" s="6"/>
      <c r="D20" s="6"/>
      <c r="E20" s="6">
        <f t="shared" si="1"/>
        <v>0</v>
      </c>
    </row>
    <row r="21" spans="1:5" ht="24" customHeight="1" x14ac:dyDescent="0.25">
      <c r="A21" s="4">
        <v>18</v>
      </c>
      <c r="B21" s="5"/>
      <c r="C21" s="6"/>
      <c r="D21" s="6"/>
      <c r="E21" s="6">
        <f t="shared" si="1"/>
        <v>0</v>
      </c>
    </row>
    <row r="22" spans="1:5" ht="24" customHeight="1" x14ac:dyDescent="0.25">
      <c r="A22" s="4">
        <v>19</v>
      </c>
      <c r="B22" s="5"/>
      <c r="C22" s="6"/>
      <c r="D22" s="6"/>
      <c r="E22" s="6">
        <f t="shared" si="1"/>
        <v>0</v>
      </c>
    </row>
    <row r="23" spans="1:5" ht="24" customHeight="1" x14ac:dyDescent="0.25">
      <c r="A23" s="4">
        <v>20</v>
      </c>
      <c r="B23" s="5"/>
      <c r="C23" s="6"/>
      <c r="D23" s="6"/>
      <c r="E23" s="6">
        <f t="shared" si="1"/>
        <v>0</v>
      </c>
    </row>
    <row r="24" spans="1:5" ht="24" customHeight="1" x14ac:dyDescent="0.25">
      <c r="A24" s="87" t="s">
        <v>8</v>
      </c>
      <c r="B24" s="87"/>
      <c r="C24" s="87"/>
      <c r="D24" s="87"/>
      <c r="E24" s="87"/>
    </row>
    <row r="25" spans="1:5" ht="24" customHeight="1" x14ac:dyDescent="0.25">
      <c r="A25" s="87"/>
      <c r="B25" s="87"/>
      <c r="C25" s="87"/>
      <c r="D25" s="87"/>
      <c r="E25" s="87"/>
    </row>
    <row r="26" spans="1:5" ht="24" customHeight="1" x14ac:dyDescent="0.25">
      <c r="A26" s="87"/>
      <c r="B26" s="87"/>
      <c r="C26" s="87"/>
      <c r="D26" s="87"/>
      <c r="E26" s="87"/>
    </row>
    <row r="27" spans="1:5" ht="24" customHeight="1" x14ac:dyDescent="0.25">
      <c r="A27" s="88" t="s">
        <v>9</v>
      </c>
      <c r="B27" s="88"/>
      <c r="C27" s="88"/>
      <c r="D27" s="88"/>
      <c r="E27" s="88"/>
    </row>
    <row r="28" spans="1:5" ht="24" customHeight="1" x14ac:dyDescent="0.25">
      <c r="A28" s="88"/>
      <c r="B28" s="88"/>
      <c r="C28" s="88"/>
      <c r="D28" s="88"/>
      <c r="E28" s="88"/>
    </row>
    <row r="29" spans="1:5" ht="24" customHeight="1" x14ac:dyDescent="0.25">
      <c r="A29" s="4" t="s">
        <v>1</v>
      </c>
      <c r="B29" s="86" t="s">
        <v>10</v>
      </c>
      <c r="C29" s="86"/>
      <c r="D29" s="4" t="s">
        <v>4</v>
      </c>
      <c r="E29" s="4" t="s">
        <v>3</v>
      </c>
    </row>
    <row r="30" spans="1:5" ht="24" customHeight="1" x14ac:dyDescent="0.25">
      <c r="A30" s="7">
        <v>5</v>
      </c>
      <c r="B30" s="85">
        <f t="shared" ref="B30:B39" si="2">SUMIFS($E$4:$E$23,$B$4:$B$23,A30)</f>
        <v>0</v>
      </c>
      <c r="C30" s="85"/>
      <c r="D30" s="4">
        <v>0.154</v>
      </c>
      <c r="E30" s="6">
        <f t="shared" ref="E30:E39" si="3">ROUND(D30*B30/100,0)</f>
        <v>0</v>
      </c>
    </row>
    <row r="31" spans="1:5" ht="24" customHeight="1" x14ac:dyDescent="0.25">
      <c r="A31" s="7">
        <v>6.3</v>
      </c>
      <c r="B31" s="85">
        <f t="shared" si="2"/>
        <v>0</v>
      </c>
      <c r="C31" s="85"/>
      <c r="D31" s="4">
        <v>0.245</v>
      </c>
      <c r="E31" s="6">
        <f t="shared" si="3"/>
        <v>0</v>
      </c>
    </row>
    <row r="32" spans="1:5" ht="24" customHeight="1" x14ac:dyDescent="0.25">
      <c r="A32" s="7">
        <v>8</v>
      </c>
      <c r="B32" s="85">
        <f t="shared" si="2"/>
        <v>0</v>
      </c>
      <c r="C32" s="85"/>
      <c r="D32" s="4">
        <v>0.39500000000000002</v>
      </c>
      <c r="E32" s="6">
        <f t="shared" si="3"/>
        <v>0</v>
      </c>
    </row>
    <row r="33" spans="1:5" ht="24" customHeight="1" x14ac:dyDescent="0.25">
      <c r="A33" s="7">
        <v>10</v>
      </c>
      <c r="B33" s="85">
        <f t="shared" si="2"/>
        <v>0</v>
      </c>
      <c r="C33" s="85"/>
      <c r="D33" s="4">
        <v>0.61699999999999999</v>
      </c>
      <c r="E33" s="6">
        <f t="shared" si="3"/>
        <v>0</v>
      </c>
    </row>
    <row r="34" spans="1:5" ht="24" customHeight="1" x14ac:dyDescent="0.25">
      <c r="A34" s="7">
        <v>12.5</v>
      </c>
      <c r="B34" s="85">
        <f t="shared" si="2"/>
        <v>0</v>
      </c>
      <c r="C34" s="85"/>
      <c r="D34" s="4">
        <v>0.96299999999999997</v>
      </c>
      <c r="E34" s="6">
        <f t="shared" si="3"/>
        <v>0</v>
      </c>
    </row>
    <row r="35" spans="1:5" ht="24" customHeight="1" x14ac:dyDescent="0.25">
      <c r="A35" s="7">
        <v>16</v>
      </c>
      <c r="B35" s="85">
        <f t="shared" si="2"/>
        <v>0</v>
      </c>
      <c r="C35" s="85"/>
      <c r="D35" s="4">
        <v>1.5780000000000001</v>
      </c>
      <c r="E35" s="6">
        <f t="shared" si="3"/>
        <v>0</v>
      </c>
    </row>
    <row r="36" spans="1:5" ht="24" customHeight="1" x14ac:dyDescent="0.25">
      <c r="A36" s="7">
        <v>20</v>
      </c>
      <c r="B36" s="85">
        <f t="shared" si="2"/>
        <v>0</v>
      </c>
      <c r="C36" s="85"/>
      <c r="D36" s="4">
        <v>2.4660000000000002</v>
      </c>
      <c r="E36" s="6">
        <f t="shared" si="3"/>
        <v>0</v>
      </c>
    </row>
    <row r="37" spans="1:5" ht="24" customHeight="1" x14ac:dyDescent="0.25">
      <c r="A37" s="7">
        <v>25</v>
      </c>
      <c r="B37" s="85">
        <f t="shared" si="2"/>
        <v>0</v>
      </c>
      <c r="C37" s="85"/>
      <c r="D37" s="4">
        <v>3.8530000000000002</v>
      </c>
      <c r="E37" s="6">
        <f t="shared" si="3"/>
        <v>0</v>
      </c>
    </row>
    <row r="38" spans="1:5" ht="24" customHeight="1" x14ac:dyDescent="0.25">
      <c r="A38" s="7">
        <v>32</v>
      </c>
      <c r="B38" s="85">
        <f t="shared" si="2"/>
        <v>0</v>
      </c>
      <c r="C38" s="85"/>
      <c r="D38" s="4">
        <v>6.3129999999999997</v>
      </c>
      <c r="E38" s="6">
        <f t="shared" si="3"/>
        <v>0</v>
      </c>
    </row>
    <row r="39" spans="1:5" ht="24" customHeight="1" x14ac:dyDescent="0.25">
      <c r="A39" s="7">
        <v>40</v>
      </c>
      <c r="B39" s="85">
        <f t="shared" si="2"/>
        <v>0</v>
      </c>
      <c r="C39" s="85"/>
      <c r="D39" s="4">
        <v>9.8650000000000002</v>
      </c>
      <c r="E39" s="6">
        <f t="shared" si="3"/>
        <v>0</v>
      </c>
    </row>
    <row r="40" spans="1:5" ht="24" customHeight="1" x14ac:dyDescent="0.25">
      <c r="A40" s="86" t="s">
        <v>12</v>
      </c>
      <c r="B40" s="86"/>
      <c r="C40" s="86"/>
      <c r="D40" s="86"/>
      <c r="E40" s="6">
        <f>SUM(E30:E39)</f>
        <v>0</v>
      </c>
    </row>
    <row r="41" spans="1:5" ht="30" customHeight="1" x14ac:dyDescent="0.25">
      <c r="A41" s="2"/>
      <c r="B41" s="2"/>
      <c r="C41" s="2"/>
      <c r="D41" s="2"/>
      <c r="E41" s="2"/>
    </row>
  </sheetData>
  <mergeCells count="19">
    <mergeCell ref="A40:D40"/>
    <mergeCell ref="B34:C34"/>
    <mergeCell ref="B35:C35"/>
    <mergeCell ref="B36:C36"/>
    <mergeCell ref="B37:C37"/>
    <mergeCell ref="B38:C38"/>
    <mergeCell ref="B39:C39"/>
    <mergeCell ref="A1:E1"/>
    <mergeCell ref="B33:C33"/>
    <mergeCell ref="A2:A3"/>
    <mergeCell ref="B2:B3"/>
    <mergeCell ref="C2:C3"/>
    <mergeCell ref="D2:E2"/>
    <mergeCell ref="A24:E26"/>
    <mergeCell ref="A27:E28"/>
    <mergeCell ref="B29:C29"/>
    <mergeCell ref="B30:C30"/>
    <mergeCell ref="B31:C31"/>
    <mergeCell ref="B32:C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4CAA-5FD6-474A-9962-7CA3204311B8}">
  <sheetPr>
    <tabColor rgb="FF7030A0"/>
    <pageSetUpPr fitToPage="1"/>
  </sheetPr>
  <dimension ref="A1:AL130"/>
  <sheetViews>
    <sheetView tabSelected="1" topLeftCell="A114" zoomScaleNormal="100" zoomScaleSheetLayoutView="85" workbookViewId="0">
      <selection activeCell="D133" sqref="D133"/>
    </sheetView>
  </sheetViews>
  <sheetFormatPr defaultRowHeight="12.75" x14ac:dyDescent="0.2"/>
  <cols>
    <col min="1" max="1" width="7.140625" style="32" customWidth="1"/>
    <col min="2" max="2" width="9.28515625" style="32" customWidth="1"/>
    <col min="3" max="3" width="47" style="33" customWidth="1"/>
    <col min="4" max="4" width="6.7109375" style="34" customWidth="1"/>
    <col min="5" max="5" width="10.85546875" style="35" customWidth="1"/>
    <col min="6" max="6" width="14.28515625" style="31" customWidth="1"/>
    <col min="7" max="7" width="24.5703125" style="11" bestFit="1" customWidth="1"/>
    <col min="8" max="8" width="35.42578125" style="11" customWidth="1"/>
    <col min="9" max="38" width="26.85546875" style="11" customWidth="1"/>
    <col min="39" max="185" width="9.140625" style="12"/>
    <col min="186" max="186" width="15.28515625" style="12" customWidth="1"/>
    <col min="187" max="187" width="48.7109375" style="12" bestFit="1" customWidth="1"/>
    <col min="188" max="188" width="20.28515625" style="12" customWidth="1"/>
    <col min="189" max="189" width="6.85546875" style="12" customWidth="1"/>
    <col min="190" max="190" width="13" style="12" customWidth="1"/>
    <col min="191" max="191" width="11" style="12" customWidth="1"/>
    <col min="192" max="192" width="15.7109375" style="12" bestFit="1" customWidth="1"/>
    <col min="193" max="193" width="11" style="12" customWidth="1"/>
    <col min="194" max="194" width="13" style="12" customWidth="1"/>
    <col min="195" max="195" width="8.140625" style="12" customWidth="1"/>
    <col min="196" max="196" width="14.5703125" style="12" customWidth="1"/>
    <col min="197" max="197" width="15" style="12" customWidth="1"/>
    <col min="198" max="199" width="11.42578125" style="12" customWidth="1"/>
    <col min="200" max="200" width="12.5703125" style="12" customWidth="1"/>
    <col min="201" max="441" width="9.140625" style="12"/>
    <col min="442" max="442" width="15.28515625" style="12" customWidth="1"/>
    <col min="443" max="443" width="48.7109375" style="12" bestFit="1" customWidth="1"/>
    <col min="444" max="444" width="20.28515625" style="12" customWidth="1"/>
    <col min="445" max="445" width="6.85546875" style="12" customWidth="1"/>
    <col min="446" max="446" width="13" style="12" customWidth="1"/>
    <col min="447" max="447" width="11" style="12" customWidth="1"/>
    <col min="448" max="448" width="15.7109375" style="12" bestFit="1" customWidth="1"/>
    <col min="449" max="449" width="11" style="12" customWidth="1"/>
    <col min="450" max="450" width="13" style="12" customWidth="1"/>
    <col min="451" max="451" width="8.140625" style="12" customWidth="1"/>
    <col min="452" max="452" width="14.5703125" style="12" customWidth="1"/>
    <col min="453" max="453" width="15" style="12" customWidth="1"/>
    <col min="454" max="455" width="11.42578125" style="12" customWidth="1"/>
    <col min="456" max="456" width="12.5703125" style="12" customWidth="1"/>
    <col min="457" max="697" width="9.140625" style="12"/>
    <col min="698" max="698" width="15.28515625" style="12" customWidth="1"/>
    <col min="699" max="699" width="48.7109375" style="12" bestFit="1" customWidth="1"/>
    <col min="700" max="700" width="20.28515625" style="12" customWidth="1"/>
    <col min="701" max="701" width="6.85546875" style="12" customWidth="1"/>
    <col min="702" max="702" width="13" style="12" customWidth="1"/>
    <col min="703" max="703" width="11" style="12" customWidth="1"/>
    <col min="704" max="704" width="15.7109375" style="12" bestFit="1" customWidth="1"/>
    <col min="705" max="705" width="11" style="12" customWidth="1"/>
    <col min="706" max="706" width="13" style="12" customWidth="1"/>
    <col min="707" max="707" width="8.140625" style="12" customWidth="1"/>
    <col min="708" max="708" width="14.5703125" style="12" customWidth="1"/>
    <col min="709" max="709" width="15" style="12" customWidth="1"/>
    <col min="710" max="711" width="11.42578125" style="12" customWidth="1"/>
    <col min="712" max="712" width="12.5703125" style="12" customWidth="1"/>
    <col min="713" max="953" width="9.140625" style="12"/>
    <col min="954" max="954" width="15.28515625" style="12" customWidth="1"/>
    <col min="955" max="955" width="48.7109375" style="12" bestFit="1" customWidth="1"/>
    <col min="956" max="956" width="20.28515625" style="12" customWidth="1"/>
    <col min="957" max="957" width="6.85546875" style="12" customWidth="1"/>
    <col min="958" max="958" width="13" style="12" customWidth="1"/>
    <col min="959" max="959" width="11" style="12" customWidth="1"/>
    <col min="960" max="960" width="15.7109375" style="12" bestFit="1" customWidth="1"/>
    <col min="961" max="961" width="11" style="12" customWidth="1"/>
    <col min="962" max="962" width="13" style="12" customWidth="1"/>
    <col min="963" max="963" width="8.140625" style="12" customWidth="1"/>
    <col min="964" max="964" width="14.5703125" style="12" customWidth="1"/>
    <col min="965" max="965" width="15" style="12" customWidth="1"/>
    <col min="966" max="967" width="11.42578125" style="12" customWidth="1"/>
    <col min="968" max="968" width="12.5703125" style="12" customWidth="1"/>
    <col min="969" max="1209" width="9.140625" style="12"/>
    <col min="1210" max="1210" width="15.28515625" style="12" customWidth="1"/>
    <col min="1211" max="1211" width="48.7109375" style="12" bestFit="1" customWidth="1"/>
    <col min="1212" max="1212" width="20.28515625" style="12" customWidth="1"/>
    <col min="1213" max="1213" width="6.85546875" style="12" customWidth="1"/>
    <col min="1214" max="1214" width="13" style="12" customWidth="1"/>
    <col min="1215" max="1215" width="11" style="12" customWidth="1"/>
    <col min="1216" max="1216" width="15.7109375" style="12" bestFit="1" customWidth="1"/>
    <col min="1217" max="1217" width="11" style="12" customWidth="1"/>
    <col min="1218" max="1218" width="13" style="12" customWidth="1"/>
    <col min="1219" max="1219" width="8.140625" style="12" customWidth="1"/>
    <col min="1220" max="1220" width="14.5703125" style="12" customWidth="1"/>
    <col min="1221" max="1221" width="15" style="12" customWidth="1"/>
    <col min="1222" max="1223" width="11.42578125" style="12" customWidth="1"/>
    <col min="1224" max="1224" width="12.5703125" style="12" customWidth="1"/>
    <col min="1225" max="1465" width="9.140625" style="12"/>
    <col min="1466" max="1466" width="15.28515625" style="12" customWidth="1"/>
    <col min="1467" max="1467" width="48.7109375" style="12" bestFit="1" customWidth="1"/>
    <col min="1468" max="1468" width="20.28515625" style="12" customWidth="1"/>
    <col min="1469" max="1469" width="6.85546875" style="12" customWidth="1"/>
    <col min="1470" max="1470" width="13" style="12" customWidth="1"/>
    <col min="1471" max="1471" width="11" style="12" customWidth="1"/>
    <col min="1472" max="1472" width="15.7109375" style="12" bestFit="1" customWidth="1"/>
    <col min="1473" max="1473" width="11" style="12" customWidth="1"/>
    <col min="1474" max="1474" width="13" style="12" customWidth="1"/>
    <col min="1475" max="1475" width="8.140625" style="12" customWidth="1"/>
    <col min="1476" max="1476" width="14.5703125" style="12" customWidth="1"/>
    <col min="1477" max="1477" width="15" style="12" customWidth="1"/>
    <col min="1478" max="1479" width="11.42578125" style="12" customWidth="1"/>
    <col min="1480" max="1480" width="12.5703125" style="12" customWidth="1"/>
    <col min="1481" max="1721" width="9.140625" style="12"/>
    <col min="1722" max="1722" width="15.28515625" style="12" customWidth="1"/>
    <col min="1723" max="1723" width="48.7109375" style="12" bestFit="1" customWidth="1"/>
    <col min="1724" max="1724" width="20.28515625" style="12" customWidth="1"/>
    <col min="1725" max="1725" width="6.85546875" style="12" customWidth="1"/>
    <col min="1726" max="1726" width="13" style="12" customWidth="1"/>
    <col min="1727" max="1727" width="11" style="12" customWidth="1"/>
    <col min="1728" max="1728" width="15.7109375" style="12" bestFit="1" customWidth="1"/>
    <col min="1729" max="1729" width="11" style="12" customWidth="1"/>
    <col min="1730" max="1730" width="13" style="12" customWidth="1"/>
    <col min="1731" max="1731" width="8.140625" style="12" customWidth="1"/>
    <col min="1732" max="1732" width="14.5703125" style="12" customWidth="1"/>
    <col min="1733" max="1733" width="15" style="12" customWidth="1"/>
    <col min="1734" max="1735" width="11.42578125" style="12" customWidth="1"/>
    <col min="1736" max="1736" width="12.5703125" style="12" customWidth="1"/>
    <col min="1737" max="1977" width="9.140625" style="12"/>
    <col min="1978" max="1978" width="15.28515625" style="12" customWidth="1"/>
    <col min="1979" max="1979" width="48.7109375" style="12" bestFit="1" customWidth="1"/>
    <col min="1980" max="1980" width="20.28515625" style="12" customWidth="1"/>
    <col min="1981" max="1981" width="6.85546875" style="12" customWidth="1"/>
    <col min="1982" max="1982" width="13" style="12" customWidth="1"/>
    <col min="1983" max="1983" width="11" style="12" customWidth="1"/>
    <col min="1984" max="1984" width="15.7109375" style="12" bestFit="1" customWidth="1"/>
    <col min="1985" max="1985" width="11" style="12" customWidth="1"/>
    <col min="1986" max="1986" width="13" style="12" customWidth="1"/>
    <col min="1987" max="1987" width="8.140625" style="12" customWidth="1"/>
    <col min="1988" max="1988" width="14.5703125" style="12" customWidth="1"/>
    <col min="1989" max="1989" width="15" style="12" customWidth="1"/>
    <col min="1990" max="1991" width="11.42578125" style="12" customWidth="1"/>
    <col min="1992" max="1992" width="12.5703125" style="12" customWidth="1"/>
    <col min="1993" max="2233" width="9.140625" style="12"/>
    <col min="2234" max="2234" width="15.28515625" style="12" customWidth="1"/>
    <col min="2235" max="2235" width="48.7109375" style="12" bestFit="1" customWidth="1"/>
    <col min="2236" max="2236" width="20.28515625" style="12" customWidth="1"/>
    <col min="2237" max="2237" width="6.85546875" style="12" customWidth="1"/>
    <col min="2238" max="2238" width="13" style="12" customWidth="1"/>
    <col min="2239" max="2239" width="11" style="12" customWidth="1"/>
    <col min="2240" max="2240" width="15.7109375" style="12" bestFit="1" customWidth="1"/>
    <col min="2241" max="2241" width="11" style="12" customWidth="1"/>
    <col min="2242" max="2242" width="13" style="12" customWidth="1"/>
    <col min="2243" max="2243" width="8.140625" style="12" customWidth="1"/>
    <col min="2244" max="2244" width="14.5703125" style="12" customWidth="1"/>
    <col min="2245" max="2245" width="15" style="12" customWidth="1"/>
    <col min="2246" max="2247" width="11.42578125" style="12" customWidth="1"/>
    <col min="2248" max="2248" width="12.5703125" style="12" customWidth="1"/>
    <col min="2249" max="2489" width="9.140625" style="12"/>
    <col min="2490" max="2490" width="15.28515625" style="12" customWidth="1"/>
    <col min="2491" max="2491" width="48.7109375" style="12" bestFit="1" customWidth="1"/>
    <col min="2492" max="2492" width="20.28515625" style="12" customWidth="1"/>
    <col min="2493" max="2493" width="6.85546875" style="12" customWidth="1"/>
    <col min="2494" max="2494" width="13" style="12" customWidth="1"/>
    <col min="2495" max="2495" width="11" style="12" customWidth="1"/>
    <col min="2496" max="2496" width="15.7109375" style="12" bestFit="1" customWidth="1"/>
    <col min="2497" max="2497" width="11" style="12" customWidth="1"/>
    <col min="2498" max="2498" width="13" style="12" customWidth="1"/>
    <col min="2499" max="2499" width="8.140625" style="12" customWidth="1"/>
    <col min="2500" max="2500" width="14.5703125" style="12" customWidth="1"/>
    <col min="2501" max="2501" width="15" style="12" customWidth="1"/>
    <col min="2502" max="2503" width="11.42578125" style="12" customWidth="1"/>
    <col min="2504" max="2504" width="12.5703125" style="12" customWidth="1"/>
    <col min="2505" max="2745" width="9.140625" style="12"/>
    <col min="2746" max="2746" width="15.28515625" style="12" customWidth="1"/>
    <col min="2747" max="2747" width="48.7109375" style="12" bestFit="1" customWidth="1"/>
    <col min="2748" max="2748" width="20.28515625" style="12" customWidth="1"/>
    <col min="2749" max="2749" width="6.85546875" style="12" customWidth="1"/>
    <col min="2750" max="2750" width="13" style="12" customWidth="1"/>
    <col min="2751" max="2751" width="11" style="12" customWidth="1"/>
    <col min="2752" max="2752" width="15.7109375" style="12" bestFit="1" customWidth="1"/>
    <col min="2753" max="2753" width="11" style="12" customWidth="1"/>
    <col min="2754" max="2754" width="13" style="12" customWidth="1"/>
    <col min="2755" max="2755" width="8.140625" style="12" customWidth="1"/>
    <col min="2756" max="2756" width="14.5703125" style="12" customWidth="1"/>
    <col min="2757" max="2757" width="15" style="12" customWidth="1"/>
    <col min="2758" max="2759" width="11.42578125" style="12" customWidth="1"/>
    <col min="2760" max="2760" width="12.5703125" style="12" customWidth="1"/>
    <col min="2761" max="3001" width="9.140625" style="12"/>
    <col min="3002" max="3002" width="15.28515625" style="12" customWidth="1"/>
    <col min="3003" max="3003" width="48.7109375" style="12" bestFit="1" customWidth="1"/>
    <col min="3004" max="3004" width="20.28515625" style="12" customWidth="1"/>
    <col min="3005" max="3005" width="6.85546875" style="12" customWidth="1"/>
    <col min="3006" max="3006" width="13" style="12" customWidth="1"/>
    <col min="3007" max="3007" width="11" style="12" customWidth="1"/>
    <col min="3008" max="3008" width="15.7109375" style="12" bestFit="1" customWidth="1"/>
    <col min="3009" max="3009" width="11" style="12" customWidth="1"/>
    <col min="3010" max="3010" width="13" style="12" customWidth="1"/>
    <col min="3011" max="3011" width="8.140625" style="12" customWidth="1"/>
    <col min="3012" max="3012" width="14.5703125" style="12" customWidth="1"/>
    <col min="3013" max="3013" width="15" style="12" customWidth="1"/>
    <col min="3014" max="3015" width="11.42578125" style="12" customWidth="1"/>
    <col min="3016" max="3016" width="12.5703125" style="12" customWidth="1"/>
    <col min="3017" max="3257" width="9.140625" style="12"/>
    <col min="3258" max="3258" width="15.28515625" style="12" customWidth="1"/>
    <col min="3259" max="3259" width="48.7109375" style="12" bestFit="1" customWidth="1"/>
    <col min="3260" max="3260" width="20.28515625" style="12" customWidth="1"/>
    <col min="3261" max="3261" width="6.85546875" style="12" customWidth="1"/>
    <col min="3262" max="3262" width="13" style="12" customWidth="1"/>
    <col min="3263" max="3263" width="11" style="12" customWidth="1"/>
    <col min="3264" max="3264" width="15.7109375" style="12" bestFit="1" customWidth="1"/>
    <col min="3265" max="3265" width="11" style="12" customWidth="1"/>
    <col min="3266" max="3266" width="13" style="12" customWidth="1"/>
    <col min="3267" max="3267" width="8.140625" style="12" customWidth="1"/>
    <col min="3268" max="3268" width="14.5703125" style="12" customWidth="1"/>
    <col min="3269" max="3269" width="15" style="12" customWidth="1"/>
    <col min="3270" max="3271" width="11.42578125" style="12" customWidth="1"/>
    <col min="3272" max="3272" width="12.5703125" style="12" customWidth="1"/>
    <col min="3273" max="3513" width="9.140625" style="12"/>
    <col min="3514" max="3514" width="15.28515625" style="12" customWidth="1"/>
    <col min="3515" max="3515" width="48.7109375" style="12" bestFit="1" customWidth="1"/>
    <col min="3516" max="3516" width="20.28515625" style="12" customWidth="1"/>
    <col min="3517" max="3517" width="6.85546875" style="12" customWidth="1"/>
    <col min="3518" max="3518" width="13" style="12" customWidth="1"/>
    <col min="3519" max="3519" width="11" style="12" customWidth="1"/>
    <col min="3520" max="3520" width="15.7109375" style="12" bestFit="1" customWidth="1"/>
    <col min="3521" max="3521" width="11" style="12" customWidth="1"/>
    <col min="3522" max="3522" width="13" style="12" customWidth="1"/>
    <col min="3523" max="3523" width="8.140625" style="12" customWidth="1"/>
    <col min="3524" max="3524" width="14.5703125" style="12" customWidth="1"/>
    <col min="3525" max="3525" width="15" style="12" customWidth="1"/>
    <col min="3526" max="3527" width="11.42578125" style="12" customWidth="1"/>
    <col min="3528" max="3528" width="12.5703125" style="12" customWidth="1"/>
    <col min="3529" max="3769" width="9.140625" style="12"/>
    <col min="3770" max="3770" width="15.28515625" style="12" customWidth="1"/>
    <col min="3771" max="3771" width="48.7109375" style="12" bestFit="1" customWidth="1"/>
    <col min="3772" max="3772" width="20.28515625" style="12" customWidth="1"/>
    <col min="3773" max="3773" width="6.85546875" style="12" customWidth="1"/>
    <col min="3774" max="3774" width="13" style="12" customWidth="1"/>
    <col min="3775" max="3775" width="11" style="12" customWidth="1"/>
    <col min="3776" max="3776" width="15.7109375" style="12" bestFit="1" customWidth="1"/>
    <col min="3777" max="3777" width="11" style="12" customWidth="1"/>
    <col min="3778" max="3778" width="13" style="12" customWidth="1"/>
    <col min="3779" max="3779" width="8.140625" style="12" customWidth="1"/>
    <col min="3780" max="3780" width="14.5703125" style="12" customWidth="1"/>
    <col min="3781" max="3781" width="15" style="12" customWidth="1"/>
    <col min="3782" max="3783" width="11.42578125" style="12" customWidth="1"/>
    <col min="3784" max="3784" width="12.5703125" style="12" customWidth="1"/>
    <col min="3785" max="4025" width="9.140625" style="12"/>
    <col min="4026" max="4026" width="15.28515625" style="12" customWidth="1"/>
    <col min="4027" max="4027" width="48.7109375" style="12" bestFit="1" customWidth="1"/>
    <col min="4028" max="4028" width="20.28515625" style="12" customWidth="1"/>
    <col min="4029" max="4029" width="6.85546875" style="12" customWidth="1"/>
    <col min="4030" max="4030" width="13" style="12" customWidth="1"/>
    <col min="4031" max="4031" width="11" style="12" customWidth="1"/>
    <col min="4032" max="4032" width="15.7109375" style="12" bestFit="1" customWidth="1"/>
    <col min="4033" max="4033" width="11" style="12" customWidth="1"/>
    <col min="4034" max="4034" width="13" style="12" customWidth="1"/>
    <col min="4035" max="4035" width="8.140625" style="12" customWidth="1"/>
    <col min="4036" max="4036" width="14.5703125" style="12" customWidth="1"/>
    <col min="4037" max="4037" width="15" style="12" customWidth="1"/>
    <col min="4038" max="4039" width="11.42578125" style="12" customWidth="1"/>
    <col min="4040" max="4040" width="12.5703125" style="12" customWidth="1"/>
    <col min="4041" max="4281" width="9.140625" style="12"/>
    <col min="4282" max="4282" width="15.28515625" style="12" customWidth="1"/>
    <col min="4283" max="4283" width="48.7109375" style="12" bestFit="1" customWidth="1"/>
    <col min="4284" max="4284" width="20.28515625" style="12" customWidth="1"/>
    <col min="4285" max="4285" width="6.85546875" style="12" customWidth="1"/>
    <col min="4286" max="4286" width="13" style="12" customWidth="1"/>
    <col min="4287" max="4287" width="11" style="12" customWidth="1"/>
    <col min="4288" max="4288" width="15.7109375" style="12" bestFit="1" customWidth="1"/>
    <col min="4289" max="4289" width="11" style="12" customWidth="1"/>
    <col min="4290" max="4290" width="13" style="12" customWidth="1"/>
    <col min="4291" max="4291" width="8.140625" style="12" customWidth="1"/>
    <col min="4292" max="4292" width="14.5703125" style="12" customWidth="1"/>
    <col min="4293" max="4293" width="15" style="12" customWidth="1"/>
    <col min="4294" max="4295" width="11.42578125" style="12" customWidth="1"/>
    <col min="4296" max="4296" width="12.5703125" style="12" customWidth="1"/>
    <col min="4297" max="4537" width="9.140625" style="12"/>
    <col min="4538" max="4538" width="15.28515625" style="12" customWidth="1"/>
    <col min="4539" max="4539" width="48.7109375" style="12" bestFit="1" customWidth="1"/>
    <col min="4540" max="4540" width="20.28515625" style="12" customWidth="1"/>
    <col min="4541" max="4541" width="6.85546875" style="12" customWidth="1"/>
    <col min="4542" max="4542" width="13" style="12" customWidth="1"/>
    <col min="4543" max="4543" width="11" style="12" customWidth="1"/>
    <col min="4544" max="4544" width="15.7109375" style="12" bestFit="1" customWidth="1"/>
    <col min="4545" max="4545" width="11" style="12" customWidth="1"/>
    <col min="4546" max="4546" width="13" style="12" customWidth="1"/>
    <col min="4547" max="4547" width="8.140625" style="12" customWidth="1"/>
    <col min="4548" max="4548" width="14.5703125" style="12" customWidth="1"/>
    <col min="4549" max="4549" width="15" style="12" customWidth="1"/>
    <col min="4550" max="4551" width="11.42578125" style="12" customWidth="1"/>
    <col min="4552" max="4552" width="12.5703125" style="12" customWidth="1"/>
    <col min="4553" max="4793" width="9.140625" style="12"/>
    <col min="4794" max="4794" width="15.28515625" style="12" customWidth="1"/>
    <col min="4795" max="4795" width="48.7109375" style="12" bestFit="1" customWidth="1"/>
    <col min="4796" max="4796" width="20.28515625" style="12" customWidth="1"/>
    <col min="4797" max="4797" width="6.85546875" style="12" customWidth="1"/>
    <col min="4798" max="4798" width="13" style="12" customWidth="1"/>
    <col min="4799" max="4799" width="11" style="12" customWidth="1"/>
    <col min="4800" max="4800" width="15.7109375" style="12" bestFit="1" customWidth="1"/>
    <col min="4801" max="4801" width="11" style="12" customWidth="1"/>
    <col min="4802" max="4802" width="13" style="12" customWidth="1"/>
    <col min="4803" max="4803" width="8.140625" style="12" customWidth="1"/>
    <col min="4804" max="4804" width="14.5703125" style="12" customWidth="1"/>
    <col min="4805" max="4805" width="15" style="12" customWidth="1"/>
    <col min="4806" max="4807" width="11.42578125" style="12" customWidth="1"/>
    <col min="4808" max="4808" width="12.5703125" style="12" customWidth="1"/>
    <col min="4809" max="5049" width="9.140625" style="12"/>
    <col min="5050" max="5050" width="15.28515625" style="12" customWidth="1"/>
    <col min="5051" max="5051" width="48.7109375" style="12" bestFit="1" customWidth="1"/>
    <col min="5052" max="5052" width="20.28515625" style="12" customWidth="1"/>
    <col min="5053" max="5053" width="6.85546875" style="12" customWidth="1"/>
    <col min="5054" max="5054" width="13" style="12" customWidth="1"/>
    <col min="5055" max="5055" width="11" style="12" customWidth="1"/>
    <col min="5056" max="5056" width="15.7109375" style="12" bestFit="1" customWidth="1"/>
    <col min="5057" max="5057" width="11" style="12" customWidth="1"/>
    <col min="5058" max="5058" width="13" style="12" customWidth="1"/>
    <col min="5059" max="5059" width="8.140625" style="12" customWidth="1"/>
    <col min="5060" max="5060" width="14.5703125" style="12" customWidth="1"/>
    <col min="5061" max="5061" width="15" style="12" customWidth="1"/>
    <col min="5062" max="5063" width="11.42578125" style="12" customWidth="1"/>
    <col min="5064" max="5064" width="12.5703125" style="12" customWidth="1"/>
    <col min="5065" max="5305" width="9.140625" style="12"/>
    <col min="5306" max="5306" width="15.28515625" style="12" customWidth="1"/>
    <col min="5307" max="5307" width="48.7109375" style="12" bestFit="1" customWidth="1"/>
    <col min="5308" max="5308" width="20.28515625" style="12" customWidth="1"/>
    <col min="5309" max="5309" width="6.85546875" style="12" customWidth="1"/>
    <col min="5310" max="5310" width="13" style="12" customWidth="1"/>
    <col min="5311" max="5311" width="11" style="12" customWidth="1"/>
    <col min="5312" max="5312" width="15.7109375" style="12" bestFit="1" customWidth="1"/>
    <col min="5313" max="5313" width="11" style="12" customWidth="1"/>
    <col min="5314" max="5314" width="13" style="12" customWidth="1"/>
    <col min="5315" max="5315" width="8.140625" style="12" customWidth="1"/>
    <col min="5316" max="5316" width="14.5703125" style="12" customWidth="1"/>
    <col min="5317" max="5317" width="15" style="12" customWidth="1"/>
    <col min="5318" max="5319" width="11.42578125" style="12" customWidth="1"/>
    <col min="5320" max="5320" width="12.5703125" style="12" customWidth="1"/>
    <col min="5321" max="5561" width="9.140625" style="12"/>
    <col min="5562" max="5562" width="15.28515625" style="12" customWidth="1"/>
    <col min="5563" max="5563" width="48.7109375" style="12" bestFit="1" customWidth="1"/>
    <col min="5564" max="5564" width="20.28515625" style="12" customWidth="1"/>
    <col min="5565" max="5565" width="6.85546875" style="12" customWidth="1"/>
    <col min="5566" max="5566" width="13" style="12" customWidth="1"/>
    <col min="5567" max="5567" width="11" style="12" customWidth="1"/>
    <col min="5568" max="5568" width="15.7109375" style="12" bestFit="1" customWidth="1"/>
    <col min="5569" max="5569" width="11" style="12" customWidth="1"/>
    <col min="5570" max="5570" width="13" style="12" customWidth="1"/>
    <col min="5571" max="5571" width="8.140625" style="12" customWidth="1"/>
    <col min="5572" max="5572" width="14.5703125" style="12" customWidth="1"/>
    <col min="5573" max="5573" width="15" style="12" customWidth="1"/>
    <col min="5574" max="5575" width="11.42578125" style="12" customWidth="1"/>
    <col min="5576" max="5576" width="12.5703125" style="12" customWidth="1"/>
    <col min="5577" max="5817" width="9.140625" style="12"/>
    <col min="5818" max="5818" width="15.28515625" style="12" customWidth="1"/>
    <col min="5819" max="5819" width="48.7109375" style="12" bestFit="1" customWidth="1"/>
    <col min="5820" max="5820" width="20.28515625" style="12" customWidth="1"/>
    <col min="5821" max="5821" width="6.85546875" style="12" customWidth="1"/>
    <col min="5822" max="5822" width="13" style="12" customWidth="1"/>
    <col min="5823" max="5823" width="11" style="12" customWidth="1"/>
    <col min="5824" max="5824" width="15.7109375" style="12" bestFit="1" customWidth="1"/>
    <col min="5825" max="5825" width="11" style="12" customWidth="1"/>
    <col min="5826" max="5826" width="13" style="12" customWidth="1"/>
    <col min="5827" max="5827" width="8.140625" style="12" customWidth="1"/>
    <col min="5828" max="5828" width="14.5703125" style="12" customWidth="1"/>
    <col min="5829" max="5829" width="15" style="12" customWidth="1"/>
    <col min="5830" max="5831" width="11.42578125" style="12" customWidth="1"/>
    <col min="5832" max="5832" width="12.5703125" style="12" customWidth="1"/>
    <col min="5833" max="6073" width="9.140625" style="12"/>
    <col min="6074" max="6074" width="15.28515625" style="12" customWidth="1"/>
    <col min="6075" max="6075" width="48.7109375" style="12" bestFit="1" customWidth="1"/>
    <col min="6076" max="6076" width="20.28515625" style="12" customWidth="1"/>
    <col min="6077" max="6077" width="6.85546875" style="12" customWidth="1"/>
    <col min="6078" max="6078" width="13" style="12" customWidth="1"/>
    <col min="6079" max="6079" width="11" style="12" customWidth="1"/>
    <col min="6080" max="6080" width="15.7109375" style="12" bestFit="1" customWidth="1"/>
    <col min="6081" max="6081" width="11" style="12" customWidth="1"/>
    <col min="6082" max="6082" width="13" style="12" customWidth="1"/>
    <col min="6083" max="6083" width="8.140625" style="12" customWidth="1"/>
    <col min="6084" max="6084" width="14.5703125" style="12" customWidth="1"/>
    <col min="6085" max="6085" width="15" style="12" customWidth="1"/>
    <col min="6086" max="6087" width="11.42578125" style="12" customWidth="1"/>
    <col min="6088" max="6088" width="12.5703125" style="12" customWidth="1"/>
    <col min="6089" max="6329" width="9.140625" style="12"/>
    <col min="6330" max="6330" width="15.28515625" style="12" customWidth="1"/>
    <col min="6331" max="6331" width="48.7109375" style="12" bestFit="1" customWidth="1"/>
    <col min="6332" max="6332" width="20.28515625" style="12" customWidth="1"/>
    <col min="6333" max="6333" width="6.85546875" style="12" customWidth="1"/>
    <col min="6334" max="6334" width="13" style="12" customWidth="1"/>
    <col min="6335" max="6335" width="11" style="12" customWidth="1"/>
    <col min="6336" max="6336" width="15.7109375" style="12" bestFit="1" customWidth="1"/>
    <col min="6337" max="6337" width="11" style="12" customWidth="1"/>
    <col min="6338" max="6338" width="13" style="12" customWidth="1"/>
    <col min="6339" max="6339" width="8.140625" style="12" customWidth="1"/>
    <col min="6340" max="6340" width="14.5703125" style="12" customWidth="1"/>
    <col min="6341" max="6341" width="15" style="12" customWidth="1"/>
    <col min="6342" max="6343" width="11.42578125" style="12" customWidth="1"/>
    <col min="6344" max="6344" width="12.5703125" style="12" customWidth="1"/>
    <col min="6345" max="6585" width="9.140625" style="12"/>
    <col min="6586" max="6586" width="15.28515625" style="12" customWidth="1"/>
    <col min="6587" max="6587" width="48.7109375" style="12" bestFit="1" customWidth="1"/>
    <col min="6588" max="6588" width="20.28515625" style="12" customWidth="1"/>
    <col min="6589" max="6589" width="6.85546875" style="12" customWidth="1"/>
    <col min="6590" max="6590" width="13" style="12" customWidth="1"/>
    <col min="6591" max="6591" width="11" style="12" customWidth="1"/>
    <col min="6592" max="6592" width="15.7109375" style="12" bestFit="1" customWidth="1"/>
    <col min="6593" max="6593" width="11" style="12" customWidth="1"/>
    <col min="6594" max="6594" width="13" style="12" customWidth="1"/>
    <col min="6595" max="6595" width="8.140625" style="12" customWidth="1"/>
    <col min="6596" max="6596" width="14.5703125" style="12" customWidth="1"/>
    <col min="6597" max="6597" width="15" style="12" customWidth="1"/>
    <col min="6598" max="6599" width="11.42578125" style="12" customWidth="1"/>
    <col min="6600" max="6600" width="12.5703125" style="12" customWidth="1"/>
    <col min="6601" max="6841" width="9.140625" style="12"/>
    <col min="6842" max="6842" width="15.28515625" style="12" customWidth="1"/>
    <col min="6843" max="6843" width="48.7109375" style="12" bestFit="1" customWidth="1"/>
    <col min="6844" max="6844" width="20.28515625" style="12" customWidth="1"/>
    <col min="6845" max="6845" width="6.85546875" style="12" customWidth="1"/>
    <col min="6846" max="6846" width="13" style="12" customWidth="1"/>
    <col min="6847" max="6847" width="11" style="12" customWidth="1"/>
    <col min="6848" max="6848" width="15.7109375" style="12" bestFit="1" customWidth="1"/>
    <col min="6849" max="6849" width="11" style="12" customWidth="1"/>
    <col min="6850" max="6850" width="13" style="12" customWidth="1"/>
    <col min="6851" max="6851" width="8.140625" style="12" customWidth="1"/>
    <col min="6852" max="6852" width="14.5703125" style="12" customWidth="1"/>
    <col min="6853" max="6853" width="15" style="12" customWidth="1"/>
    <col min="6854" max="6855" width="11.42578125" style="12" customWidth="1"/>
    <col min="6856" max="6856" width="12.5703125" style="12" customWidth="1"/>
    <col min="6857" max="7097" width="9.140625" style="12"/>
    <col min="7098" max="7098" width="15.28515625" style="12" customWidth="1"/>
    <col min="7099" max="7099" width="48.7109375" style="12" bestFit="1" customWidth="1"/>
    <col min="7100" max="7100" width="20.28515625" style="12" customWidth="1"/>
    <col min="7101" max="7101" width="6.85546875" style="12" customWidth="1"/>
    <col min="7102" max="7102" width="13" style="12" customWidth="1"/>
    <col min="7103" max="7103" width="11" style="12" customWidth="1"/>
    <col min="7104" max="7104" width="15.7109375" style="12" bestFit="1" customWidth="1"/>
    <col min="7105" max="7105" width="11" style="12" customWidth="1"/>
    <col min="7106" max="7106" width="13" style="12" customWidth="1"/>
    <col min="7107" max="7107" width="8.140625" style="12" customWidth="1"/>
    <col min="7108" max="7108" width="14.5703125" style="12" customWidth="1"/>
    <col min="7109" max="7109" width="15" style="12" customWidth="1"/>
    <col min="7110" max="7111" width="11.42578125" style="12" customWidth="1"/>
    <col min="7112" max="7112" width="12.5703125" style="12" customWidth="1"/>
    <col min="7113" max="7353" width="9.140625" style="12"/>
    <col min="7354" max="7354" width="15.28515625" style="12" customWidth="1"/>
    <col min="7355" max="7355" width="48.7109375" style="12" bestFit="1" customWidth="1"/>
    <col min="7356" max="7356" width="20.28515625" style="12" customWidth="1"/>
    <col min="7357" max="7357" width="6.85546875" style="12" customWidth="1"/>
    <col min="7358" max="7358" width="13" style="12" customWidth="1"/>
    <col min="7359" max="7359" width="11" style="12" customWidth="1"/>
    <col min="7360" max="7360" width="15.7109375" style="12" bestFit="1" customWidth="1"/>
    <col min="7361" max="7361" width="11" style="12" customWidth="1"/>
    <col min="7362" max="7362" width="13" style="12" customWidth="1"/>
    <col min="7363" max="7363" width="8.140625" style="12" customWidth="1"/>
    <col min="7364" max="7364" width="14.5703125" style="12" customWidth="1"/>
    <col min="7365" max="7365" width="15" style="12" customWidth="1"/>
    <col min="7366" max="7367" width="11.42578125" style="12" customWidth="1"/>
    <col min="7368" max="7368" width="12.5703125" style="12" customWidth="1"/>
    <col min="7369" max="7609" width="9.140625" style="12"/>
    <col min="7610" max="7610" width="15.28515625" style="12" customWidth="1"/>
    <col min="7611" max="7611" width="48.7109375" style="12" bestFit="1" customWidth="1"/>
    <col min="7612" max="7612" width="20.28515625" style="12" customWidth="1"/>
    <col min="7613" max="7613" width="6.85546875" style="12" customWidth="1"/>
    <col min="7614" max="7614" width="13" style="12" customWidth="1"/>
    <col min="7615" max="7615" width="11" style="12" customWidth="1"/>
    <col min="7616" max="7616" width="15.7109375" style="12" bestFit="1" customWidth="1"/>
    <col min="7617" max="7617" width="11" style="12" customWidth="1"/>
    <col min="7618" max="7618" width="13" style="12" customWidth="1"/>
    <col min="7619" max="7619" width="8.140625" style="12" customWidth="1"/>
    <col min="7620" max="7620" width="14.5703125" style="12" customWidth="1"/>
    <col min="7621" max="7621" width="15" style="12" customWidth="1"/>
    <col min="7622" max="7623" width="11.42578125" style="12" customWidth="1"/>
    <col min="7624" max="7624" width="12.5703125" style="12" customWidth="1"/>
    <col min="7625" max="7865" width="9.140625" style="12"/>
    <col min="7866" max="7866" width="15.28515625" style="12" customWidth="1"/>
    <col min="7867" max="7867" width="48.7109375" style="12" bestFit="1" customWidth="1"/>
    <col min="7868" max="7868" width="20.28515625" style="12" customWidth="1"/>
    <col min="7869" max="7869" width="6.85546875" style="12" customWidth="1"/>
    <col min="7870" max="7870" width="13" style="12" customWidth="1"/>
    <col min="7871" max="7871" width="11" style="12" customWidth="1"/>
    <col min="7872" max="7872" width="15.7109375" style="12" bestFit="1" customWidth="1"/>
    <col min="7873" max="7873" width="11" style="12" customWidth="1"/>
    <col min="7874" max="7874" width="13" style="12" customWidth="1"/>
    <col min="7875" max="7875" width="8.140625" style="12" customWidth="1"/>
    <col min="7876" max="7876" width="14.5703125" style="12" customWidth="1"/>
    <col min="7877" max="7877" width="15" style="12" customWidth="1"/>
    <col min="7878" max="7879" width="11.42578125" style="12" customWidth="1"/>
    <col min="7880" max="7880" width="12.5703125" style="12" customWidth="1"/>
    <col min="7881" max="8121" width="9.140625" style="12"/>
    <col min="8122" max="8122" width="15.28515625" style="12" customWidth="1"/>
    <col min="8123" max="8123" width="48.7109375" style="12" bestFit="1" customWidth="1"/>
    <col min="8124" max="8124" width="20.28515625" style="12" customWidth="1"/>
    <col min="8125" max="8125" width="6.85546875" style="12" customWidth="1"/>
    <col min="8126" max="8126" width="13" style="12" customWidth="1"/>
    <col min="8127" max="8127" width="11" style="12" customWidth="1"/>
    <col min="8128" max="8128" width="15.7109375" style="12" bestFit="1" customWidth="1"/>
    <col min="8129" max="8129" width="11" style="12" customWidth="1"/>
    <col min="8130" max="8130" width="13" style="12" customWidth="1"/>
    <col min="8131" max="8131" width="8.140625" style="12" customWidth="1"/>
    <col min="8132" max="8132" width="14.5703125" style="12" customWidth="1"/>
    <col min="8133" max="8133" width="15" style="12" customWidth="1"/>
    <col min="8134" max="8135" width="11.42578125" style="12" customWidth="1"/>
    <col min="8136" max="8136" width="12.5703125" style="12" customWidth="1"/>
    <col min="8137" max="8377" width="9.140625" style="12"/>
    <col min="8378" max="8378" width="15.28515625" style="12" customWidth="1"/>
    <col min="8379" max="8379" width="48.7109375" style="12" bestFit="1" customWidth="1"/>
    <col min="8380" max="8380" width="20.28515625" style="12" customWidth="1"/>
    <col min="8381" max="8381" width="6.85546875" style="12" customWidth="1"/>
    <col min="8382" max="8382" width="13" style="12" customWidth="1"/>
    <col min="8383" max="8383" width="11" style="12" customWidth="1"/>
    <col min="8384" max="8384" width="15.7109375" style="12" bestFit="1" customWidth="1"/>
    <col min="8385" max="8385" width="11" style="12" customWidth="1"/>
    <col min="8386" max="8386" width="13" style="12" customWidth="1"/>
    <col min="8387" max="8387" width="8.140625" style="12" customWidth="1"/>
    <col min="8388" max="8388" width="14.5703125" style="12" customWidth="1"/>
    <col min="8389" max="8389" width="15" style="12" customWidth="1"/>
    <col min="8390" max="8391" width="11.42578125" style="12" customWidth="1"/>
    <col min="8392" max="8392" width="12.5703125" style="12" customWidth="1"/>
    <col min="8393" max="8633" width="9.140625" style="12"/>
    <col min="8634" max="8634" width="15.28515625" style="12" customWidth="1"/>
    <col min="8635" max="8635" width="48.7109375" style="12" bestFit="1" customWidth="1"/>
    <col min="8636" max="8636" width="20.28515625" style="12" customWidth="1"/>
    <col min="8637" max="8637" width="6.85546875" style="12" customWidth="1"/>
    <col min="8638" max="8638" width="13" style="12" customWidth="1"/>
    <col min="8639" max="8639" width="11" style="12" customWidth="1"/>
    <col min="8640" max="8640" width="15.7109375" style="12" bestFit="1" customWidth="1"/>
    <col min="8641" max="8641" width="11" style="12" customWidth="1"/>
    <col min="8642" max="8642" width="13" style="12" customWidth="1"/>
    <col min="8643" max="8643" width="8.140625" style="12" customWidth="1"/>
    <col min="8644" max="8644" width="14.5703125" style="12" customWidth="1"/>
    <col min="8645" max="8645" width="15" style="12" customWidth="1"/>
    <col min="8646" max="8647" width="11.42578125" style="12" customWidth="1"/>
    <col min="8648" max="8648" width="12.5703125" style="12" customWidth="1"/>
    <col min="8649" max="8889" width="9.140625" style="12"/>
    <col min="8890" max="8890" width="15.28515625" style="12" customWidth="1"/>
    <col min="8891" max="8891" width="48.7109375" style="12" bestFit="1" customWidth="1"/>
    <col min="8892" max="8892" width="20.28515625" style="12" customWidth="1"/>
    <col min="8893" max="8893" width="6.85546875" style="12" customWidth="1"/>
    <col min="8894" max="8894" width="13" style="12" customWidth="1"/>
    <col min="8895" max="8895" width="11" style="12" customWidth="1"/>
    <col min="8896" max="8896" width="15.7109375" style="12" bestFit="1" customWidth="1"/>
    <col min="8897" max="8897" width="11" style="12" customWidth="1"/>
    <col min="8898" max="8898" width="13" style="12" customWidth="1"/>
    <col min="8899" max="8899" width="8.140625" style="12" customWidth="1"/>
    <col min="8900" max="8900" width="14.5703125" style="12" customWidth="1"/>
    <col min="8901" max="8901" width="15" style="12" customWidth="1"/>
    <col min="8902" max="8903" width="11.42578125" style="12" customWidth="1"/>
    <col min="8904" max="8904" width="12.5703125" style="12" customWidth="1"/>
    <col min="8905" max="9145" width="9.140625" style="12"/>
    <col min="9146" max="9146" width="15.28515625" style="12" customWidth="1"/>
    <col min="9147" max="9147" width="48.7109375" style="12" bestFit="1" customWidth="1"/>
    <col min="9148" max="9148" width="20.28515625" style="12" customWidth="1"/>
    <col min="9149" max="9149" width="6.85546875" style="12" customWidth="1"/>
    <col min="9150" max="9150" width="13" style="12" customWidth="1"/>
    <col min="9151" max="9151" width="11" style="12" customWidth="1"/>
    <col min="9152" max="9152" width="15.7109375" style="12" bestFit="1" customWidth="1"/>
    <col min="9153" max="9153" width="11" style="12" customWidth="1"/>
    <col min="9154" max="9154" width="13" style="12" customWidth="1"/>
    <col min="9155" max="9155" width="8.140625" style="12" customWidth="1"/>
    <col min="9156" max="9156" width="14.5703125" style="12" customWidth="1"/>
    <col min="9157" max="9157" width="15" style="12" customWidth="1"/>
    <col min="9158" max="9159" width="11.42578125" style="12" customWidth="1"/>
    <col min="9160" max="9160" width="12.5703125" style="12" customWidth="1"/>
    <col min="9161" max="9401" width="9.140625" style="12"/>
    <col min="9402" max="9402" width="15.28515625" style="12" customWidth="1"/>
    <col min="9403" max="9403" width="48.7109375" style="12" bestFit="1" customWidth="1"/>
    <col min="9404" max="9404" width="20.28515625" style="12" customWidth="1"/>
    <col min="9405" max="9405" width="6.85546875" style="12" customWidth="1"/>
    <col min="9406" max="9406" width="13" style="12" customWidth="1"/>
    <col min="9407" max="9407" width="11" style="12" customWidth="1"/>
    <col min="9408" max="9408" width="15.7109375" style="12" bestFit="1" customWidth="1"/>
    <col min="9409" max="9409" width="11" style="12" customWidth="1"/>
    <col min="9410" max="9410" width="13" style="12" customWidth="1"/>
    <col min="9411" max="9411" width="8.140625" style="12" customWidth="1"/>
    <col min="9412" max="9412" width="14.5703125" style="12" customWidth="1"/>
    <col min="9413" max="9413" width="15" style="12" customWidth="1"/>
    <col min="9414" max="9415" width="11.42578125" style="12" customWidth="1"/>
    <col min="9416" max="9416" width="12.5703125" style="12" customWidth="1"/>
    <col min="9417" max="9657" width="9.140625" style="12"/>
    <col min="9658" max="9658" width="15.28515625" style="12" customWidth="1"/>
    <col min="9659" max="9659" width="48.7109375" style="12" bestFit="1" customWidth="1"/>
    <col min="9660" max="9660" width="20.28515625" style="12" customWidth="1"/>
    <col min="9661" max="9661" width="6.85546875" style="12" customWidth="1"/>
    <col min="9662" max="9662" width="13" style="12" customWidth="1"/>
    <col min="9663" max="9663" width="11" style="12" customWidth="1"/>
    <col min="9664" max="9664" width="15.7109375" style="12" bestFit="1" customWidth="1"/>
    <col min="9665" max="9665" width="11" style="12" customWidth="1"/>
    <col min="9666" max="9666" width="13" style="12" customWidth="1"/>
    <col min="9667" max="9667" width="8.140625" style="12" customWidth="1"/>
    <col min="9668" max="9668" width="14.5703125" style="12" customWidth="1"/>
    <col min="9669" max="9669" width="15" style="12" customWidth="1"/>
    <col min="9670" max="9671" width="11.42578125" style="12" customWidth="1"/>
    <col min="9672" max="9672" width="12.5703125" style="12" customWidth="1"/>
    <col min="9673" max="9913" width="9.140625" style="12"/>
    <col min="9914" max="9914" width="15.28515625" style="12" customWidth="1"/>
    <col min="9915" max="9915" width="48.7109375" style="12" bestFit="1" customWidth="1"/>
    <col min="9916" max="9916" width="20.28515625" style="12" customWidth="1"/>
    <col min="9917" max="9917" width="6.85546875" style="12" customWidth="1"/>
    <col min="9918" max="9918" width="13" style="12" customWidth="1"/>
    <col min="9919" max="9919" width="11" style="12" customWidth="1"/>
    <col min="9920" max="9920" width="15.7109375" style="12" bestFit="1" customWidth="1"/>
    <col min="9921" max="9921" width="11" style="12" customWidth="1"/>
    <col min="9922" max="9922" width="13" style="12" customWidth="1"/>
    <col min="9923" max="9923" width="8.140625" style="12" customWidth="1"/>
    <col min="9924" max="9924" width="14.5703125" style="12" customWidth="1"/>
    <col min="9925" max="9925" width="15" style="12" customWidth="1"/>
    <col min="9926" max="9927" width="11.42578125" style="12" customWidth="1"/>
    <col min="9928" max="9928" width="12.5703125" style="12" customWidth="1"/>
    <col min="9929" max="10169" width="9.140625" style="12"/>
    <col min="10170" max="10170" width="15.28515625" style="12" customWidth="1"/>
    <col min="10171" max="10171" width="48.7109375" style="12" bestFit="1" customWidth="1"/>
    <col min="10172" max="10172" width="20.28515625" style="12" customWidth="1"/>
    <col min="10173" max="10173" width="6.85546875" style="12" customWidth="1"/>
    <col min="10174" max="10174" width="13" style="12" customWidth="1"/>
    <col min="10175" max="10175" width="11" style="12" customWidth="1"/>
    <col min="10176" max="10176" width="15.7109375" style="12" bestFit="1" customWidth="1"/>
    <col min="10177" max="10177" width="11" style="12" customWidth="1"/>
    <col min="10178" max="10178" width="13" style="12" customWidth="1"/>
    <col min="10179" max="10179" width="8.140625" style="12" customWidth="1"/>
    <col min="10180" max="10180" width="14.5703125" style="12" customWidth="1"/>
    <col min="10181" max="10181" width="15" style="12" customWidth="1"/>
    <col min="10182" max="10183" width="11.42578125" style="12" customWidth="1"/>
    <col min="10184" max="10184" width="12.5703125" style="12" customWidth="1"/>
    <col min="10185" max="10425" width="9.140625" style="12"/>
    <col min="10426" max="10426" width="15.28515625" style="12" customWidth="1"/>
    <col min="10427" max="10427" width="48.7109375" style="12" bestFit="1" customWidth="1"/>
    <col min="10428" max="10428" width="20.28515625" style="12" customWidth="1"/>
    <col min="10429" max="10429" width="6.85546875" style="12" customWidth="1"/>
    <col min="10430" max="10430" width="13" style="12" customWidth="1"/>
    <col min="10431" max="10431" width="11" style="12" customWidth="1"/>
    <col min="10432" max="10432" width="15.7109375" style="12" bestFit="1" customWidth="1"/>
    <col min="10433" max="10433" width="11" style="12" customWidth="1"/>
    <col min="10434" max="10434" width="13" style="12" customWidth="1"/>
    <col min="10435" max="10435" width="8.140625" style="12" customWidth="1"/>
    <col min="10436" max="10436" width="14.5703125" style="12" customWidth="1"/>
    <col min="10437" max="10437" width="15" style="12" customWidth="1"/>
    <col min="10438" max="10439" width="11.42578125" style="12" customWidth="1"/>
    <col min="10440" max="10440" width="12.5703125" style="12" customWidth="1"/>
    <col min="10441" max="10681" width="9.140625" style="12"/>
    <col min="10682" max="10682" width="15.28515625" style="12" customWidth="1"/>
    <col min="10683" max="10683" width="48.7109375" style="12" bestFit="1" customWidth="1"/>
    <col min="10684" max="10684" width="20.28515625" style="12" customWidth="1"/>
    <col min="10685" max="10685" width="6.85546875" style="12" customWidth="1"/>
    <col min="10686" max="10686" width="13" style="12" customWidth="1"/>
    <col min="10687" max="10687" width="11" style="12" customWidth="1"/>
    <col min="10688" max="10688" width="15.7109375" style="12" bestFit="1" customWidth="1"/>
    <col min="10689" max="10689" width="11" style="12" customWidth="1"/>
    <col min="10690" max="10690" width="13" style="12" customWidth="1"/>
    <col min="10691" max="10691" width="8.140625" style="12" customWidth="1"/>
    <col min="10692" max="10692" width="14.5703125" style="12" customWidth="1"/>
    <col min="10693" max="10693" width="15" style="12" customWidth="1"/>
    <col min="10694" max="10695" width="11.42578125" style="12" customWidth="1"/>
    <col min="10696" max="10696" width="12.5703125" style="12" customWidth="1"/>
    <col min="10697" max="10937" width="9.140625" style="12"/>
    <col min="10938" max="10938" width="15.28515625" style="12" customWidth="1"/>
    <col min="10939" max="10939" width="48.7109375" style="12" bestFit="1" customWidth="1"/>
    <col min="10940" max="10940" width="20.28515625" style="12" customWidth="1"/>
    <col min="10941" max="10941" width="6.85546875" style="12" customWidth="1"/>
    <col min="10942" max="10942" width="13" style="12" customWidth="1"/>
    <col min="10943" max="10943" width="11" style="12" customWidth="1"/>
    <col min="10944" max="10944" width="15.7109375" style="12" bestFit="1" customWidth="1"/>
    <col min="10945" max="10945" width="11" style="12" customWidth="1"/>
    <col min="10946" max="10946" width="13" style="12" customWidth="1"/>
    <col min="10947" max="10947" width="8.140625" style="12" customWidth="1"/>
    <col min="10948" max="10948" width="14.5703125" style="12" customWidth="1"/>
    <col min="10949" max="10949" width="15" style="12" customWidth="1"/>
    <col min="10950" max="10951" width="11.42578125" style="12" customWidth="1"/>
    <col min="10952" max="10952" width="12.5703125" style="12" customWidth="1"/>
    <col min="10953" max="11193" width="9.140625" style="12"/>
    <col min="11194" max="11194" width="15.28515625" style="12" customWidth="1"/>
    <col min="11195" max="11195" width="48.7109375" style="12" bestFit="1" customWidth="1"/>
    <col min="11196" max="11196" width="20.28515625" style="12" customWidth="1"/>
    <col min="11197" max="11197" width="6.85546875" style="12" customWidth="1"/>
    <col min="11198" max="11198" width="13" style="12" customWidth="1"/>
    <col min="11199" max="11199" width="11" style="12" customWidth="1"/>
    <col min="11200" max="11200" width="15.7109375" style="12" bestFit="1" customWidth="1"/>
    <col min="11201" max="11201" width="11" style="12" customWidth="1"/>
    <col min="11202" max="11202" width="13" style="12" customWidth="1"/>
    <col min="11203" max="11203" width="8.140625" style="12" customWidth="1"/>
    <col min="11204" max="11204" width="14.5703125" style="12" customWidth="1"/>
    <col min="11205" max="11205" width="15" style="12" customWidth="1"/>
    <col min="11206" max="11207" width="11.42578125" style="12" customWidth="1"/>
    <col min="11208" max="11208" width="12.5703125" style="12" customWidth="1"/>
    <col min="11209" max="11449" width="9.140625" style="12"/>
    <col min="11450" max="11450" width="15.28515625" style="12" customWidth="1"/>
    <col min="11451" max="11451" width="48.7109375" style="12" bestFit="1" customWidth="1"/>
    <col min="11452" max="11452" width="20.28515625" style="12" customWidth="1"/>
    <col min="11453" max="11453" width="6.85546875" style="12" customWidth="1"/>
    <col min="11454" max="11454" width="13" style="12" customWidth="1"/>
    <col min="11455" max="11455" width="11" style="12" customWidth="1"/>
    <col min="11456" max="11456" width="15.7109375" style="12" bestFit="1" customWidth="1"/>
    <col min="11457" max="11457" width="11" style="12" customWidth="1"/>
    <col min="11458" max="11458" width="13" style="12" customWidth="1"/>
    <col min="11459" max="11459" width="8.140625" style="12" customWidth="1"/>
    <col min="11460" max="11460" width="14.5703125" style="12" customWidth="1"/>
    <col min="11461" max="11461" width="15" style="12" customWidth="1"/>
    <col min="11462" max="11463" width="11.42578125" style="12" customWidth="1"/>
    <col min="11464" max="11464" width="12.5703125" style="12" customWidth="1"/>
    <col min="11465" max="11705" width="9.140625" style="12"/>
    <col min="11706" max="11706" width="15.28515625" style="12" customWidth="1"/>
    <col min="11707" max="11707" width="48.7109375" style="12" bestFit="1" customWidth="1"/>
    <col min="11708" max="11708" width="20.28515625" style="12" customWidth="1"/>
    <col min="11709" max="11709" width="6.85546875" style="12" customWidth="1"/>
    <col min="11710" max="11710" width="13" style="12" customWidth="1"/>
    <col min="11711" max="11711" width="11" style="12" customWidth="1"/>
    <col min="11712" max="11712" width="15.7109375" style="12" bestFit="1" customWidth="1"/>
    <col min="11713" max="11713" width="11" style="12" customWidth="1"/>
    <col min="11714" max="11714" width="13" style="12" customWidth="1"/>
    <col min="11715" max="11715" width="8.140625" style="12" customWidth="1"/>
    <col min="11716" max="11716" width="14.5703125" style="12" customWidth="1"/>
    <col min="11717" max="11717" width="15" style="12" customWidth="1"/>
    <col min="11718" max="11719" width="11.42578125" style="12" customWidth="1"/>
    <col min="11720" max="11720" width="12.5703125" style="12" customWidth="1"/>
    <col min="11721" max="11961" width="9.140625" style="12"/>
    <col min="11962" max="11962" width="15.28515625" style="12" customWidth="1"/>
    <col min="11963" max="11963" width="48.7109375" style="12" bestFit="1" customWidth="1"/>
    <col min="11964" max="11964" width="20.28515625" style="12" customWidth="1"/>
    <col min="11965" max="11965" width="6.85546875" style="12" customWidth="1"/>
    <col min="11966" max="11966" width="13" style="12" customWidth="1"/>
    <col min="11967" max="11967" width="11" style="12" customWidth="1"/>
    <col min="11968" max="11968" width="15.7109375" style="12" bestFit="1" customWidth="1"/>
    <col min="11969" max="11969" width="11" style="12" customWidth="1"/>
    <col min="11970" max="11970" width="13" style="12" customWidth="1"/>
    <col min="11971" max="11971" width="8.140625" style="12" customWidth="1"/>
    <col min="11972" max="11972" width="14.5703125" style="12" customWidth="1"/>
    <col min="11973" max="11973" width="15" style="12" customWidth="1"/>
    <col min="11974" max="11975" width="11.42578125" style="12" customWidth="1"/>
    <col min="11976" max="11976" width="12.5703125" style="12" customWidth="1"/>
    <col min="11977" max="12217" width="9.140625" style="12"/>
    <col min="12218" max="12218" width="15.28515625" style="12" customWidth="1"/>
    <col min="12219" max="12219" width="48.7109375" style="12" bestFit="1" customWidth="1"/>
    <col min="12220" max="12220" width="20.28515625" style="12" customWidth="1"/>
    <col min="12221" max="12221" width="6.85546875" style="12" customWidth="1"/>
    <col min="12222" max="12222" width="13" style="12" customWidth="1"/>
    <col min="12223" max="12223" width="11" style="12" customWidth="1"/>
    <col min="12224" max="12224" width="15.7109375" style="12" bestFit="1" customWidth="1"/>
    <col min="12225" max="12225" width="11" style="12" customWidth="1"/>
    <col min="12226" max="12226" width="13" style="12" customWidth="1"/>
    <col min="12227" max="12227" width="8.140625" style="12" customWidth="1"/>
    <col min="12228" max="12228" width="14.5703125" style="12" customWidth="1"/>
    <col min="12229" max="12229" width="15" style="12" customWidth="1"/>
    <col min="12230" max="12231" width="11.42578125" style="12" customWidth="1"/>
    <col min="12232" max="12232" width="12.5703125" style="12" customWidth="1"/>
    <col min="12233" max="12473" width="9.140625" style="12"/>
    <col min="12474" max="12474" width="15.28515625" style="12" customWidth="1"/>
    <col min="12475" max="12475" width="48.7109375" style="12" bestFit="1" customWidth="1"/>
    <col min="12476" max="12476" width="20.28515625" style="12" customWidth="1"/>
    <col min="12477" max="12477" width="6.85546875" style="12" customWidth="1"/>
    <col min="12478" max="12478" width="13" style="12" customWidth="1"/>
    <col min="12479" max="12479" width="11" style="12" customWidth="1"/>
    <col min="12480" max="12480" width="15.7109375" style="12" bestFit="1" customWidth="1"/>
    <col min="12481" max="12481" width="11" style="12" customWidth="1"/>
    <col min="12482" max="12482" width="13" style="12" customWidth="1"/>
    <col min="12483" max="12483" width="8.140625" style="12" customWidth="1"/>
    <col min="12484" max="12484" width="14.5703125" style="12" customWidth="1"/>
    <col min="12485" max="12485" width="15" style="12" customWidth="1"/>
    <col min="12486" max="12487" width="11.42578125" style="12" customWidth="1"/>
    <col min="12488" max="12488" width="12.5703125" style="12" customWidth="1"/>
    <col min="12489" max="12729" width="9.140625" style="12"/>
    <col min="12730" max="12730" width="15.28515625" style="12" customWidth="1"/>
    <col min="12731" max="12731" width="48.7109375" style="12" bestFit="1" customWidth="1"/>
    <col min="12732" max="12732" width="20.28515625" style="12" customWidth="1"/>
    <col min="12733" max="12733" width="6.85546875" style="12" customWidth="1"/>
    <col min="12734" max="12734" width="13" style="12" customWidth="1"/>
    <col min="12735" max="12735" width="11" style="12" customWidth="1"/>
    <col min="12736" max="12736" width="15.7109375" style="12" bestFit="1" customWidth="1"/>
    <col min="12737" max="12737" width="11" style="12" customWidth="1"/>
    <col min="12738" max="12738" width="13" style="12" customWidth="1"/>
    <col min="12739" max="12739" width="8.140625" style="12" customWidth="1"/>
    <col min="12740" max="12740" width="14.5703125" style="12" customWidth="1"/>
    <col min="12741" max="12741" width="15" style="12" customWidth="1"/>
    <col min="12742" max="12743" width="11.42578125" style="12" customWidth="1"/>
    <col min="12744" max="12744" width="12.5703125" style="12" customWidth="1"/>
    <col min="12745" max="12985" width="9.140625" style="12"/>
    <col min="12986" max="12986" width="15.28515625" style="12" customWidth="1"/>
    <col min="12987" max="12987" width="48.7109375" style="12" bestFit="1" customWidth="1"/>
    <col min="12988" max="12988" width="20.28515625" style="12" customWidth="1"/>
    <col min="12989" max="12989" width="6.85546875" style="12" customWidth="1"/>
    <col min="12990" max="12990" width="13" style="12" customWidth="1"/>
    <col min="12991" max="12991" width="11" style="12" customWidth="1"/>
    <col min="12992" max="12992" width="15.7109375" style="12" bestFit="1" customWidth="1"/>
    <col min="12993" max="12993" width="11" style="12" customWidth="1"/>
    <col min="12994" max="12994" width="13" style="12" customWidth="1"/>
    <col min="12995" max="12995" width="8.140625" style="12" customWidth="1"/>
    <col min="12996" max="12996" width="14.5703125" style="12" customWidth="1"/>
    <col min="12997" max="12997" width="15" style="12" customWidth="1"/>
    <col min="12998" max="12999" width="11.42578125" style="12" customWidth="1"/>
    <col min="13000" max="13000" width="12.5703125" style="12" customWidth="1"/>
    <col min="13001" max="13241" width="9.140625" style="12"/>
    <col min="13242" max="13242" width="15.28515625" style="12" customWidth="1"/>
    <col min="13243" max="13243" width="48.7109375" style="12" bestFit="1" customWidth="1"/>
    <col min="13244" max="13244" width="20.28515625" style="12" customWidth="1"/>
    <col min="13245" max="13245" width="6.85546875" style="12" customWidth="1"/>
    <col min="13246" max="13246" width="13" style="12" customWidth="1"/>
    <col min="13247" max="13247" width="11" style="12" customWidth="1"/>
    <col min="13248" max="13248" width="15.7109375" style="12" bestFit="1" customWidth="1"/>
    <col min="13249" max="13249" width="11" style="12" customWidth="1"/>
    <col min="13250" max="13250" width="13" style="12" customWidth="1"/>
    <col min="13251" max="13251" width="8.140625" style="12" customWidth="1"/>
    <col min="13252" max="13252" width="14.5703125" style="12" customWidth="1"/>
    <col min="13253" max="13253" width="15" style="12" customWidth="1"/>
    <col min="13254" max="13255" width="11.42578125" style="12" customWidth="1"/>
    <col min="13256" max="13256" width="12.5703125" style="12" customWidth="1"/>
    <col min="13257" max="13497" width="9.140625" style="12"/>
    <col min="13498" max="13498" width="15.28515625" style="12" customWidth="1"/>
    <col min="13499" max="13499" width="48.7109375" style="12" bestFit="1" customWidth="1"/>
    <col min="13500" max="13500" width="20.28515625" style="12" customWidth="1"/>
    <col min="13501" max="13501" width="6.85546875" style="12" customWidth="1"/>
    <col min="13502" max="13502" width="13" style="12" customWidth="1"/>
    <col min="13503" max="13503" width="11" style="12" customWidth="1"/>
    <col min="13504" max="13504" width="15.7109375" style="12" bestFit="1" customWidth="1"/>
    <col min="13505" max="13505" width="11" style="12" customWidth="1"/>
    <col min="13506" max="13506" width="13" style="12" customWidth="1"/>
    <col min="13507" max="13507" width="8.140625" style="12" customWidth="1"/>
    <col min="13508" max="13508" width="14.5703125" style="12" customWidth="1"/>
    <col min="13509" max="13509" width="15" style="12" customWidth="1"/>
    <col min="13510" max="13511" width="11.42578125" style="12" customWidth="1"/>
    <col min="13512" max="13512" width="12.5703125" style="12" customWidth="1"/>
    <col min="13513" max="13753" width="9.140625" style="12"/>
    <col min="13754" max="13754" width="15.28515625" style="12" customWidth="1"/>
    <col min="13755" max="13755" width="48.7109375" style="12" bestFit="1" customWidth="1"/>
    <col min="13756" max="13756" width="20.28515625" style="12" customWidth="1"/>
    <col min="13757" max="13757" width="6.85546875" style="12" customWidth="1"/>
    <col min="13758" max="13758" width="13" style="12" customWidth="1"/>
    <col min="13759" max="13759" width="11" style="12" customWidth="1"/>
    <col min="13760" max="13760" width="15.7109375" style="12" bestFit="1" customWidth="1"/>
    <col min="13761" max="13761" width="11" style="12" customWidth="1"/>
    <col min="13762" max="13762" width="13" style="12" customWidth="1"/>
    <col min="13763" max="13763" width="8.140625" style="12" customWidth="1"/>
    <col min="13764" max="13764" width="14.5703125" style="12" customWidth="1"/>
    <col min="13765" max="13765" width="15" style="12" customWidth="1"/>
    <col min="13766" max="13767" width="11.42578125" style="12" customWidth="1"/>
    <col min="13768" max="13768" width="12.5703125" style="12" customWidth="1"/>
    <col min="13769" max="14009" width="9.140625" style="12"/>
    <col min="14010" max="14010" width="15.28515625" style="12" customWidth="1"/>
    <col min="14011" max="14011" width="48.7109375" style="12" bestFit="1" customWidth="1"/>
    <col min="14012" max="14012" width="20.28515625" style="12" customWidth="1"/>
    <col min="14013" max="14013" width="6.85546875" style="12" customWidth="1"/>
    <col min="14014" max="14014" width="13" style="12" customWidth="1"/>
    <col min="14015" max="14015" width="11" style="12" customWidth="1"/>
    <col min="14016" max="14016" width="15.7109375" style="12" bestFit="1" customWidth="1"/>
    <col min="14017" max="14017" width="11" style="12" customWidth="1"/>
    <col min="14018" max="14018" width="13" style="12" customWidth="1"/>
    <col min="14019" max="14019" width="8.140625" style="12" customWidth="1"/>
    <col min="14020" max="14020" width="14.5703125" style="12" customWidth="1"/>
    <col min="14021" max="14021" width="15" style="12" customWidth="1"/>
    <col min="14022" max="14023" width="11.42578125" style="12" customWidth="1"/>
    <col min="14024" max="14024" width="12.5703125" style="12" customWidth="1"/>
    <col min="14025" max="14265" width="9.140625" style="12"/>
    <col min="14266" max="14266" width="15.28515625" style="12" customWidth="1"/>
    <col min="14267" max="14267" width="48.7109375" style="12" bestFit="1" customWidth="1"/>
    <col min="14268" max="14268" width="20.28515625" style="12" customWidth="1"/>
    <col min="14269" max="14269" width="6.85546875" style="12" customWidth="1"/>
    <col min="14270" max="14270" width="13" style="12" customWidth="1"/>
    <col min="14271" max="14271" width="11" style="12" customWidth="1"/>
    <col min="14272" max="14272" width="15.7109375" style="12" bestFit="1" customWidth="1"/>
    <col min="14273" max="14273" width="11" style="12" customWidth="1"/>
    <col min="14274" max="14274" width="13" style="12" customWidth="1"/>
    <col min="14275" max="14275" width="8.140625" style="12" customWidth="1"/>
    <col min="14276" max="14276" width="14.5703125" style="12" customWidth="1"/>
    <col min="14277" max="14277" width="15" style="12" customWidth="1"/>
    <col min="14278" max="14279" width="11.42578125" style="12" customWidth="1"/>
    <col min="14280" max="14280" width="12.5703125" style="12" customWidth="1"/>
    <col min="14281" max="14521" width="9.140625" style="12"/>
    <col min="14522" max="14522" width="15.28515625" style="12" customWidth="1"/>
    <col min="14523" max="14523" width="48.7109375" style="12" bestFit="1" customWidth="1"/>
    <col min="14524" max="14524" width="20.28515625" style="12" customWidth="1"/>
    <col min="14525" max="14525" width="6.85546875" style="12" customWidth="1"/>
    <col min="14526" max="14526" width="13" style="12" customWidth="1"/>
    <col min="14527" max="14527" width="11" style="12" customWidth="1"/>
    <col min="14528" max="14528" width="15.7109375" style="12" bestFit="1" customWidth="1"/>
    <col min="14529" max="14529" width="11" style="12" customWidth="1"/>
    <col min="14530" max="14530" width="13" style="12" customWidth="1"/>
    <col min="14531" max="14531" width="8.140625" style="12" customWidth="1"/>
    <col min="14532" max="14532" width="14.5703125" style="12" customWidth="1"/>
    <col min="14533" max="14533" width="15" style="12" customWidth="1"/>
    <col min="14534" max="14535" width="11.42578125" style="12" customWidth="1"/>
    <col min="14536" max="14536" width="12.5703125" style="12" customWidth="1"/>
    <col min="14537" max="14777" width="9.140625" style="12"/>
    <col min="14778" max="14778" width="15.28515625" style="12" customWidth="1"/>
    <col min="14779" max="14779" width="48.7109375" style="12" bestFit="1" customWidth="1"/>
    <col min="14780" max="14780" width="20.28515625" style="12" customWidth="1"/>
    <col min="14781" max="14781" width="6.85546875" style="12" customWidth="1"/>
    <col min="14782" max="14782" width="13" style="12" customWidth="1"/>
    <col min="14783" max="14783" width="11" style="12" customWidth="1"/>
    <col min="14784" max="14784" width="15.7109375" style="12" bestFit="1" customWidth="1"/>
    <col min="14785" max="14785" width="11" style="12" customWidth="1"/>
    <col min="14786" max="14786" width="13" style="12" customWidth="1"/>
    <col min="14787" max="14787" width="8.140625" style="12" customWidth="1"/>
    <col min="14788" max="14788" width="14.5703125" style="12" customWidth="1"/>
    <col min="14789" max="14789" width="15" style="12" customWidth="1"/>
    <col min="14790" max="14791" width="11.42578125" style="12" customWidth="1"/>
    <col min="14792" max="14792" width="12.5703125" style="12" customWidth="1"/>
    <col min="14793" max="15033" width="9.140625" style="12"/>
    <col min="15034" max="15034" width="15.28515625" style="12" customWidth="1"/>
    <col min="15035" max="15035" width="48.7109375" style="12" bestFit="1" customWidth="1"/>
    <col min="15036" max="15036" width="20.28515625" style="12" customWidth="1"/>
    <col min="15037" max="15037" width="6.85546875" style="12" customWidth="1"/>
    <col min="15038" max="15038" width="13" style="12" customWidth="1"/>
    <col min="15039" max="15039" width="11" style="12" customWidth="1"/>
    <col min="15040" max="15040" width="15.7109375" style="12" bestFit="1" customWidth="1"/>
    <col min="15041" max="15041" width="11" style="12" customWidth="1"/>
    <col min="15042" max="15042" width="13" style="12" customWidth="1"/>
    <col min="15043" max="15043" width="8.140625" style="12" customWidth="1"/>
    <col min="15044" max="15044" width="14.5703125" style="12" customWidth="1"/>
    <col min="15045" max="15045" width="15" style="12" customWidth="1"/>
    <col min="15046" max="15047" width="11.42578125" style="12" customWidth="1"/>
    <col min="15048" max="15048" width="12.5703125" style="12" customWidth="1"/>
    <col min="15049" max="15289" width="9.140625" style="12"/>
    <col min="15290" max="15290" width="15.28515625" style="12" customWidth="1"/>
    <col min="15291" max="15291" width="48.7109375" style="12" bestFit="1" customWidth="1"/>
    <col min="15292" max="15292" width="20.28515625" style="12" customWidth="1"/>
    <col min="15293" max="15293" width="6.85546875" style="12" customWidth="1"/>
    <col min="15294" max="15294" width="13" style="12" customWidth="1"/>
    <col min="15295" max="15295" width="11" style="12" customWidth="1"/>
    <col min="15296" max="15296" width="15.7109375" style="12" bestFit="1" customWidth="1"/>
    <col min="15297" max="15297" width="11" style="12" customWidth="1"/>
    <col min="15298" max="15298" width="13" style="12" customWidth="1"/>
    <col min="15299" max="15299" width="8.140625" style="12" customWidth="1"/>
    <col min="15300" max="15300" width="14.5703125" style="12" customWidth="1"/>
    <col min="15301" max="15301" width="15" style="12" customWidth="1"/>
    <col min="15302" max="15303" width="11.42578125" style="12" customWidth="1"/>
    <col min="15304" max="15304" width="12.5703125" style="12" customWidth="1"/>
    <col min="15305" max="15545" width="9.140625" style="12"/>
    <col min="15546" max="15546" width="15.28515625" style="12" customWidth="1"/>
    <col min="15547" max="15547" width="48.7109375" style="12" bestFit="1" customWidth="1"/>
    <col min="15548" max="15548" width="20.28515625" style="12" customWidth="1"/>
    <col min="15549" max="15549" width="6.85546875" style="12" customWidth="1"/>
    <col min="15550" max="15550" width="13" style="12" customWidth="1"/>
    <col min="15551" max="15551" width="11" style="12" customWidth="1"/>
    <col min="15552" max="15552" width="15.7109375" style="12" bestFit="1" customWidth="1"/>
    <col min="15553" max="15553" width="11" style="12" customWidth="1"/>
    <col min="15554" max="15554" width="13" style="12" customWidth="1"/>
    <col min="15555" max="15555" width="8.140625" style="12" customWidth="1"/>
    <col min="15556" max="15556" width="14.5703125" style="12" customWidth="1"/>
    <col min="15557" max="15557" width="15" style="12" customWidth="1"/>
    <col min="15558" max="15559" width="11.42578125" style="12" customWidth="1"/>
    <col min="15560" max="15560" width="12.5703125" style="12" customWidth="1"/>
    <col min="15561" max="15801" width="9.140625" style="12"/>
    <col min="15802" max="15802" width="15.28515625" style="12" customWidth="1"/>
    <col min="15803" max="15803" width="48.7109375" style="12" bestFit="1" customWidth="1"/>
    <col min="15804" max="15804" width="20.28515625" style="12" customWidth="1"/>
    <col min="15805" max="15805" width="6.85546875" style="12" customWidth="1"/>
    <col min="15806" max="15806" width="13" style="12" customWidth="1"/>
    <col min="15807" max="15807" width="11" style="12" customWidth="1"/>
    <col min="15808" max="15808" width="15.7109375" style="12" bestFit="1" customWidth="1"/>
    <col min="15809" max="15809" width="11" style="12" customWidth="1"/>
    <col min="15810" max="15810" width="13" style="12" customWidth="1"/>
    <col min="15811" max="15811" width="8.140625" style="12" customWidth="1"/>
    <col min="15812" max="15812" width="14.5703125" style="12" customWidth="1"/>
    <col min="15813" max="15813" width="15" style="12" customWidth="1"/>
    <col min="15814" max="15815" width="11.42578125" style="12" customWidth="1"/>
    <col min="15816" max="15816" width="12.5703125" style="12" customWidth="1"/>
    <col min="15817" max="16057" width="9.140625" style="12"/>
    <col min="16058" max="16058" width="15.28515625" style="12" customWidth="1"/>
    <col min="16059" max="16059" width="48.7109375" style="12" bestFit="1" customWidth="1"/>
    <col min="16060" max="16060" width="20.28515625" style="12" customWidth="1"/>
    <col min="16061" max="16061" width="6.85546875" style="12" customWidth="1"/>
    <col min="16062" max="16062" width="13" style="12" customWidth="1"/>
    <col min="16063" max="16063" width="11" style="12" customWidth="1"/>
    <col min="16064" max="16064" width="15.7109375" style="12" bestFit="1" customWidth="1"/>
    <col min="16065" max="16065" width="11" style="12" customWidth="1"/>
    <col min="16066" max="16066" width="13" style="12" customWidth="1"/>
    <col min="16067" max="16067" width="8.140625" style="12" customWidth="1"/>
    <col min="16068" max="16068" width="14.5703125" style="12" customWidth="1"/>
    <col min="16069" max="16069" width="15" style="12" customWidth="1"/>
    <col min="16070" max="16071" width="11.42578125" style="12" customWidth="1"/>
    <col min="16072" max="16072" width="12.5703125" style="12" customWidth="1"/>
    <col min="16073" max="16372" width="9.140625" style="12"/>
    <col min="16373" max="16384" width="8.85546875" style="12" customWidth="1"/>
  </cols>
  <sheetData>
    <row r="1" spans="1:38" x14ac:dyDescent="0.2">
      <c r="A1" s="89" t="s">
        <v>31</v>
      </c>
      <c r="B1" s="89"/>
      <c r="C1" s="89"/>
      <c r="D1" s="89"/>
      <c r="E1" s="89"/>
      <c r="F1" s="10"/>
    </row>
    <row r="2" spans="1:38" s="15" customFormat="1" x14ac:dyDescent="0.2">
      <c r="A2" s="90" t="s">
        <v>32</v>
      </c>
      <c r="B2" s="90" t="s">
        <v>33</v>
      </c>
      <c r="C2" s="89" t="s">
        <v>34</v>
      </c>
      <c r="D2" s="91" t="s">
        <v>35</v>
      </c>
      <c r="E2" s="91" t="s">
        <v>36</v>
      </c>
      <c r="F2" s="13"/>
      <c r="G2" s="11"/>
      <c r="H2" s="14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</row>
    <row r="3" spans="1:38" s="15" customFormat="1" x14ac:dyDescent="0.2">
      <c r="A3" s="90"/>
      <c r="B3" s="90"/>
      <c r="C3" s="89"/>
      <c r="D3" s="91"/>
      <c r="E3" s="91"/>
      <c r="F3" s="16"/>
      <c r="G3" s="12"/>
      <c r="H3" s="1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5" customFormat="1" x14ac:dyDescent="0.2">
      <c r="A4" s="17">
        <v>1</v>
      </c>
      <c r="B4" s="18"/>
      <c r="C4" s="18" t="s">
        <v>37</v>
      </c>
      <c r="D4" s="18"/>
      <c r="E4" s="18"/>
      <c r="F4" s="16"/>
      <c r="G4" s="12"/>
      <c r="H4" s="1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38" s="15" customFormat="1" x14ac:dyDescent="0.2">
      <c r="A5" s="19" t="s">
        <v>38</v>
      </c>
      <c r="B5" s="20"/>
      <c r="C5" s="21" t="s">
        <v>39</v>
      </c>
      <c r="D5" s="22"/>
      <c r="E5" s="23"/>
      <c r="F5" s="16"/>
      <c r="G5" s="12"/>
      <c r="H5" s="12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spans="1:38" s="15" customFormat="1" x14ac:dyDescent="0.2">
      <c r="A6" s="24" t="s">
        <v>40</v>
      </c>
      <c r="B6" s="20">
        <v>4805757</v>
      </c>
      <c r="C6" s="25" t="s">
        <v>41</v>
      </c>
      <c r="D6" s="22" t="s">
        <v>42</v>
      </c>
      <c r="E6" s="23">
        <f>'MQ-PE'!B14+'MQ-PE'!B44</f>
        <v>222.29999999999998</v>
      </c>
      <c r="F6" s="16"/>
      <c r="G6" s="12"/>
      <c r="H6" s="12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s="15" customFormat="1" ht="25.5" x14ac:dyDescent="0.2">
      <c r="A7" s="24" t="s">
        <v>43</v>
      </c>
      <c r="B7" s="20">
        <v>2306122</v>
      </c>
      <c r="C7" s="25" t="s">
        <v>316</v>
      </c>
      <c r="D7" s="22" t="s">
        <v>44</v>
      </c>
      <c r="E7" s="23">
        <f>'MQ-PE'!B11</f>
        <v>480</v>
      </c>
      <c r="F7" s="16"/>
      <c r="G7" s="12"/>
      <c r="H7" s="12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 spans="1:38" s="15" customFormat="1" ht="25.5" x14ac:dyDescent="0.2">
      <c r="A8" s="24" t="s">
        <v>45</v>
      </c>
      <c r="B8" s="20">
        <v>1106057</v>
      </c>
      <c r="C8" s="25" t="s">
        <v>48</v>
      </c>
      <c r="D8" s="22" t="s">
        <v>42</v>
      </c>
      <c r="E8" s="23">
        <f>'MQ-PE'!B47</f>
        <v>2.4000000000000004</v>
      </c>
      <c r="F8" s="16"/>
      <c r="G8" s="12"/>
      <c r="H8" s="12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</row>
    <row r="9" spans="1:38" s="15" customFormat="1" ht="25.5" x14ac:dyDescent="0.2">
      <c r="A9" s="24" t="s">
        <v>46</v>
      </c>
      <c r="B9" s="20">
        <v>3108012</v>
      </c>
      <c r="C9" s="25" t="s">
        <v>50</v>
      </c>
      <c r="D9" s="22" t="s">
        <v>51</v>
      </c>
      <c r="E9" s="23">
        <f>'MQ-PE'!B17+'MQ-PE'!B50</f>
        <v>104.16</v>
      </c>
      <c r="F9" s="16"/>
      <c r="G9" s="12"/>
      <c r="H9" s="12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</row>
    <row r="10" spans="1:38" s="15" customFormat="1" ht="25.5" x14ac:dyDescent="0.2">
      <c r="A10" s="24" t="s">
        <v>47</v>
      </c>
      <c r="B10" s="20">
        <v>407819</v>
      </c>
      <c r="C10" s="25" t="s">
        <v>53</v>
      </c>
      <c r="D10" s="22" t="s">
        <v>54</v>
      </c>
      <c r="E10" s="23">
        <f>'MQ-PE'!B65</f>
        <v>2621</v>
      </c>
      <c r="F10" s="16"/>
      <c r="G10" s="12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</row>
    <row r="11" spans="1:38" s="15" customFormat="1" ht="25.5" x14ac:dyDescent="0.2">
      <c r="A11" s="24" t="s">
        <v>49</v>
      </c>
      <c r="B11" s="20">
        <v>1107900</v>
      </c>
      <c r="C11" s="25" t="s">
        <v>56</v>
      </c>
      <c r="D11" s="22" t="s">
        <v>42</v>
      </c>
      <c r="E11" s="23">
        <f>'MQ-PE'!B20+'MQ-PE'!B53</f>
        <v>30.240000000000002</v>
      </c>
      <c r="F11" s="16"/>
      <c r="G11" s="12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</row>
    <row r="12" spans="1:38" s="15" customFormat="1" x14ac:dyDescent="0.2">
      <c r="A12" s="24" t="s">
        <v>52</v>
      </c>
      <c r="B12" s="20">
        <v>1100657</v>
      </c>
      <c r="C12" s="25" t="s">
        <v>58</v>
      </c>
      <c r="D12" s="22" t="s">
        <v>42</v>
      </c>
      <c r="E12" s="23">
        <f>E11</f>
        <v>30.240000000000002</v>
      </c>
      <c r="F12" s="16"/>
      <c r="G12" s="12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</row>
    <row r="13" spans="1:38" s="15" customFormat="1" x14ac:dyDescent="0.2">
      <c r="A13" s="24" t="s">
        <v>55</v>
      </c>
      <c r="B13" s="20">
        <v>4815671</v>
      </c>
      <c r="C13" s="25" t="s">
        <v>59</v>
      </c>
      <c r="D13" s="22" t="s">
        <v>42</v>
      </c>
      <c r="E13" s="23">
        <f>'MQ-PE'!B56</f>
        <v>191.09999999999997</v>
      </c>
      <c r="F13" s="16"/>
      <c r="G13" s="12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</row>
    <row r="14" spans="1:38" s="15" customFormat="1" x14ac:dyDescent="0.2">
      <c r="A14" s="24" t="s">
        <v>57</v>
      </c>
      <c r="B14" s="20">
        <v>2003864</v>
      </c>
      <c r="C14" s="25" t="s">
        <v>60</v>
      </c>
      <c r="D14" s="22" t="s">
        <v>61</v>
      </c>
      <c r="E14" s="23">
        <f>'MQ-PE'!B65</f>
        <v>2621</v>
      </c>
      <c r="F14" s="16"/>
      <c r="G14" s="12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s="15" customFormat="1" x14ac:dyDescent="0.2">
      <c r="A15" s="24"/>
      <c r="B15" s="20"/>
      <c r="C15" s="25"/>
      <c r="D15" s="22"/>
      <c r="E15" s="23"/>
      <c r="F15" s="16"/>
      <c r="G15" s="12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</row>
    <row r="16" spans="1:38" s="15" customFormat="1" x14ac:dyDescent="0.2">
      <c r="A16" s="19" t="s">
        <v>62</v>
      </c>
      <c r="B16" s="20"/>
      <c r="C16" s="21" t="s">
        <v>17</v>
      </c>
      <c r="D16" s="22"/>
      <c r="E16" s="23"/>
      <c r="F16" s="16"/>
      <c r="G16" s="12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</row>
    <row r="17" spans="1:38" s="15" customFormat="1" ht="25.5" x14ac:dyDescent="0.2">
      <c r="A17" s="24" t="s">
        <v>63</v>
      </c>
      <c r="B17" s="20">
        <v>3108012</v>
      </c>
      <c r="C17" s="25" t="s">
        <v>50</v>
      </c>
      <c r="D17" s="22" t="s">
        <v>51</v>
      </c>
      <c r="E17" s="23">
        <f>'MQ-PE'!B75+'MQ-PE'!B91</f>
        <v>25.14</v>
      </c>
      <c r="F17" s="16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</row>
    <row r="18" spans="1:38" s="15" customFormat="1" ht="25.5" x14ac:dyDescent="0.2">
      <c r="A18" s="24" t="s">
        <v>64</v>
      </c>
      <c r="B18" s="20">
        <v>407819</v>
      </c>
      <c r="C18" s="25" t="s">
        <v>53</v>
      </c>
      <c r="D18" s="22" t="s">
        <v>54</v>
      </c>
      <c r="E18" s="23">
        <f>'MQ-PE'!B81+'MQ-PE'!B97</f>
        <v>834</v>
      </c>
      <c r="F18" s="16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</row>
    <row r="19" spans="1:38" s="15" customFormat="1" ht="25.5" x14ac:dyDescent="0.2">
      <c r="A19" s="24" t="s">
        <v>65</v>
      </c>
      <c r="B19" s="20">
        <v>1107900</v>
      </c>
      <c r="C19" s="25" t="s">
        <v>56</v>
      </c>
      <c r="D19" s="22" t="s">
        <v>42</v>
      </c>
      <c r="E19" s="23">
        <f>'MQ-PE'!B78+'MQ-PE'!B94</f>
        <v>6.2839999999999998</v>
      </c>
      <c r="F19" s="16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8" s="15" customFormat="1" x14ac:dyDescent="0.2">
      <c r="A20" s="24" t="s">
        <v>66</v>
      </c>
      <c r="B20" s="20">
        <v>1100657</v>
      </c>
      <c r="C20" s="25" t="s">
        <v>58</v>
      </c>
      <c r="D20" s="22" t="s">
        <v>42</v>
      </c>
      <c r="E20" s="23">
        <f>E19</f>
        <v>6.2839999999999998</v>
      </c>
      <c r="F20" s="16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1" spans="1:38" s="15" customFormat="1" x14ac:dyDescent="0.2">
      <c r="A21" s="24"/>
      <c r="B21" s="20"/>
      <c r="C21" s="25"/>
      <c r="D21" s="22"/>
      <c r="E21" s="23"/>
      <c r="F21" s="16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</row>
    <row r="22" spans="1:38" s="15" customFormat="1" x14ac:dyDescent="0.2">
      <c r="A22" s="19" t="s">
        <v>67</v>
      </c>
      <c r="B22" s="20"/>
      <c r="C22" s="21" t="s">
        <v>68</v>
      </c>
      <c r="D22" s="22"/>
      <c r="E22" s="23"/>
      <c r="F22" s="16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</row>
    <row r="23" spans="1:38" s="15" customFormat="1" ht="25.5" x14ac:dyDescent="0.2">
      <c r="A23" s="24" t="s">
        <v>69</v>
      </c>
      <c r="B23" s="20">
        <v>3108012</v>
      </c>
      <c r="C23" s="25" t="s">
        <v>50</v>
      </c>
      <c r="D23" s="22" t="s">
        <v>51</v>
      </c>
      <c r="E23" s="23">
        <f>'MQ-PE'!B108+'MQ-PE'!B153+'MQ-PE'!B128</f>
        <v>126.31</v>
      </c>
      <c r="F23" s="16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</row>
    <row r="24" spans="1:38" s="15" customFormat="1" ht="25.5" x14ac:dyDescent="0.2">
      <c r="A24" s="24" t="s">
        <v>70</v>
      </c>
      <c r="B24" s="20">
        <v>2108166</v>
      </c>
      <c r="C24" s="25" t="s">
        <v>71</v>
      </c>
      <c r="D24" s="22" t="s">
        <v>42</v>
      </c>
      <c r="E24" s="23">
        <f>'MQ-PE'!B111+'MQ-PE'!B131</f>
        <v>41.055</v>
      </c>
      <c r="F24" s="16"/>
      <c r="G24" s="12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</row>
    <row r="25" spans="1:38" s="15" customFormat="1" ht="25.5" x14ac:dyDescent="0.2">
      <c r="A25" s="24" t="s">
        <v>72</v>
      </c>
      <c r="B25" s="20">
        <v>407819</v>
      </c>
      <c r="C25" s="25" t="s">
        <v>53</v>
      </c>
      <c r="D25" s="22" t="s">
        <v>54</v>
      </c>
      <c r="E25" s="23">
        <f>'MQ-PE'!B117+'MQ-PE'!B137</f>
        <v>4247</v>
      </c>
      <c r="F25" s="16"/>
      <c r="G25" s="12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</row>
    <row r="26" spans="1:38" s="15" customFormat="1" ht="25.5" x14ac:dyDescent="0.2">
      <c r="A26" s="24" t="s">
        <v>73</v>
      </c>
      <c r="B26" s="20">
        <v>1107900</v>
      </c>
      <c r="C26" s="25" t="s">
        <v>56</v>
      </c>
      <c r="D26" s="22" t="s">
        <v>42</v>
      </c>
      <c r="E26" s="23">
        <f>'MQ-PE'!B114+'MQ-PE'!B156+'MQ-PE'!B134</f>
        <v>46.326000000000001</v>
      </c>
      <c r="F26" s="16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</row>
    <row r="27" spans="1:38" s="15" customFormat="1" x14ac:dyDescent="0.2">
      <c r="A27" s="24" t="s">
        <v>74</v>
      </c>
      <c r="B27" s="20">
        <v>1100657</v>
      </c>
      <c r="C27" s="25" t="s">
        <v>58</v>
      </c>
      <c r="D27" s="22" t="s">
        <v>42</v>
      </c>
      <c r="E27" s="23">
        <f>E26</f>
        <v>46.326000000000001</v>
      </c>
      <c r="F27" s="16"/>
      <c r="G27" s="12"/>
      <c r="H27" s="1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</row>
    <row r="28" spans="1:38" s="15" customFormat="1" ht="25.5" x14ac:dyDescent="0.2">
      <c r="A28" s="24" t="s">
        <v>75</v>
      </c>
      <c r="B28" s="20">
        <v>1109680</v>
      </c>
      <c r="C28" s="25" t="s">
        <v>400</v>
      </c>
      <c r="D28" s="22" t="s">
        <v>42</v>
      </c>
      <c r="E28" s="23">
        <f>'MQ-PE'!B159</f>
        <v>9.6000000000000002E-2</v>
      </c>
      <c r="F28" s="16"/>
      <c r="G28" s="12"/>
      <c r="H28" s="1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</row>
    <row r="29" spans="1:38" s="15" customFormat="1" ht="25.5" x14ac:dyDescent="0.2">
      <c r="A29" s="24" t="s">
        <v>401</v>
      </c>
      <c r="B29" s="20">
        <v>307732</v>
      </c>
      <c r="C29" s="25" t="s">
        <v>76</v>
      </c>
      <c r="D29" s="22" t="s">
        <v>77</v>
      </c>
      <c r="E29" s="23">
        <f>'MQ-PE'!B162</f>
        <v>67.2</v>
      </c>
      <c r="F29" s="16"/>
      <c r="G29" s="12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</row>
    <row r="30" spans="1:38" s="15" customFormat="1" x14ac:dyDescent="0.2">
      <c r="A30" s="24"/>
      <c r="B30" s="20"/>
      <c r="C30" s="25"/>
      <c r="D30" s="22"/>
      <c r="E30" s="23"/>
      <c r="F30" s="16"/>
      <c r="G30" s="12"/>
      <c r="H30" s="1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</row>
    <row r="31" spans="1:38" s="15" customFormat="1" x14ac:dyDescent="0.2">
      <c r="A31" s="19" t="s">
        <v>78</v>
      </c>
      <c r="B31" s="20"/>
      <c r="C31" s="21" t="s">
        <v>23</v>
      </c>
      <c r="D31" s="22"/>
      <c r="E31" s="23"/>
      <c r="F31" s="16"/>
      <c r="G31" s="12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</row>
    <row r="32" spans="1:38" s="15" customFormat="1" ht="25.5" x14ac:dyDescent="0.2">
      <c r="A32" s="24" t="s">
        <v>79</v>
      </c>
      <c r="B32" s="20">
        <v>3108012</v>
      </c>
      <c r="C32" s="25" t="s">
        <v>50</v>
      </c>
      <c r="D32" s="22" t="s">
        <v>51</v>
      </c>
      <c r="E32" s="23">
        <f>'MQ-PE'!B174</f>
        <v>51.53</v>
      </c>
      <c r="F32" s="16"/>
      <c r="G32" s="12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</row>
    <row r="33" spans="1:38" s="15" customFormat="1" ht="25.5" x14ac:dyDescent="0.2">
      <c r="A33" s="24" t="s">
        <v>80</v>
      </c>
      <c r="B33" s="20">
        <v>407819</v>
      </c>
      <c r="C33" s="25" t="s">
        <v>53</v>
      </c>
      <c r="D33" s="22" t="s">
        <v>54</v>
      </c>
      <c r="E33" s="23">
        <f>'MQ-PE'!B180</f>
        <v>1402</v>
      </c>
      <c r="F33" s="16"/>
      <c r="G33" s="12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</row>
    <row r="34" spans="1:38" s="15" customFormat="1" ht="25.5" x14ac:dyDescent="0.2">
      <c r="A34" s="24" t="s">
        <v>81</v>
      </c>
      <c r="B34" s="20">
        <v>1107900</v>
      </c>
      <c r="C34" s="25" t="s">
        <v>56</v>
      </c>
      <c r="D34" s="22" t="s">
        <v>42</v>
      </c>
      <c r="E34" s="23">
        <f>'MQ-PE'!B177</f>
        <v>6.48</v>
      </c>
      <c r="F34" s="16"/>
      <c r="G34" s="12"/>
      <c r="H34" s="12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</row>
    <row r="35" spans="1:38" s="15" customFormat="1" x14ac:dyDescent="0.2">
      <c r="A35" s="24" t="s">
        <v>82</v>
      </c>
      <c r="B35" s="20">
        <v>1100657</v>
      </c>
      <c r="C35" s="25" t="s">
        <v>58</v>
      </c>
      <c r="D35" s="22" t="s">
        <v>42</v>
      </c>
      <c r="E35" s="23">
        <f>E34</f>
        <v>6.48</v>
      </c>
      <c r="F35" s="16"/>
      <c r="G35" s="12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</row>
    <row r="36" spans="1:38" s="15" customFormat="1" x14ac:dyDescent="0.2">
      <c r="A36" s="19"/>
      <c r="B36" s="20"/>
      <c r="C36" s="21"/>
      <c r="D36" s="22"/>
      <c r="E36" s="23"/>
      <c r="F36" s="16"/>
      <c r="G36" s="12"/>
      <c r="H36" s="12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</row>
    <row r="37" spans="1:38" s="15" customFormat="1" x14ac:dyDescent="0.2">
      <c r="A37" s="19" t="s">
        <v>83</v>
      </c>
      <c r="B37" s="20"/>
      <c r="C37" s="21" t="s">
        <v>24</v>
      </c>
      <c r="D37" s="22"/>
      <c r="E37" s="23"/>
      <c r="F37" s="16"/>
      <c r="G37" s="12"/>
      <c r="H37" s="12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</row>
    <row r="38" spans="1:38" s="15" customFormat="1" ht="25.5" x14ac:dyDescent="0.2">
      <c r="A38" s="24" t="s">
        <v>84</v>
      </c>
      <c r="B38" s="20">
        <v>3108012</v>
      </c>
      <c r="C38" s="25" t="s">
        <v>50</v>
      </c>
      <c r="D38" s="22" t="s">
        <v>51</v>
      </c>
      <c r="E38" s="23">
        <f>'MQ-PE'!B192</f>
        <v>65.8</v>
      </c>
      <c r="F38" s="16"/>
      <c r="G38" s="12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</row>
    <row r="39" spans="1:38" s="15" customFormat="1" ht="25.5" x14ac:dyDescent="0.2">
      <c r="A39" s="24" t="s">
        <v>85</v>
      </c>
      <c r="B39" s="20">
        <v>407819</v>
      </c>
      <c r="C39" s="25" t="s">
        <v>53</v>
      </c>
      <c r="D39" s="22" t="s">
        <v>54</v>
      </c>
      <c r="E39" s="23">
        <f>'MQ-PE'!B201</f>
        <v>1741</v>
      </c>
      <c r="F39" s="16"/>
      <c r="G39" s="12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</row>
    <row r="40" spans="1:38" s="15" customFormat="1" ht="25.5" x14ac:dyDescent="0.2">
      <c r="A40" s="24" t="s">
        <v>86</v>
      </c>
      <c r="B40" s="20">
        <v>1107900</v>
      </c>
      <c r="C40" s="25" t="s">
        <v>56</v>
      </c>
      <c r="D40" s="22" t="s">
        <v>42</v>
      </c>
      <c r="E40" s="23">
        <f>'MQ-PE'!B195</f>
        <v>15.24</v>
      </c>
      <c r="F40" s="16"/>
      <c r="G40" s="12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</row>
    <row r="41" spans="1:38" s="15" customFormat="1" x14ac:dyDescent="0.2">
      <c r="A41" s="24" t="s">
        <v>87</v>
      </c>
      <c r="B41" s="20">
        <v>1100657</v>
      </c>
      <c r="C41" s="25" t="s">
        <v>58</v>
      </c>
      <c r="D41" s="22" t="s">
        <v>42</v>
      </c>
      <c r="E41" s="23">
        <f>E40</f>
        <v>15.24</v>
      </c>
      <c r="F41" s="16"/>
      <c r="G41" s="12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</row>
    <row r="42" spans="1:38" s="15" customFormat="1" ht="25.5" x14ac:dyDescent="0.2">
      <c r="A42" s="24" t="s">
        <v>88</v>
      </c>
      <c r="B42" s="20">
        <v>2003842</v>
      </c>
      <c r="C42" s="25" t="s">
        <v>89</v>
      </c>
      <c r="D42" s="22" t="s">
        <v>54</v>
      </c>
      <c r="E42" s="23">
        <f>'MQ-PE'!B198</f>
        <v>40.799999999999997</v>
      </c>
      <c r="F42" s="16"/>
      <c r="G42" s="12"/>
      <c r="H42" s="12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</row>
    <row r="43" spans="1:38" s="15" customFormat="1" x14ac:dyDescent="0.2">
      <c r="A43" s="24"/>
      <c r="B43" s="20"/>
      <c r="C43" s="25"/>
      <c r="D43" s="22"/>
      <c r="E43" s="23"/>
      <c r="F43" s="16"/>
      <c r="G43" s="12"/>
      <c r="H43" s="12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</row>
    <row r="44" spans="1:38" s="15" customFormat="1" x14ac:dyDescent="0.2">
      <c r="A44" s="19" t="s">
        <v>90</v>
      </c>
      <c r="B44" s="20"/>
      <c r="C44" s="21" t="s">
        <v>411</v>
      </c>
      <c r="D44" s="22"/>
      <c r="E44" s="23"/>
      <c r="F44" s="16"/>
      <c r="G44" s="12"/>
      <c r="H44" s="12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spans="1:38" s="15" customFormat="1" ht="25.5" x14ac:dyDescent="0.2">
      <c r="A45" s="24" t="s">
        <v>91</v>
      </c>
      <c r="B45" s="20">
        <v>1505879</v>
      </c>
      <c r="C45" s="25" t="s">
        <v>92</v>
      </c>
      <c r="D45" s="22" t="s">
        <v>42</v>
      </c>
      <c r="E45" s="23">
        <f>'MQ-PE'!B210</f>
        <v>236.29500000000002</v>
      </c>
      <c r="F45" s="16"/>
      <c r="G45" s="12"/>
      <c r="H45" s="12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 spans="1:38" s="15" customFormat="1" x14ac:dyDescent="0.2">
      <c r="A46" s="24" t="s">
        <v>407</v>
      </c>
      <c r="B46" s="20">
        <v>4815671</v>
      </c>
      <c r="C46" s="25" t="s">
        <v>59</v>
      </c>
      <c r="D46" s="22" t="s">
        <v>42</v>
      </c>
      <c r="E46" s="23">
        <f>'MQ-PE'!B222</f>
        <v>103.63500000000001</v>
      </c>
      <c r="F46" s="16"/>
      <c r="G46" s="12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 spans="1:38" s="15" customFormat="1" x14ac:dyDescent="0.2">
      <c r="A47" s="24" t="s">
        <v>408</v>
      </c>
      <c r="B47" s="20">
        <v>3816196</v>
      </c>
      <c r="C47" s="25" t="s">
        <v>404</v>
      </c>
      <c r="D47" s="22" t="s">
        <v>42</v>
      </c>
      <c r="E47" s="23">
        <f>'MQ-PE'!B225</f>
        <v>10.364000000000001</v>
      </c>
      <c r="F47" s="16"/>
      <c r="G47" s="12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 spans="1:38" s="15" customFormat="1" ht="25.5" x14ac:dyDescent="0.2">
      <c r="A48" s="24" t="s">
        <v>409</v>
      </c>
      <c r="B48" s="20">
        <v>2003854</v>
      </c>
      <c r="C48" s="25" t="s">
        <v>405</v>
      </c>
      <c r="D48" s="22" t="s">
        <v>42</v>
      </c>
      <c r="E48" s="23">
        <f>'MQ-PE'!B228</f>
        <v>23.94</v>
      </c>
      <c r="F48" s="16"/>
      <c r="G48" s="12"/>
      <c r="H48" s="1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 spans="1:38" s="15" customFormat="1" ht="25.5" x14ac:dyDescent="0.2">
      <c r="A49" s="24" t="s">
        <v>410</v>
      </c>
      <c r="B49" s="20">
        <v>2003856</v>
      </c>
      <c r="C49" s="25" t="s">
        <v>406</v>
      </c>
      <c r="D49" s="22" t="s">
        <v>42</v>
      </c>
      <c r="E49" s="23">
        <f>'MQ-PE'!B231</f>
        <v>32.130000000000003</v>
      </c>
      <c r="F49" s="16"/>
      <c r="G49" s="12"/>
      <c r="H49" s="12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 spans="1:38" s="15" customFormat="1" ht="25.5" x14ac:dyDescent="0.2">
      <c r="A50" s="24" t="s">
        <v>418</v>
      </c>
      <c r="B50" s="20">
        <v>2003866</v>
      </c>
      <c r="C50" s="25" t="s">
        <v>417</v>
      </c>
      <c r="D50" s="22" t="s">
        <v>51</v>
      </c>
      <c r="E50" s="23">
        <f>'MQ-PE'!B234</f>
        <v>76.23</v>
      </c>
      <c r="F50" s="16"/>
      <c r="G50" s="12"/>
      <c r="H50" s="1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 spans="1:38" s="15" customFormat="1" x14ac:dyDescent="0.2">
      <c r="A51" s="24"/>
      <c r="B51" s="20"/>
      <c r="C51" s="25"/>
      <c r="D51" s="22"/>
      <c r="E51" s="23"/>
      <c r="F51" s="16"/>
      <c r="G51" s="12"/>
      <c r="H51" s="1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 spans="1:38" s="15" customFormat="1" x14ac:dyDescent="0.2">
      <c r="A52" s="17">
        <v>2</v>
      </c>
      <c r="B52" s="18"/>
      <c r="C52" s="18" t="s">
        <v>93</v>
      </c>
      <c r="D52" s="18"/>
      <c r="E52" s="18"/>
      <c r="F52" s="16"/>
      <c r="G52" s="12"/>
      <c r="H52" s="1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 spans="1:38" s="15" customFormat="1" x14ac:dyDescent="0.2">
      <c r="A53" s="19" t="s">
        <v>94</v>
      </c>
      <c r="B53" s="26"/>
      <c r="C53" s="21" t="s">
        <v>333</v>
      </c>
      <c r="D53" s="27"/>
      <c r="E53" s="28"/>
      <c r="F53" s="16"/>
      <c r="G53" s="12"/>
      <c r="H53" s="12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 spans="1:38" s="15" customFormat="1" ht="25.5" x14ac:dyDescent="0.2">
      <c r="A54" s="24" t="s">
        <v>95</v>
      </c>
      <c r="B54" s="20">
        <v>1106057</v>
      </c>
      <c r="C54" s="25" t="s">
        <v>48</v>
      </c>
      <c r="D54" s="22" t="s">
        <v>42</v>
      </c>
      <c r="E54" s="23">
        <f>'MQ-PE'!B253</f>
        <v>3.74</v>
      </c>
      <c r="F54" s="16"/>
      <c r="G54" s="12"/>
      <c r="H54" s="1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 spans="1:38" s="15" customFormat="1" ht="38.25" x14ac:dyDescent="0.2">
      <c r="A55" s="24" t="s">
        <v>96</v>
      </c>
      <c r="B55" s="20">
        <v>3106427</v>
      </c>
      <c r="C55" s="25" t="s">
        <v>97</v>
      </c>
      <c r="D55" s="22" t="s">
        <v>51</v>
      </c>
      <c r="E55" s="23">
        <f>'MQ-PE'!B256</f>
        <v>241.18</v>
      </c>
      <c r="F55" s="16"/>
      <c r="G55" s="12"/>
      <c r="H55" s="1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 spans="1:38" s="15" customFormat="1" ht="25.5" x14ac:dyDescent="0.2">
      <c r="A56" s="24" t="s">
        <v>98</v>
      </c>
      <c r="B56" s="20">
        <v>407819</v>
      </c>
      <c r="C56" s="25" t="s">
        <v>53</v>
      </c>
      <c r="D56" s="22" t="s">
        <v>54</v>
      </c>
      <c r="E56" s="23">
        <f>'MQ-PE'!B262</f>
        <v>6405</v>
      </c>
      <c r="F56" s="16"/>
      <c r="G56" s="12"/>
      <c r="H56" s="1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 spans="1:38" s="15" customFormat="1" ht="25.5" x14ac:dyDescent="0.2">
      <c r="A57" s="24" t="s">
        <v>99</v>
      </c>
      <c r="B57" s="20">
        <v>4507959</v>
      </c>
      <c r="C57" s="25" t="s">
        <v>335</v>
      </c>
      <c r="D57" s="22" t="s">
        <v>54</v>
      </c>
      <c r="E57" s="23">
        <f>'MQ-PE'!B265</f>
        <v>978</v>
      </c>
      <c r="F57" s="16"/>
      <c r="G57" s="12"/>
      <c r="H57" s="1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 spans="1:38" s="15" customFormat="1" ht="25.5" x14ac:dyDescent="0.2">
      <c r="A58" s="24" t="s">
        <v>100</v>
      </c>
      <c r="B58" s="20">
        <v>4507784</v>
      </c>
      <c r="C58" s="25" t="s">
        <v>336</v>
      </c>
      <c r="D58" s="22" t="s">
        <v>102</v>
      </c>
      <c r="E58" s="23">
        <f>'MQ-PE'!B271</f>
        <v>40</v>
      </c>
      <c r="F58" s="16"/>
      <c r="G58" s="12"/>
      <c r="H58" s="1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 spans="1:38" s="15" customFormat="1" ht="25.5" x14ac:dyDescent="0.2">
      <c r="A59" s="24" t="s">
        <v>101</v>
      </c>
      <c r="B59" s="20">
        <v>4507867</v>
      </c>
      <c r="C59" s="25" t="s">
        <v>337</v>
      </c>
      <c r="D59" s="22" t="s">
        <v>102</v>
      </c>
      <c r="E59" s="23">
        <f>'MQ-PE'!B268</f>
        <v>40</v>
      </c>
      <c r="F59" s="16"/>
      <c r="G59" s="12"/>
      <c r="H59" s="1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 spans="1:38" s="15" customFormat="1" ht="25.5" x14ac:dyDescent="0.2">
      <c r="A60" s="24" t="s">
        <v>103</v>
      </c>
      <c r="B60" s="29">
        <v>1107908</v>
      </c>
      <c r="C60" s="25" t="s">
        <v>105</v>
      </c>
      <c r="D60" s="22" t="s">
        <v>42</v>
      </c>
      <c r="E60" s="23">
        <f>'MQ-PE'!B259</f>
        <v>17.053999999999998</v>
      </c>
      <c r="F60" s="30"/>
      <c r="G60" s="12"/>
      <c r="H60" s="1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 spans="1:38" s="15" customFormat="1" x14ac:dyDescent="0.2">
      <c r="A61" s="24" t="s">
        <v>104</v>
      </c>
      <c r="B61" s="20">
        <v>1100657</v>
      </c>
      <c r="C61" s="25" t="s">
        <v>58</v>
      </c>
      <c r="D61" s="22" t="s">
        <v>42</v>
      </c>
      <c r="E61" s="23">
        <f>'MQ-PE'!B259</f>
        <v>17.053999999999998</v>
      </c>
      <c r="F61" s="16"/>
      <c r="G61" s="12"/>
      <c r="H61" s="12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 spans="1:38" s="15" customFormat="1" ht="38.25" x14ac:dyDescent="0.2">
      <c r="A62" s="24" t="s">
        <v>106</v>
      </c>
      <c r="B62" s="20">
        <v>5915400</v>
      </c>
      <c r="C62" s="25" t="s">
        <v>108</v>
      </c>
      <c r="D62" s="22" t="s">
        <v>102</v>
      </c>
      <c r="E62" s="23">
        <f>'MQ-PE'!B237</f>
        <v>4</v>
      </c>
      <c r="F62" s="16"/>
      <c r="G62" s="12"/>
      <c r="H62" s="12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 spans="1:38" s="15" customFormat="1" ht="25.5" x14ac:dyDescent="0.2">
      <c r="A63" s="24" t="s">
        <v>107</v>
      </c>
      <c r="B63" s="20">
        <v>3806420</v>
      </c>
      <c r="C63" s="25" t="s">
        <v>109</v>
      </c>
      <c r="D63" s="22" t="s">
        <v>102</v>
      </c>
      <c r="E63" s="23">
        <f>E62</f>
        <v>4</v>
      </c>
      <c r="F63" s="16"/>
      <c r="G63" s="12"/>
      <c r="H63" s="12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 spans="1:38" s="15" customFormat="1" x14ac:dyDescent="0.2">
      <c r="A64" s="24"/>
      <c r="B64" s="20"/>
      <c r="C64" s="25"/>
      <c r="D64" s="22"/>
      <c r="E64" s="23"/>
      <c r="F64" s="16"/>
      <c r="G64" s="12"/>
      <c r="H64" s="12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 spans="1:38" s="15" customFormat="1" x14ac:dyDescent="0.2">
      <c r="A65" s="19" t="s">
        <v>110</v>
      </c>
      <c r="B65" s="26"/>
      <c r="C65" s="21" t="s">
        <v>334</v>
      </c>
      <c r="D65" s="27"/>
      <c r="E65" s="23"/>
      <c r="F65" s="16"/>
      <c r="G65" s="12"/>
      <c r="H65" s="12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 spans="1:38" s="15" customFormat="1" ht="25.5" x14ac:dyDescent="0.2">
      <c r="A66" s="24" t="s">
        <v>111</v>
      </c>
      <c r="B66" s="20">
        <v>1106057</v>
      </c>
      <c r="C66" s="25" t="s">
        <v>48</v>
      </c>
      <c r="D66" s="22" t="s">
        <v>42</v>
      </c>
      <c r="E66" s="23">
        <f>'MQ-PE'!B290</f>
        <v>2.94</v>
      </c>
      <c r="F66" s="16"/>
      <c r="G66" s="12"/>
      <c r="H66" s="12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 spans="1:38" s="15" customFormat="1" ht="38.25" x14ac:dyDescent="0.2">
      <c r="A67" s="24" t="s">
        <v>112</v>
      </c>
      <c r="B67" s="20">
        <v>3106427</v>
      </c>
      <c r="C67" s="25" t="s">
        <v>97</v>
      </c>
      <c r="D67" s="22" t="s">
        <v>51</v>
      </c>
      <c r="E67" s="23">
        <f>'MQ-PE'!B293</f>
        <v>189.98</v>
      </c>
      <c r="F67" s="16"/>
      <c r="G67" s="12"/>
      <c r="H67" s="12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 spans="1:38" s="15" customFormat="1" ht="25.5" x14ac:dyDescent="0.2">
      <c r="A68" s="24" t="s">
        <v>113</v>
      </c>
      <c r="B68" s="20">
        <v>407819</v>
      </c>
      <c r="C68" s="25" t="s">
        <v>53</v>
      </c>
      <c r="D68" s="22" t="s">
        <v>54</v>
      </c>
      <c r="E68" s="23">
        <f>'MQ-PE'!B299</f>
        <v>5130</v>
      </c>
      <c r="F68" s="16"/>
      <c r="G68" s="12"/>
      <c r="H68" s="12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 spans="1:38" s="15" customFormat="1" ht="25.5" x14ac:dyDescent="0.2">
      <c r="A69" s="24" t="s">
        <v>114</v>
      </c>
      <c r="B69" s="20">
        <v>4507959</v>
      </c>
      <c r="C69" s="25" t="s">
        <v>335</v>
      </c>
      <c r="D69" s="22" t="s">
        <v>54</v>
      </c>
      <c r="E69" s="23">
        <f>'MQ-PE'!B302</f>
        <v>546</v>
      </c>
      <c r="F69" s="16"/>
      <c r="G69" s="12"/>
      <c r="H69" s="12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 spans="1:38" s="15" customFormat="1" ht="25.5" x14ac:dyDescent="0.2">
      <c r="A70" s="24" t="s">
        <v>115</v>
      </c>
      <c r="B70" s="20">
        <v>4507784</v>
      </c>
      <c r="C70" s="25" t="s">
        <v>336</v>
      </c>
      <c r="D70" s="22" t="s">
        <v>102</v>
      </c>
      <c r="E70" s="23">
        <f>'MQ-PE'!B308</f>
        <v>28</v>
      </c>
      <c r="F70" s="16"/>
      <c r="G70" s="12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 spans="1:38" s="15" customFormat="1" ht="25.5" x14ac:dyDescent="0.2">
      <c r="A71" s="24" t="s">
        <v>116</v>
      </c>
      <c r="B71" s="20">
        <v>4507867</v>
      </c>
      <c r="C71" s="25" t="s">
        <v>337</v>
      </c>
      <c r="D71" s="22" t="s">
        <v>102</v>
      </c>
      <c r="E71" s="23">
        <f>'MQ-PE'!B305</f>
        <v>28</v>
      </c>
      <c r="F71" s="16"/>
      <c r="G71" s="12"/>
      <c r="H71" s="12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 spans="1:38" s="15" customFormat="1" ht="25.5" x14ac:dyDescent="0.2">
      <c r="A72" s="24" t="s">
        <v>117</v>
      </c>
      <c r="B72" s="29">
        <v>1107908</v>
      </c>
      <c r="C72" s="25" t="s">
        <v>105</v>
      </c>
      <c r="D72" s="22" t="s">
        <v>42</v>
      </c>
      <c r="E72" s="23">
        <f>'MQ-PE'!B296</f>
        <v>13.406000000000001</v>
      </c>
      <c r="F72" s="16"/>
      <c r="G72" s="12"/>
      <c r="H72" s="12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 spans="1:38" s="15" customFormat="1" x14ac:dyDescent="0.2">
      <c r="A73" s="24" t="s">
        <v>118</v>
      </c>
      <c r="B73" s="20">
        <v>1100657</v>
      </c>
      <c r="C73" s="25" t="s">
        <v>58</v>
      </c>
      <c r="D73" s="22" t="s">
        <v>42</v>
      </c>
      <c r="E73" s="23">
        <f>'MQ-PE'!B296</f>
        <v>13.406000000000001</v>
      </c>
      <c r="F73" s="16"/>
      <c r="G73" s="12"/>
      <c r="H73" s="12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 spans="1:38" s="15" customFormat="1" ht="38.25" x14ac:dyDescent="0.2">
      <c r="A74" s="24" t="s">
        <v>119</v>
      </c>
      <c r="B74" s="20">
        <v>5915400</v>
      </c>
      <c r="C74" s="25" t="s">
        <v>108</v>
      </c>
      <c r="D74" s="22" t="s">
        <v>102</v>
      </c>
      <c r="E74" s="23">
        <f>'MQ-PE'!B274</f>
        <v>4</v>
      </c>
      <c r="F74" s="16"/>
      <c r="G74" s="12"/>
      <c r="H74" s="12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 spans="1:38" s="15" customFormat="1" ht="25.5" x14ac:dyDescent="0.2">
      <c r="A75" s="24" t="s">
        <v>120</v>
      </c>
      <c r="B75" s="20">
        <v>3806420</v>
      </c>
      <c r="C75" s="25" t="s">
        <v>109</v>
      </c>
      <c r="D75" s="22" t="s">
        <v>102</v>
      </c>
      <c r="E75" s="23">
        <f>E74</f>
        <v>4</v>
      </c>
      <c r="F75" s="16"/>
      <c r="G75" s="12"/>
      <c r="H75" s="12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 spans="1:38" s="15" customFormat="1" x14ac:dyDescent="0.2">
      <c r="A76" s="24"/>
      <c r="B76" s="20"/>
      <c r="C76" s="25"/>
      <c r="D76" s="22"/>
      <c r="E76" s="23"/>
      <c r="F76" s="16"/>
      <c r="G76" s="12"/>
      <c r="H76" s="12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 spans="1:38" s="15" customFormat="1" x14ac:dyDescent="0.2">
      <c r="A77" s="19" t="s">
        <v>121</v>
      </c>
      <c r="B77" s="26"/>
      <c r="C77" s="21" t="s">
        <v>26</v>
      </c>
      <c r="D77" s="27"/>
      <c r="E77" s="28"/>
      <c r="F77" s="16"/>
      <c r="G77" s="12"/>
      <c r="H77" s="12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 spans="1:38" s="15" customFormat="1" ht="25.5" x14ac:dyDescent="0.2">
      <c r="A78" s="24" t="s">
        <v>122</v>
      </c>
      <c r="B78" s="20">
        <v>3108012</v>
      </c>
      <c r="C78" s="25" t="s">
        <v>50</v>
      </c>
      <c r="D78" s="22" t="s">
        <v>51</v>
      </c>
      <c r="E78" s="23">
        <f>'MQ-PE'!B322</f>
        <v>190.19900000000001</v>
      </c>
      <c r="F78" s="16"/>
      <c r="G78" s="12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 spans="1:38" s="15" customFormat="1" ht="25.5" x14ac:dyDescent="0.2">
      <c r="A79" s="24" t="s">
        <v>123</v>
      </c>
      <c r="B79" s="20">
        <v>407819</v>
      </c>
      <c r="C79" s="25" t="s">
        <v>53</v>
      </c>
      <c r="D79" s="22" t="s">
        <v>54</v>
      </c>
      <c r="E79" s="23">
        <f>'MQ-PE'!B331</f>
        <v>1123</v>
      </c>
      <c r="F79" s="16"/>
      <c r="G79" s="12"/>
      <c r="H79" s="12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 spans="1:38" s="15" customFormat="1" ht="25.5" x14ac:dyDescent="0.2">
      <c r="A80" s="24" t="s">
        <v>124</v>
      </c>
      <c r="B80" s="20">
        <v>407820</v>
      </c>
      <c r="C80" s="25" t="s">
        <v>125</v>
      </c>
      <c r="D80" s="22" t="s">
        <v>54</v>
      </c>
      <c r="E80" s="23">
        <f>'MQ-PE'!B334</f>
        <v>453</v>
      </c>
      <c r="F80" s="16"/>
      <c r="G80" s="12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 spans="1:38" s="15" customFormat="1" ht="25.5" x14ac:dyDescent="0.2">
      <c r="A81" s="24" t="s">
        <v>126</v>
      </c>
      <c r="B81" s="20">
        <v>1107900</v>
      </c>
      <c r="C81" s="25" t="s">
        <v>56</v>
      </c>
      <c r="D81" s="22" t="s">
        <v>42</v>
      </c>
      <c r="E81" s="23">
        <f>'MQ-PE'!B325</f>
        <v>8.4819999999999993</v>
      </c>
      <c r="F81" s="16"/>
      <c r="G81" s="12"/>
      <c r="H81" s="12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 spans="1:38" s="15" customFormat="1" x14ac:dyDescent="0.2">
      <c r="A82" s="24" t="s">
        <v>127</v>
      </c>
      <c r="B82" s="20">
        <v>1100657</v>
      </c>
      <c r="C82" s="25" t="s">
        <v>58</v>
      </c>
      <c r="D82" s="22" t="s">
        <v>42</v>
      </c>
      <c r="E82" s="23">
        <f>E81</f>
        <v>8.4819999999999993</v>
      </c>
      <c r="F82" s="16"/>
      <c r="G82" s="12"/>
      <c r="H82" s="12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 spans="1:38" s="15" customFormat="1" x14ac:dyDescent="0.2">
      <c r="A83" s="24" t="s">
        <v>128</v>
      </c>
      <c r="B83" s="20">
        <v>3806426</v>
      </c>
      <c r="C83" s="25" t="s">
        <v>129</v>
      </c>
      <c r="D83" s="22" t="s">
        <v>130</v>
      </c>
      <c r="E83" s="23">
        <f>'MQ-PE'!B328</f>
        <v>21.204999999999998</v>
      </c>
      <c r="F83" s="16"/>
      <c r="G83" s="12"/>
      <c r="H83" s="12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 spans="1:38" s="15" customFormat="1" x14ac:dyDescent="0.2">
      <c r="A84" s="24"/>
      <c r="B84" s="20"/>
      <c r="C84" s="25"/>
      <c r="D84" s="22"/>
      <c r="E84" s="23"/>
      <c r="F84" s="16"/>
      <c r="G84" s="12"/>
      <c r="H84" s="12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 spans="1:38" s="15" customFormat="1" x14ac:dyDescent="0.2">
      <c r="A85" s="19" t="s">
        <v>131</v>
      </c>
      <c r="B85" s="26"/>
      <c r="C85" s="21" t="s">
        <v>25</v>
      </c>
      <c r="D85" s="27"/>
      <c r="E85" s="28"/>
      <c r="F85" s="16"/>
      <c r="G85" s="12"/>
      <c r="H85" s="12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 spans="1:38" s="15" customFormat="1" ht="25.5" x14ac:dyDescent="0.2">
      <c r="A86" s="24" t="s">
        <v>132</v>
      </c>
      <c r="B86" s="20">
        <v>3108012</v>
      </c>
      <c r="C86" s="25" t="s">
        <v>50</v>
      </c>
      <c r="D86" s="22" t="s">
        <v>51</v>
      </c>
      <c r="E86" s="23">
        <f>'MQ-PE'!B346</f>
        <v>45.984000000000002</v>
      </c>
      <c r="F86" s="16"/>
      <c r="G86" s="12"/>
      <c r="H86" s="12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 spans="1:38" s="15" customFormat="1" ht="25.5" x14ac:dyDescent="0.2">
      <c r="A87" s="24" t="s">
        <v>133</v>
      </c>
      <c r="B87" s="20">
        <v>407819</v>
      </c>
      <c r="C87" s="25" t="s">
        <v>53</v>
      </c>
      <c r="D87" s="22" t="s">
        <v>54</v>
      </c>
      <c r="E87" s="23">
        <f>'MQ-PE'!B352</f>
        <v>929</v>
      </c>
      <c r="F87" s="16"/>
      <c r="G87" s="12"/>
      <c r="H87" s="12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 spans="1:38" s="15" customFormat="1" ht="25.5" x14ac:dyDescent="0.2">
      <c r="A88" s="24" t="s">
        <v>134</v>
      </c>
      <c r="B88" s="20">
        <v>1107900</v>
      </c>
      <c r="C88" s="25" t="s">
        <v>56</v>
      </c>
      <c r="D88" s="22" t="s">
        <v>42</v>
      </c>
      <c r="E88" s="23">
        <f>'MQ-PE'!B349</f>
        <v>5.8319999999999999</v>
      </c>
      <c r="F88" s="16"/>
      <c r="G88" s="12"/>
      <c r="H88" s="12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 spans="1:38" s="15" customFormat="1" x14ac:dyDescent="0.2">
      <c r="A89" s="24" t="s">
        <v>135</v>
      </c>
      <c r="B89" s="20">
        <v>1100657</v>
      </c>
      <c r="C89" s="25" t="s">
        <v>58</v>
      </c>
      <c r="D89" s="22" t="s">
        <v>42</v>
      </c>
      <c r="E89" s="23">
        <f>E88</f>
        <v>5.8319999999999999</v>
      </c>
      <c r="F89" s="16"/>
      <c r="G89" s="12"/>
      <c r="H89" s="12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 spans="1:38" s="15" customFormat="1" x14ac:dyDescent="0.2">
      <c r="A90" s="24"/>
      <c r="B90" s="20"/>
      <c r="C90" s="25"/>
      <c r="D90" s="22"/>
      <c r="E90" s="23"/>
      <c r="F90" s="16"/>
      <c r="G90" s="12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 spans="1:38" s="15" customFormat="1" x14ac:dyDescent="0.2">
      <c r="A91" s="19" t="s">
        <v>136</v>
      </c>
      <c r="B91" s="26"/>
      <c r="C91" s="21" t="s">
        <v>137</v>
      </c>
      <c r="D91" s="27"/>
      <c r="E91" s="28"/>
      <c r="F91" s="16"/>
      <c r="G91" s="12"/>
      <c r="H91" s="12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 spans="1:38" s="15" customFormat="1" ht="25.5" x14ac:dyDescent="0.2">
      <c r="A92" s="24" t="s">
        <v>138</v>
      </c>
      <c r="B92" s="20">
        <v>3108012</v>
      </c>
      <c r="C92" s="25" t="s">
        <v>50</v>
      </c>
      <c r="D92" s="22" t="s">
        <v>51</v>
      </c>
      <c r="E92" s="23">
        <f>'MQ-PE'!B372+'MQ-PE'!B390</f>
        <v>128.59</v>
      </c>
      <c r="F92" s="16"/>
      <c r="G92" s="12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 spans="1:38" s="15" customFormat="1" ht="25.5" x14ac:dyDescent="0.2">
      <c r="A93" s="24" t="s">
        <v>139</v>
      </c>
      <c r="B93" s="20">
        <v>407819</v>
      </c>
      <c r="C93" s="25" t="s">
        <v>53</v>
      </c>
      <c r="D93" s="22" t="s">
        <v>54</v>
      </c>
      <c r="E93" s="23">
        <f>'MQ-PE'!B381</f>
        <v>6429</v>
      </c>
      <c r="F93" s="16"/>
      <c r="G93" s="12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 spans="1:38" s="15" customFormat="1" ht="25.5" x14ac:dyDescent="0.2">
      <c r="A94" s="24" t="s">
        <v>140</v>
      </c>
      <c r="B94" s="20">
        <v>1107900</v>
      </c>
      <c r="C94" s="25" t="s">
        <v>56</v>
      </c>
      <c r="D94" s="22" t="s">
        <v>42</v>
      </c>
      <c r="E94" s="23">
        <f>'MQ-PE'!B375+'MQ-PE'!B393</f>
        <v>43.480000000000004</v>
      </c>
      <c r="F94" s="16"/>
      <c r="G94" s="12"/>
      <c r="H94" s="12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 spans="1:38" s="15" customFormat="1" x14ac:dyDescent="0.2">
      <c r="A95" s="24" t="s">
        <v>141</v>
      </c>
      <c r="B95" s="20">
        <v>1100657</v>
      </c>
      <c r="C95" s="25" t="s">
        <v>58</v>
      </c>
      <c r="D95" s="22" t="s">
        <v>42</v>
      </c>
      <c r="E95" s="23">
        <f>E94</f>
        <v>43.480000000000004</v>
      </c>
      <c r="F95" s="16"/>
      <c r="G95" s="12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 spans="1:38" s="15" customFormat="1" ht="25.5" x14ac:dyDescent="0.2">
      <c r="A96" s="24" t="s">
        <v>142</v>
      </c>
      <c r="B96" s="20">
        <v>2007971</v>
      </c>
      <c r="C96" s="25" t="s">
        <v>143</v>
      </c>
      <c r="D96" s="22" t="s">
        <v>44</v>
      </c>
      <c r="E96" s="23">
        <f>'MQ-PE'!B378</f>
        <v>12</v>
      </c>
      <c r="F96" s="16"/>
      <c r="G96" s="12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 spans="1:5" x14ac:dyDescent="0.2">
      <c r="A97" s="24"/>
      <c r="B97" s="20"/>
      <c r="C97" s="25"/>
      <c r="D97" s="22"/>
      <c r="E97" s="23"/>
    </row>
    <row r="98" spans="1:5" x14ac:dyDescent="0.2">
      <c r="A98" s="19" t="s">
        <v>144</v>
      </c>
      <c r="B98" s="26"/>
      <c r="C98" s="21" t="s">
        <v>339</v>
      </c>
      <c r="D98" s="27"/>
      <c r="E98" s="28"/>
    </row>
    <row r="99" spans="1:5" ht="25.5" x14ac:dyDescent="0.2">
      <c r="A99" s="24" t="s">
        <v>145</v>
      </c>
      <c r="B99" s="20">
        <v>307737</v>
      </c>
      <c r="C99" s="25" t="s">
        <v>341</v>
      </c>
      <c r="D99" s="22" t="s">
        <v>44</v>
      </c>
      <c r="E99" s="23">
        <f>'MQ-PE'!B404</f>
        <v>12</v>
      </c>
    </row>
    <row r="100" spans="1:5" ht="25.5" x14ac:dyDescent="0.2">
      <c r="A100" s="24" t="s">
        <v>340</v>
      </c>
      <c r="B100" s="20">
        <v>307084</v>
      </c>
      <c r="C100" s="25" t="s">
        <v>342</v>
      </c>
      <c r="D100" s="22" t="s">
        <v>44</v>
      </c>
      <c r="E100" s="23">
        <f>'MQ-PE'!B407</f>
        <v>48</v>
      </c>
    </row>
    <row r="101" spans="1:5" x14ac:dyDescent="0.2">
      <c r="A101" s="24"/>
      <c r="B101" s="20"/>
      <c r="C101" s="25"/>
      <c r="D101" s="22"/>
      <c r="E101" s="23"/>
    </row>
    <row r="102" spans="1:5" x14ac:dyDescent="0.2">
      <c r="A102" s="17">
        <v>3</v>
      </c>
      <c r="B102" s="18"/>
      <c r="C102" s="18" t="s">
        <v>350</v>
      </c>
      <c r="D102" s="18"/>
      <c r="E102" s="18"/>
    </row>
    <row r="103" spans="1:5" x14ac:dyDescent="0.2">
      <c r="A103" s="24" t="s">
        <v>357</v>
      </c>
      <c r="B103" s="20">
        <v>5502985</v>
      </c>
      <c r="C103" s="25" t="s">
        <v>353</v>
      </c>
      <c r="D103" s="22" t="s">
        <v>51</v>
      </c>
      <c r="E103" s="23">
        <f>77.2+54.2</f>
        <v>131.4</v>
      </c>
    </row>
    <row r="104" spans="1:5" ht="51" x14ac:dyDescent="0.2">
      <c r="A104" s="24" t="s">
        <v>358</v>
      </c>
      <c r="B104" s="20">
        <v>1505877</v>
      </c>
      <c r="C104" s="25" t="s">
        <v>352</v>
      </c>
      <c r="D104" s="22" t="s">
        <v>42</v>
      </c>
      <c r="E104" s="23">
        <v>38</v>
      </c>
    </row>
    <row r="105" spans="1:5" ht="25.5" x14ac:dyDescent="0.2">
      <c r="A105" s="24" t="s">
        <v>359</v>
      </c>
      <c r="B105" s="20">
        <v>804035</v>
      </c>
      <c r="C105" s="25" t="s">
        <v>351</v>
      </c>
      <c r="D105" s="22" t="s">
        <v>44</v>
      </c>
      <c r="E105" s="23">
        <f>8*4.5</f>
        <v>36</v>
      </c>
    </row>
    <row r="106" spans="1:5" ht="51" x14ac:dyDescent="0.2">
      <c r="A106" s="24" t="s">
        <v>360</v>
      </c>
      <c r="B106" s="20">
        <v>5502109</v>
      </c>
      <c r="C106" s="25" t="s">
        <v>354</v>
      </c>
      <c r="D106" s="22" t="s">
        <v>42</v>
      </c>
      <c r="E106" s="23">
        <f>E107*1.1</f>
        <v>113.08000000000001</v>
      </c>
    </row>
    <row r="107" spans="1:5" x14ac:dyDescent="0.2">
      <c r="A107" s="24" t="s">
        <v>361</v>
      </c>
      <c r="B107" s="20">
        <v>5502978</v>
      </c>
      <c r="C107" s="25" t="s">
        <v>355</v>
      </c>
      <c r="D107" s="22" t="s">
        <v>42</v>
      </c>
      <c r="E107" s="23">
        <f>(30+12+60.8)</f>
        <v>102.8</v>
      </c>
    </row>
    <row r="108" spans="1:5" ht="25.5" x14ac:dyDescent="0.2">
      <c r="A108" s="24" t="s">
        <v>362</v>
      </c>
      <c r="B108" s="20">
        <v>1600404</v>
      </c>
      <c r="C108" s="25" t="s">
        <v>356</v>
      </c>
      <c r="D108" s="22" t="s">
        <v>44</v>
      </c>
      <c r="E108" s="23">
        <f>E105</f>
        <v>36</v>
      </c>
    </row>
    <row r="109" spans="1:5" x14ac:dyDescent="0.2">
      <c r="A109" s="24" t="s">
        <v>363</v>
      </c>
      <c r="B109" s="20">
        <v>4805757</v>
      </c>
      <c r="C109" s="25" t="s">
        <v>41</v>
      </c>
      <c r="D109" s="22" t="s">
        <v>42</v>
      </c>
      <c r="E109" s="23">
        <f>E107</f>
        <v>102.8</v>
      </c>
    </row>
    <row r="110" spans="1:5" x14ac:dyDescent="0.2">
      <c r="A110" s="24"/>
      <c r="B110" s="20"/>
      <c r="C110" s="25"/>
      <c r="D110" s="22"/>
      <c r="E110" s="23"/>
    </row>
    <row r="111" spans="1:5" x14ac:dyDescent="0.2">
      <c r="A111" s="17">
        <v>4</v>
      </c>
      <c r="B111" s="18"/>
      <c r="C111" s="18" t="s">
        <v>364</v>
      </c>
      <c r="D111" s="18"/>
      <c r="E111" s="18"/>
    </row>
    <row r="112" spans="1:5" x14ac:dyDescent="0.2">
      <c r="A112" s="19" t="s">
        <v>366</v>
      </c>
      <c r="B112" s="26"/>
      <c r="C112" s="21" t="s">
        <v>439</v>
      </c>
      <c r="D112" s="27"/>
      <c r="E112" s="28"/>
    </row>
    <row r="113" spans="1:5" ht="38.25" x14ac:dyDescent="0.2">
      <c r="A113" s="24" t="s">
        <v>434</v>
      </c>
      <c r="B113" s="20">
        <v>5501700</v>
      </c>
      <c r="C113" s="25" t="s">
        <v>368</v>
      </c>
      <c r="D113" s="22" t="s">
        <v>51</v>
      </c>
      <c r="E113" s="23">
        <f>14.4*210</f>
        <v>3024</v>
      </c>
    </row>
    <row r="114" spans="1:5" ht="51" x14ac:dyDescent="0.2">
      <c r="A114" s="24" t="s">
        <v>435</v>
      </c>
      <c r="B114" s="20">
        <v>5502120</v>
      </c>
      <c r="C114" s="25" t="s">
        <v>365</v>
      </c>
      <c r="D114" s="22" t="s">
        <v>42</v>
      </c>
      <c r="E114" s="23">
        <f>E115*1.1</f>
        <v>3767.8300000000004</v>
      </c>
    </row>
    <row r="115" spans="1:5" x14ac:dyDescent="0.2">
      <c r="A115" s="24" t="s">
        <v>436</v>
      </c>
      <c r="B115" s="20">
        <v>5502978</v>
      </c>
      <c r="C115" s="25" t="s">
        <v>355</v>
      </c>
      <c r="D115" s="22" t="s">
        <v>42</v>
      </c>
      <c r="E115" s="23">
        <v>3425.3</v>
      </c>
    </row>
    <row r="116" spans="1:5" x14ac:dyDescent="0.2">
      <c r="A116" s="24" t="s">
        <v>437</v>
      </c>
      <c r="B116" s="20">
        <v>4413996</v>
      </c>
      <c r="C116" s="25" t="s">
        <v>376</v>
      </c>
      <c r="D116" s="22" t="s">
        <v>51</v>
      </c>
      <c r="E116" s="23">
        <f>165+266+208+195</f>
        <v>834</v>
      </c>
    </row>
    <row r="117" spans="1:5" ht="25.5" x14ac:dyDescent="0.2">
      <c r="A117" s="24" t="s">
        <v>438</v>
      </c>
      <c r="B117" s="20">
        <v>4413987</v>
      </c>
      <c r="C117" s="25" t="s">
        <v>377</v>
      </c>
      <c r="D117" s="22" t="s">
        <v>51</v>
      </c>
      <c r="E117" s="23">
        <f>E116</f>
        <v>834</v>
      </c>
    </row>
    <row r="118" spans="1:5" x14ac:dyDescent="0.2">
      <c r="A118" s="24"/>
      <c r="B118" s="20"/>
      <c r="C118" s="25"/>
      <c r="D118" s="22"/>
      <c r="E118" s="23"/>
    </row>
    <row r="119" spans="1:5" x14ac:dyDescent="0.2">
      <c r="A119" s="19" t="s">
        <v>367</v>
      </c>
      <c r="B119" s="26"/>
      <c r="C119" s="21" t="s">
        <v>444</v>
      </c>
      <c r="D119" s="27"/>
      <c r="E119" s="28"/>
    </row>
    <row r="120" spans="1:5" ht="25.5" x14ac:dyDescent="0.2">
      <c r="A120" s="24" t="s">
        <v>442</v>
      </c>
      <c r="B120" s="20">
        <v>5501710</v>
      </c>
      <c r="C120" s="25" t="s">
        <v>440</v>
      </c>
      <c r="D120" s="22" t="s">
        <v>42</v>
      </c>
      <c r="E120" s="23">
        <f>2*(10*10*1.5+4*10*1.5*0.5)</f>
        <v>360</v>
      </c>
    </row>
    <row r="121" spans="1:5" ht="25.5" x14ac:dyDescent="0.2">
      <c r="A121" s="24" t="s">
        <v>443</v>
      </c>
      <c r="B121" s="20">
        <v>4915734</v>
      </c>
      <c r="C121" s="25" t="s">
        <v>441</v>
      </c>
      <c r="D121" s="22" t="s">
        <v>42</v>
      </c>
      <c r="E121" s="23">
        <f>E120</f>
        <v>360</v>
      </c>
    </row>
    <row r="122" spans="1:5" x14ac:dyDescent="0.2">
      <c r="A122" s="24"/>
      <c r="B122" s="20"/>
      <c r="C122" s="25"/>
      <c r="D122" s="22"/>
      <c r="E122" s="23"/>
    </row>
    <row r="123" spans="1:5" x14ac:dyDescent="0.2">
      <c r="A123" s="17">
        <v>5</v>
      </c>
      <c r="B123" s="18"/>
      <c r="C123" s="18" t="s">
        <v>369</v>
      </c>
      <c r="D123" s="18"/>
      <c r="E123" s="18"/>
    </row>
    <row r="124" spans="1:5" ht="25.5" x14ac:dyDescent="0.2">
      <c r="A124" s="24" t="s">
        <v>373</v>
      </c>
      <c r="B124" s="20">
        <v>5213572</v>
      </c>
      <c r="C124" s="25" t="s">
        <v>370</v>
      </c>
      <c r="D124" s="22" t="s">
        <v>51</v>
      </c>
      <c r="E124" s="23">
        <v>11.164999999999999</v>
      </c>
    </row>
    <row r="125" spans="1:5" ht="25.5" x14ac:dyDescent="0.2">
      <c r="A125" s="24" t="s">
        <v>374</v>
      </c>
      <c r="B125" s="20">
        <v>5216111</v>
      </c>
      <c r="C125" s="25" t="s">
        <v>371</v>
      </c>
      <c r="D125" s="22" t="s">
        <v>372</v>
      </c>
      <c r="E125" s="23">
        <v>26</v>
      </c>
    </row>
    <row r="126" spans="1:5" x14ac:dyDescent="0.2">
      <c r="A126" s="24"/>
      <c r="B126" s="20"/>
      <c r="C126" s="25"/>
      <c r="D126" s="22"/>
      <c r="E126" s="23"/>
    </row>
    <row r="127" spans="1:5" x14ac:dyDescent="0.2">
      <c r="A127" s="17">
        <v>6</v>
      </c>
      <c r="B127" s="18"/>
      <c r="C127" s="18" t="s">
        <v>378</v>
      </c>
      <c r="D127" s="18"/>
      <c r="E127" s="18"/>
    </row>
    <row r="128" spans="1:5" ht="38.25" x14ac:dyDescent="0.2">
      <c r="A128" s="24" t="s">
        <v>373</v>
      </c>
      <c r="B128" s="20">
        <v>5915015</v>
      </c>
      <c r="C128" s="25" t="s">
        <v>379</v>
      </c>
      <c r="D128" s="22" t="s">
        <v>130</v>
      </c>
      <c r="E128" s="23">
        <f>'MQ-PE'!B419</f>
        <v>28.72</v>
      </c>
    </row>
    <row r="129" spans="1:5" ht="38.25" x14ac:dyDescent="0.2">
      <c r="A129" s="24" t="s">
        <v>374</v>
      </c>
      <c r="B129" s="20">
        <v>5915012</v>
      </c>
      <c r="C129" s="25" t="s">
        <v>380</v>
      </c>
      <c r="D129" s="22" t="s">
        <v>381</v>
      </c>
      <c r="E129" s="23">
        <f>'MQ-PE'!B422</f>
        <v>63.18</v>
      </c>
    </row>
    <row r="130" spans="1:5" ht="38.25" x14ac:dyDescent="0.2">
      <c r="A130" s="24" t="s">
        <v>375</v>
      </c>
      <c r="B130" s="20">
        <v>5915014</v>
      </c>
      <c r="C130" s="25" t="s">
        <v>382</v>
      </c>
      <c r="D130" s="22" t="s">
        <v>381</v>
      </c>
      <c r="E130" s="23">
        <f>'MQ-PE'!B425</f>
        <v>1025.3</v>
      </c>
    </row>
  </sheetData>
  <mergeCells count="6">
    <mergeCell ref="A1:E1"/>
    <mergeCell ref="A2:A3"/>
    <mergeCell ref="B2:B3"/>
    <mergeCell ref="C2:C3"/>
    <mergeCell ref="D2:D3"/>
    <mergeCell ref="E2:E3"/>
  </mergeCells>
  <phoneticPr fontId="24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73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0ACE2-7E07-4E77-B8F0-8AC92A25B338}">
  <sheetPr>
    <tabColor rgb="FF7030A0"/>
  </sheetPr>
  <dimension ref="A1:E425"/>
  <sheetViews>
    <sheetView topLeftCell="A398" zoomScale="85" zoomScaleNormal="85" zoomScaleSheetLayoutView="100" workbookViewId="0">
      <selection activeCell="A409" sqref="A409:C425"/>
    </sheetView>
  </sheetViews>
  <sheetFormatPr defaultColWidth="9.140625" defaultRowHeight="15" customHeight="1" x14ac:dyDescent="0.25"/>
  <cols>
    <col min="1" max="1" width="50.85546875" style="73" customWidth="1"/>
    <col min="2" max="2" width="16.28515625" style="74" customWidth="1"/>
    <col min="3" max="3" width="9.140625" style="75"/>
    <col min="4" max="4" width="9.140625" style="37"/>
    <col min="5" max="5" width="11.5703125" style="37" bestFit="1" customWidth="1"/>
    <col min="6" max="16384" width="9.140625" style="37"/>
  </cols>
  <sheetData>
    <row r="1" spans="1:3" ht="15" customHeight="1" x14ac:dyDescent="0.25">
      <c r="A1" s="95" t="s">
        <v>146</v>
      </c>
      <c r="B1" s="95"/>
      <c r="C1" s="95"/>
    </row>
    <row r="2" spans="1:3" ht="15" customHeight="1" x14ac:dyDescent="0.25">
      <c r="A2" s="96" t="s">
        <v>147</v>
      </c>
      <c r="B2" s="97"/>
      <c r="C2" s="98"/>
    </row>
    <row r="3" spans="1:3" ht="15" customHeight="1" x14ac:dyDescent="0.25">
      <c r="A3" s="38" t="s">
        <v>317</v>
      </c>
      <c r="B3" s="39">
        <f>6*8</f>
        <v>48</v>
      </c>
      <c r="C3" s="40" t="s">
        <v>148</v>
      </c>
    </row>
    <row r="4" spans="1:3" ht="15" customHeight="1" x14ac:dyDescent="0.25">
      <c r="A4" s="38" t="s">
        <v>318</v>
      </c>
      <c r="B4" s="39">
        <v>10</v>
      </c>
      <c r="C4" s="40" t="s">
        <v>44</v>
      </c>
    </row>
    <row r="5" spans="1:3" ht="15" customHeight="1" x14ac:dyDescent="0.25">
      <c r="A5" s="76" t="s">
        <v>321</v>
      </c>
      <c r="B5" s="77">
        <f>0.3*0.5</f>
        <v>0.15</v>
      </c>
      <c r="C5" s="62" t="s">
        <v>51</v>
      </c>
    </row>
    <row r="6" spans="1:3" ht="15" customHeight="1" x14ac:dyDescent="0.25">
      <c r="A6" s="76" t="s">
        <v>322</v>
      </c>
      <c r="B6" s="77">
        <f>0.5+0.5+0.3+0.3</f>
        <v>1.6</v>
      </c>
      <c r="C6" s="62" t="s">
        <v>44</v>
      </c>
    </row>
    <row r="7" spans="1:3" ht="15" customHeight="1" x14ac:dyDescent="0.25">
      <c r="A7" s="76" t="s">
        <v>323</v>
      </c>
      <c r="B7" s="77">
        <v>0.6</v>
      </c>
      <c r="C7" s="62" t="s">
        <v>44</v>
      </c>
    </row>
    <row r="8" spans="1:3" ht="15" customHeight="1" x14ac:dyDescent="0.25">
      <c r="A8" s="76" t="s">
        <v>324</v>
      </c>
      <c r="B8" s="77">
        <v>0.4</v>
      </c>
      <c r="C8" s="62" t="s">
        <v>44</v>
      </c>
    </row>
    <row r="9" spans="1:3" ht="15" customHeight="1" x14ac:dyDescent="0.25">
      <c r="A9" s="38"/>
      <c r="B9" s="39"/>
      <c r="C9" s="40"/>
    </row>
    <row r="10" spans="1:3" ht="15" customHeight="1" x14ac:dyDescent="0.3">
      <c r="A10" s="41" t="s">
        <v>150</v>
      </c>
      <c r="B10" s="42"/>
      <c r="C10" s="43"/>
    </row>
    <row r="11" spans="1:3" ht="15" customHeight="1" x14ac:dyDescent="0.25">
      <c r="A11" s="38" t="s">
        <v>319</v>
      </c>
      <c r="B11" s="39">
        <f>B3*B4</f>
        <v>480</v>
      </c>
      <c r="C11" s="40" t="s">
        <v>44</v>
      </c>
    </row>
    <row r="12" spans="1:3" ht="15" customHeight="1" x14ac:dyDescent="0.25">
      <c r="A12" s="44"/>
      <c r="B12" s="45"/>
      <c r="C12" s="46"/>
    </row>
    <row r="13" spans="1:3" ht="15" customHeight="1" x14ac:dyDescent="0.25">
      <c r="A13" s="78" t="s">
        <v>170</v>
      </c>
      <c r="B13" s="61"/>
      <c r="C13" s="62"/>
    </row>
    <row r="14" spans="1:3" ht="15" customHeight="1" x14ac:dyDescent="0.25">
      <c r="A14" s="76" t="s">
        <v>325</v>
      </c>
      <c r="B14" s="61">
        <f>ROUND(B3*B5*B8,2)</f>
        <v>2.88</v>
      </c>
      <c r="C14" s="62" t="s">
        <v>42</v>
      </c>
    </row>
    <row r="15" spans="1:3" ht="15" customHeight="1" x14ac:dyDescent="0.25">
      <c r="A15" s="76"/>
      <c r="B15" s="61"/>
      <c r="C15" s="62"/>
    </row>
    <row r="16" spans="1:3" ht="15" customHeight="1" x14ac:dyDescent="0.25">
      <c r="A16" s="78" t="s">
        <v>174</v>
      </c>
      <c r="B16" s="61"/>
      <c r="C16" s="62"/>
    </row>
    <row r="17" spans="1:3" ht="15" customHeight="1" x14ac:dyDescent="0.25">
      <c r="A17" s="76" t="s">
        <v>326</v>
      </c>
      <c r="B17" s="61">
        <f>ROUND(B3*B6*B7,2)</f>
        <v>46.08</v>
      </c>
      <c r="C17" s="62" t="s">
        <v>51</v>
      </c>
    </row>
    <row r="18" spans="1:3" ht="15" customHeight="1" x14ac:dyDescent="0.25">
      <c r="A18" s="76"/>
      <c r="B18" s="61"/>
      <c r="C18" s="62"/>
    </row>
    <row r="19" spans="1:3" ht="15" customHeight="1" x14ac:dyDescent="0.25">
      <c r="A19" s="78" t="s">
        <v>176</v>
      </c>
      <c r="B19" s="61"/>
      <c r="C19" s="62"/>
    </row>
    <row r="20" spans="1:3" ht="15" customHeight="1" x14ac:dyDescent="0.25">
      <c r="A20" s="76" t="s">
        <v>327</v>
      </c>
      <c r="B20" s="61">
        <f>ROUND(B3*B5*B7,2)</f>
        <v>4.32</v>
      </c>
      <c r="C20" s="62" t="s">
        <v>42</v>
      </c>
    </row>
    <row r="21" spans="1:3" ht="15" customHeight="1" x14ac:dyDescent="0.25">
      <c r="A21" s="44"/>
      <c r="B21" s="45"/>
      <c r="C21" s="46"/>
    </row>
    <row r="22" spans="1:3" ht="15" customHeight="1" x14ac:dyDescent="0.25">
      <c r="A22" s="47" t="s">
        <v>151</v>
      </c>
      <c r="B22" s="48"/>
      <c r="C22" s="46"/>
    </row>
    <row r="23" spans="1:3" ht="15" customHeight="1" x14ac:dyDescent="0.25">
      <c r="A23" s="44" t="s">
        <v>320</v>
      </c>
      <c r="B23" s="48">
        <v>0</v>
      </c>
      <c r="C23" s="46" t="s">
        <v>54</v>
      </c>
    </row>
    <row r="24" spans="1:3" ht="15" customHeight="1" x14ac:dyDescent="0.25">
      <c r="A24" s="36"/>
      <c r="B24" s="36"/>
      <c r="C24" s="36"/>
    </row>
    <row r="25" spans="1:3" ht="15" customHeight="1" x14ac:dyDescent="0.25">
      <c r="A25" s="96" t="s">
        <v>328</v>
      </c>
      <c r="B25" s="97"/>
      <c r="C25" s="98"/>
    </row>
    <row r="26" spans="1:3" ht="15" customHeight="1" x14ac:dyDescent="0.25">
      <c r="A26" s="44" t="s">
        <v>153</v>
      </c>
      <c r="B26" s="45">
        <v>3</v>
      </c>
      <c r="C26" s="46" t="s">
        <v>148</v>
      </c>
    </row>
    <row r="27" spans="1:3" ht="15" customHeight="1" x14ac:dyDescent="0.25">
      <c r="A27" s="44" t="s">
        <v>154</v>
      </c>
      <c r="B27" s="45">
        <v>2</v>
      </c>
      <c r="C27" s="46" t="s">
        <v>148</v>
      </c>
    </row>
    <row r="28" spans="1:3" ht="15" customHeight="1" x14ac:dyDescent="0.25">
      <c r="A28" s="44" t="s">
        <v>155</v>
      </c>
      <c r="B28" s="45">
        <v>1</v>
      </c>
      <c r="C28" s="46" t="s">
        <v>44</v>
      </c>
    </row>
    <row r="29" spans="1:3" ht="15" customHeight="1" x14ac:dyDescent="0.25">
      <c r="A29" s="44" t="s">
        <v>156</v>
      </c>
      <c r="B29" s="45">
        <v>1.9</v>
      </c>
      <c r="C29" s="46" t="s">
        <v>44</v>
      </c>
    </row>
    <row r="30" spans="1:3" ht="15" customHeight="1" x14ac:dyDescent="0.25">
      <c r="A30" s="44" t="s">
        <v>157</v>
      </c>
      <c r="B30" s="45">
        <v>5.6</v>
      </c>
      <c r="C30" s="46" t="s">
        <v>44</v>
      </c>
    </row>
    <row r="31" spans="1:3" ht="15" customHeight="1" x14ac:dyDescent="0.25">
      <c r="A31" s="44" t="s">
        <v>158</v>
      </c>
      <c r="B31" s="45">
        <v>1.5</v>
      </c>
      <c r="C31" s="46" t="s">
        <v>44</v>
      </c>
    </row>
    <row r="32" spans="1:3" ht="15" customHeight="1" x14ac:dyDescent="0.25">
      <c r="A32" s="44" t="s">
        <v>159</v>
      </c>
      <c r="B32" s="45">
        <v>2</v>
      </c>
      <c r="C32" s="49" t="s">
        <v>27</v>
      </c>
    </row>
    <row r="33" spans="1:3" ht="15" customHeight="1" x14ac:dyDescent="0.25">
      <c r="A33" s="44" t="s">
        <v>160</v>
      </c>
      <c r="B33" s="45">
        <v>0.1</v>
      </c>
      <c r="C33" s="46" t="s">
        <v>44</v>
      </c>
    </row>
    <row r="34" spans="1:3" ht="15" customHeight="1" x14ac:dyDescent="0.25">
      <c r="A34" s="44" t="s">
        <v>161</v>
      </c>
      <c r="B34" s="45">
        <v>1</v>
      </c>
      <c r="C34" s="46" t="s">
        <v>44</v>
      </c>
    </row>
    <row r="35" spans="1:3" ht="15" customHeight="1" x14ac:dyDescent="0.25">
      <c r="A35" s="44" t="s">
        <v>162</v>
      </c>
      <c r="B35" s="45">
        <v>2</v>
      </c>
      <c r="C35" s="46" t="s">
        <v>44</v>
      </c>
    </row>
    <row r="36" spans="1:3" ht="15" customHeight="1" x14ac:dyDescent="0.25">
      <c r="A36" s="44" t="s">
        <v>163</v>
      </c>
      <c r="B36" s="45">
        <v>2</v>
      </c>
      <c r="C36" s="46" t="s">
        <v>44</v>
      </c>
    </row>
    <row r="37" spans="1:3" ht="15" customHeight="1" x14ac:dyDescent="0.25">
      <c r="A37" s="44" t="s">
        <v>164</v>
      </c>
      <c r="B37" s="45">
        <v>0.8</v>
      </c>
      <c r="C37" s="46" t="s">
        <v>44</v>
      </c>
    </row>
    <row r="38" spans="1:3" ht="15" customHeight="1" x14ac:dyDescent="0.25">
      <c r="A38" s="44" t="s">
        <v>165</v>
      </c>
      <c r="B38" s="45">
        <v>0.5</v>
      </c>
      <c r="C38" s="46" t="s">
        <v>44</v>
      </c>
    </row>
    <row r="39" spans="1:3" ht="15" customHeight="1" x14ac:dyDescent="0.25">
      <c r="A39" s="44" t="s">
        <v>166</v>
      </c>
      <c r="B39" s="45">
        <v>1.6</v>
      </c>
      <c r="C39" s="46" t="s">
        <v>44</v>
      </c>
    </row>
    <row r="40" spans="1:3" ht="15" customHeight="1" x14ac:dyDescent="0.25">
      <c r="A40" s="44" t="s">
        <v>167</v>
      </c>
      <c r="B40" s="45">
        <v>10</v>
      </c>
      <c r="C40" s="46" t="s">
        <v>168</v>
      </c>
    </row>
    <row r="41" spans="1:3" ht="15" customHeight="1" x14ac:dyDescent="0.25">
      <c r="A41" s="44" t="s">
        <v>169</v>
      </c>
      <c r="B41" s="45">
        <v>0</v>
      </c>
      <c r="C41" s="46" t="s">
        <v>44</v>
      </c>
    </row>
    <row r="42" spans="1:3" ht="15" customHeight="1" x14ac:dyDescent="0.25">
      <c r="A42" s="44"/>
      <c r="B42" s="45"/>
      <c r="C42" s="46"/>
    </row>
    <row r="43" spans="1:3" ht="15" customHeight="1" x14ac:dyDescent="0.25">
      <c r="A43" s="47" t="s">
        <v>170</v>
      </c>
      <c r="B43" s="45"/>
      <c r="C43" s="46"/>
    </row>
    <row r="44" spans="1:3" ht="15" customHeight="1" x14ac:dyDescent="0.25">
      <c r="A44" s="50" t="s">
        <v>171</v>
      </c>
      <c r="B44" s="39">
        <f>ROUND(B26*((B29+2*B31+B28*B32)*(B30+2*B31+B28*B32)*B28),3)</f>
        <v>219.42</v>
      </c>
      <c r="C44" s="40" t="s">
        <v>42</v>
      </c>
    </row>
    <row r="45" spans="1:3" ht="15" customHeight="1" x14ac:dyDescent="0.25">
      <c r="A45" s="44"/>
      <c r="B45" s="45"/>
      <c r="C45" s="46"/>
    </row>
    <row r="46" spans="1:3" ht="15" customHeight="1" x14ac:dyDescent="0.25">
      <c r="A46" s="47" t="s">
        <v>172</v>
      </c>
      <c r="B46" s="45"/>
      <c r="C46" s="46"/>
    </row>
    <row r="47" spans="1:3" ht="15" customHeight="1" x14ac:dyDescent="0.25">
      <c r="A47" s="44" t="s">
        <v>173</v>
      </c>
      <c r="B47" s="45">
        <f>B26*B27*B33*B35*B36</f>
        <v>2.4000000000000004</v>
      </c>
      <c r="C47" s="46" t="s">
        <v>42</v>
      </c>
    </row>
    <row r="48" spans="1:3" ht="15" customHeight="1" x14ac:dyDescent="0.25">
      <c r="A48" s="44"/>
      <c r="B48" s="45"/>
      <c r="C48" s="46"/>
    </row>
    <row r="49" spans="1:3" ht="15" customHeight="1" x14ac:dyDescent="0.25">
      <c r="A49" s="47" t="s">
        <v>174</v>
      </c>
      <c r="B49" s="45"/>
      <c r="C49" s="46"/>
    </row>
    <row r="50" spans="1:3" ht="15" customHeight="1" x14ac:dyDescent="0.25">
      <c r="A50" s="50" t="s">
        <v>175</v>
      </c>
      <c r="B50" s="45">
        <f>ROUND((B26*B27*(2*(B35+B36)*B34)+B26*(2*B37+B38)*B39),2)</f>
        <v>58.08</v>
      </c>
      <c r="C50" s="46" t="s">
        <v>51</v>
      </c>
    </row>
    <row r="51" spans="1:3" ht="15" customHeight="1" x14ac:dyDescent="0.25">
      <c r="A51" s="44"/>
      <c r="B51" s="45"/>
      <c r="C51" s="46"/>
    </row>
    <row r="52" spans="1:3" ht="15" customHeight="1" x14ac:dyDescent="0.25">
      <c r="A52" s="47" t="s">
        <v>176</v>
      </c>
      <c r="B52" s="45"/>
      <c r="C52" s="46"/>
    </row>
    <row r="53" spans="1:3" ht="15" customHeight="1" x14ac:dyDescent="0.25">
      <c r="A53" s="50" t="s">
        <v>177</v>
      </c>
      <c r="B53" s="45">
        <f>ROUND(B26*B27*B35*B36*B34+B26*B37*B38*B39,3)</f>
        <v>25.92</v>
      </c>
      <c r="C53" s="46" t="s">
        <v>42</v>
      </c>
    </row>
    <row r="54" spans="1:3" ht="15" customHeight="1" x14ac:dyDescent="0.25">
      <c r="A54" s="44"/>
      <c r="B54" s="45"/>
      <c r="C54" s="46"/>
    </row>
    <row r="55" spans="1:3" ht="15" customHeight="1" x14ac:dyDescent="0.25">
      <c r="A55" s="47" t="s">
        <v>178</v>
      </c>
      <c r="B55" s="45"/>
      <c r="C55" s="46"/>
    </row>
    <row r="56" spans="1:3" ht="15" customHeight="1" x14ac:dyDescent="0.25">
      <c r="A56" s="50" t="s">
        <v>179</v>
      </c>
      <c r="B56" s="45">
        <f>B44-B47-B53</f>
        <v>191.09999999999997</v>
      </c>
      <c r="C56" s="46" t="s">
        <v>42</v>
      </c>
    </row>
    <row r="57" spans="1:3" ht="15" customHeight="1" x14ac:dyDescent="0.25">
      <c r="A57" s="44"/>
      <c r="B57" s="45"/>
      <c r="C57" s="46"/>
    </row>
    <row r="58" spans="1:3" ht="15" customHeight="1" x14ac:dyDescent="0.25">
      <c r="A58" s="47" t="s">
        <v>180</v>
      </c>
      <c r="B58" s="45"/>
      <c r="C58" s="46"/>
    </row>
    <row r="59" spans="1:3" ht="15" customHeight="1" x14ac:dyDescent="0.25">
      <c r="A59" s="50" t="s">
        <v>181</v>
      </c>
      <c r="B59" s="45">
        <f>B26*B27*B40*24</f>
        <v>1440</v>
      </c>
      <c r="C59" s="46" t="s">
        <v>61</v>
      </c>
    </row>
    <row r="60" spans="1:3" ht="15" customHeight="1" x14ac:dyDescent="0.25">
      <c r="A60" s="44"/>
      <c r="B60" s="45"/>
      <c r="C60" s="46"/>
    </row>
    <row r="61" spans="1:3" ht="15" customHeight="1" x14ac:dyDescent="0.25">
      <c r="A61" s="47" t="s">
        <v>182</v>
      </c>
      <c r="B61" s="45"/>
      <c r="C61" s="46"/>
    </row>
    <row r="62" spans="1:3" ht="15" customHeight="1" x14ac:dyDescent="0.25">
      <c r="A62" s="50" t="s">
        <v>183</v>
      </c>
      <c r="B62" s="45">
        <f>ROUND(B26*B28*2*(B29+B30+4*B31)*B41,3)</f>
        <v>0</v>
      </c>
      <c r="C62" s="46" t="s">
        <v>42</v>
      </c>
    </row>
    <row r="63" spans="1:3" ht="15" customHeight="1" x14ac:dyDescent="0.25">
      <c r="A63" s="44"/>
      <c r="B63" s="45"/>
      <c r="C63" s="46"/>
    </row>
    <row r="64" spans="1:3" ht="15" customHeight="1" x14ac:dyDescent="0.25">
      <c r="A64" s="47" t="s">
        <v>151</v>
      </c>
      <c r="B64" s="48"/>
      <c r="C64" s="46"/>
    </row>
    <row r="65" spans="1:3" ht="15" customHeight="1" x14ac:dyDescent="0.25">
      <c r="A65" s="44" t="s">
        <v>152</v>
      </c>
      <c r="B65" s="48">
        <f>BLOCOS!E26</f>
        <v>2621</v>
      </c>
      <c r="C65" s="46" t="s">
        <v>54</v>
      </c>
    </row>
    <row r="66" spans="1:3" ht="15" customHeight="1" x14ac:dyDescent="0.25">
      <c r="A66" s="36"/>
      <c r="B66" s="36"/>
      <c r="C66" s="36"/>
    </row>
    <row r="67" spans="1:3" ht="15" customHeight="1" x14ac:dyDescent="0.25">
      <c r="A67" s="96" t="s">
        <v>329</v>
      </c>
      <c r="B67" s="97"/>
      <c r="C67" s="98"/>
    </row>
    <row r="68" spans="1:3" ht="15" customHeight="1" x14ac:dyDescent="0.25">
      <c r="A68" s="44" t="s">
        <v>184</v>
      </c>
      <c r="B68" s="45">
        <v>2</v>
      </c>
      <c r="C68" s="46" t="s">
        <v>148</v>
      </c>
    </row>
    <row r="69" spans="1:3" ht="15" customHeight="1" x14ac:dyDescent="0.25">
      <c r="A69" s="44" t="s">
        <v>185</v>
      </c>
      <c r="B69" s="45">
        <v>2</v>
      </c>
      <c r="C69" s="46" t="s">
        <v>148</v>
      </c>
    </row>
    <row r="70" spans="1:3" ht="15" customHeight="1" x14ac:dyDescent="0.25">
      <c r="A70" s="44" t="s">
        <v>186</v>
      </c>
      <c r="B70" s="45">
        <v>1</v>
      </c>
      <c r="C70" s="46" t="s">
        <v>44</v>
      </c>
    </row>
    <row r="71" spans="1:3" ht="15" customHeight="1" x14ac:dyDescent="0.25">
      <c r="A71" s="44" t="s">
        <v>187</v>
      </c>
      <c r="B71" s="45">
        <f>PI()*1</f>
        <v>3.1415926535897931</v>
      </c>
      <c r="C71" s="46" t="s">
        <v>44</v>
      </c>
    </row>
    <row r="72" spans="1:3" ht="15" customHeight="1" x14ac:dyDescent="0.25">
      <c r="A72" s="44" t="s">
        <v>188</v>
      </c>
      <c r="B72" s="45">
        <f>PI()*1^2/4</f>
        <v>0.78539816339744828</v>
      </c>
      <c r="C72" s="46" t="s">
        <v>51</v>
      </c>
    </row>
    <row r="73" spans="1:3" ht="15" customHeight="1" x14ac:dyDescent="0.25">
      <c r="A73" s="44"/>
      <c r="B73" s="45"/>
      <c r="C73" s="46"/>
    </row>
    <row r="74" spans="1:3" ht="15" customHeight="1" x14ac:dyDescent="0.25">
      <c r="A74" s="47" t="s">
        <v>174</v>
      </c>
      <c r="B74" s="45"/>
      <c r="C74" s="46"/>
    </row>
    <row r="75" spans="1:3" ht="15" customHeight="1" x14ac:dyDescent="0.25">
      <c r="A75" s="50" t="s">
        <v>189</v>
      </c>
      <c r="B75" s="45">
        <f>ROUND((B68*(B69*B70*B71)),2)</f>
        <v>12.57</v>
      </c>
      <c r="C75" s="46" t="s">
        <v>51</v>
      </c>
    </row>
    <row r="76" spans="1:3" ht="15" customHeight="1" x14ac:dyDescent="0.25">
      <c r="A76" s="44"/>
      <c r="B76" s="45"/>
      <c r="C76" s="46"/>
    </row>
    <row r="77" spans="1:3" ht="15" customHeight="1" x14ac:dyDescent="0.25">
      <c r="A77" s="47" t="s">
        <v>176</v>
      </c>
      <c r="B77" s="45"/>
      <c r="C77" s="46"/>
    </row>
    <row r="78" spans="1:3" ht="15" customHeight="1" x14ac:dyDescent="0.25">
      <c r="A78" s="44" t="s">
        <v>190</v>
      </c>
      <c r="B78" s="45">
        <f>ROUND((B68*(B69*B70*B72)),3)</f>
        <v>3.1419999999999999</v>
      </c>
      <c r="C78" s="46" t="s">
        <v>42</v>
      </c>
    </row>
    <row r="79" spans="1:3" ht="15" customHeight="1" x14ac:dyDescent="0.25">
      <c r="A79" s="44"/>
      <c r="B79" s="45"/>
      <c r="C79" s="46"/>
    </row>
    <row r="80" spans="1:3" ht="15" customHeight="1" x14ac:dyDescent="0.25">
      <c r="A80" s="47" t="s">
        <v>151</v>
      </c>
      <c r="B80" s="48"/>
      <c r="C80" s="46"/>
    </row>
    <row r="81" spans="1:3" ht="15" customHeight="1" x14ac:dyDescent="0.25">
      <c r="A81" s="44" t="s">
        <v>152</v>
      </c>
      <c r="B81" s="48">
        <f>PILARES!E18</f>
        <v>834</v>
      </c>
      <c r="C81" s="46" t="s">
        <v>54</v>
      </c>
    </row>
    <row r="82" spans="1:3" ht="15" customHeight="1" x14ac:dyDescent="0.25">
      <c r="A82" s="51"/>
      <c r="B82" s="51"/>
      <c r="C82" s="52"/>
    </row>
    <row r="83" spans="1:3" ht="15" customHeight="1" x14ac:dyDescent="0.25">
      <c r="A83" s="96" t="s">
        <v>330</v>
      </c>
      <c r="B83" s="97"/>
      <c r="C83" s="98"/>
    </row>
    <row r="84" spans="1:3" ht="15" customHeight="1" x14ac:dyDescent="0.25">
      <c r="A84" s="44" t="s">
        <v>184</v>
      </c>
      <c r="B84" s="45">
        <v>1</v>
      </c>
      <c r="C84" s="46" t="s">
        <v>148</v>
      </c>
    </row>
    <row r="85" spans="1:3" ht="15" customHeight="1" x14ac:dyDescent="0.25">
      <c r="A85" s="44" t="s">
        <v>185</v>
      </c>
      <c r="B85" s="45">
        <v>2</v>
      </c>
      <c r="C85" s="46" t="s">
        <v>148</v>
      </c>
    </row>
    <row r="86" spans="1:3" ht="15" customHeight="1" x14ac:dyDescent="0.25">
      <c r="A86" s="44" t="s">
        <v>186</v>
      </c>
      <c r="B86" s="45">
        <v>2</v>
      </c>
      <c r="C86" s="46" t="s">
        <v>44</v>
      </c>
    </row>
    <row r="87" spans="1:3" ht="15" customHeight="1" x14ac:dyDescent="0.25">
      <c r="A87" s="44" t="s">
        <v>187</v>
      </c>
      <c r="B87" s="45">
        <f>PI()*1</f>
        <v>3.1415926535897931</v>
      </c>
      <c r="C87" s="46" t="s">
        <v>44</v>
      </c>
    </row>
    <row r="88" spans="1:3" ht="15" customHeight="1" x14ac:dyDescent="0.25">
      <c r="A88" s="44" t="s">
        <v>188</v>
      </c>
      <c r="B88" s="45">
        <f>PI()*1^2/4</f>
        <v>0.78539816339744828</v>
      </c>
      <c r="C88" s="46" t="s">
        <v>51</v>
      </c>
    </row>
    <row r="89" spans="1:3" ht="15" customHeight="1" x14ac:dyDescent="0.25">
      <c r="A89" s="44"/>
      <c r="B89" s="45"/>
      <c r="C89" s="46"/>
    </row>
    <row r="90" spans="1:3" ht="15" customHeight="1" x14ac:dyDescent="0.25">
      <c r="A90" s="47" t="s">
        <v>174</v>
      </c>
      <c r="B90" s="45"/>
      <c r="C90" s="46"/>
    </row>
    <row r="91" spans="1:3" ht="15" customHeight="1" x14ac:dyDescent="0.25">
      <c r="A91" s="50" t="s">
        <v>189</v>
      </c>
      <c r="B91" s="45">
        <f>ROUND((B84*(B85*B86*B87)),2)</f>
        <v>12.57</v>
      </c>
      <c r="C91" s="46" t="s">
        <v>51</v>
      </c>
    </row>
    <row r="92" spans="1:3" ht="15" customHeight="1" x14ac:dyDescent="0.25">
      <c r="A92" s="44"/>
      <c r="B92" s="45"/>
      <c r="C92" s="46"/>
    </row>
    <row r="93" spans="1:3" ht="15" customHeight="1" x14ac:dyDescent="0.25">
      <c r="A93" s="47" t="s">
        <v>176</v>
      </c>
      <c r="B93" s="45"/>
      <c r="C93" s="46"/>
    </row>
    <row r="94" spans="1:3" ht="15" customHeight="1" x14ac:dyDescent="0.25">
      <c r="A94" s="44" t="s">
        <v>190</v>
      </c>
      <c r="B94" s="45">
        <f>ROUND((B84*(B85*B86*B88)),3)</f>
        <v>3.1419999999999999</v>
      </c>
      <c r="C94" s="46" t="s">
        <v>42</v>
      </c>
    </row>
    <row r="95" spans="1:3" ht="15" customHeight="1" x14ac:dyDescent="0.25">
      <c r="A95" s="44"/>
      <c r="B95" s="45"/>
      <c r="C95" s="46"/>
    </row>
    <row r="96" spans="1:3" ht="15" customHeight="1" x14ac:dyDescent="0.25">
      <c r="A96" s="47" t="s">
        <v>151</v>
      </c>
      <c r="B96" s="48"/>
      <c r="C96" s="46"/>
    </row>
    <row r="97" spans="1:3" ht="15" customHeight="1" x14ac:dyDescent="0.25">
      <c r="A97" s="44" t="s">
        <v>331</v>
      </c>
      <c r="B97" s="48">
        <v>0</v>
      </c>
      <c r="C97" s="46" t="s">
        <v>54</v>
      </c>
    </row>
    <row r="98" spans="1:3" ht="15" customHeight="1" x14ac:dyDescent="0.25">
      <c r="A98" s="51"/>
      <c r="B98" s="51"/>
      <c r="C98" s="52"/>
    </row>
    <row r="99" spans="1:3" ht="15" customHeight="1" x14ac:dyDescent="0.25">
      <c r="A99" s="96" t="s">
        <v>191</v>
      </c>
      <c r="B99" s="97"/>
      <c r="C99" s="98"/>
    </row>
    <row r="100" spans="1:3" ht="15" customHeight="1" x14ac:dyDescent="0.25">
      <c r="A100" s="44" t="s">
        <v>184</v>
      </c>
      <c r="B100" s="45">
        <v>2</v>
      </c>
      <c r="C100" s="46" t="s">
        <v>148</v>
      </c>
    </row>
    <row r="101" spans="1:3" ht="15" customHeight="1" x14ac:dyDescent="0.25">
      <c r="A101" s="44" t="s">
        <v>192</v>
      </c>
      <c r="B101" s="45">
        <f>0.95+0.95+1.7+1.2+1.2</f>
        <v>6</v>
      </c>
      <c r="C101" s="46" t="s">
        <v>44</v>
      </c>
    </row>
    <row r="102" spans="1:3" ht="15" customHeight="1" x14ac:dyDescent="0.25">
      <c r="A102" s="44" t="s">
        <v>193</v>
      </c>
      <c r="B102" s="45">
        <f>1.7*1.2+0.95*0.3</f>
        <v>2.3250000000000002</v>
      </c>
      <c r="C102" s="46" t="s">
        <v>51</v>
      </c>
    </row>
    <row r="103" spans="1:3" ht="15" customHeight="1" x14ac:dyDescent="0.25">
      <c r="A103" s="44" t="s">
        <v>194</v>
      </c>
      <c r="B103" s="45">
        <v>6.9</v>
      </c>
      <c r="C103" s="46" t="s">
        <v>44</v>
      </c>
    </row>
    <row r="104" spans="1:3" ht="15" customHeight="1" x14ac:dyDescent="0.25">
      <c r="A104" s="44" t="s">
        <v>195</v>
      </c>
      <c r="B104" s="45">
        <v>1.7</v>
      </c>
      <c r="C104" s="46" t="s">
        <v>44</v>
      </c>
    </row>
    <row r="105" spans="1:3" ht="15" customHeight="1" x14ac:dyDescent="0.25">
      <c r="A105" s="44" t="s">
        <v>196</v>
      </c>
      <c r="B105" s="45">
        <v>1</v>
      </c>
      <c r="C105" s="46" t="s">
        <v>44</v>
      </c>
    </row>
    <row r="106" spans="1:3" ht="15" customHeight="1" x14ac:dyDescent="0.25">
      <c r="A106" s="44"/>
      <c r="B106" s="45"/>
      <c r="C106" s="46"/>
    </row>
    <row r="107" spans="1:3" ht="15" customHeight="1" x14ac:dyDescent="0.25">
      <c r="A107" s="47" t="s">
        <v>174</v>
      </c>
      <c r="B107" s="45"/>
      <c r="C107" s="46"/>
    </row>
    <row r="108" spans="1:3" ht="15" customHeight="1" x14ac:dyDescent="0.25">
      <c r="A108" s="50" t="s">
        <v>197</v>
      </c>
      <c r="B108" s="45">
        <f>ROUND((B100*(B101*B103+2*B102)),3)</f>
        <v>92.1</v>
      </c>
      <c r="C108" s="46" t="s">
        <v>51</v>
      </c>
    </row>
    <row r="109" spans="1:3" ht="15" customHeight="1" x14ac:dyDescent="0.25">
      <c r="A109" s="50"/>
      <c r="B109" s="45"/>
      <c r="C109" s="46"/>
    </row>
    <row r="110" spans="1:3" ht="15" customHeight="1" x14ac:dyDescent="0.25">
      <c r="A110" s="47" t="s">
        <v>198</v>
      </c>
      <c r="B110" s="45"/>
      <c r="C110" s="46"/>
    </row>
    <row r="111" spans="1:3" ht="15" customHeight="1" x14ac:dyDescent="0.25">
      <c r="A111" s="50" t="s">
        <v>199</v>
      </c>
      <c r="B111" s="45">
        <f>ROUND(B100*B103*B104*B105,3)</f>
        <v>23.46</v>
      </c>
      <c r="C111" s="46" t="s">
        <v>42</v>
      </c>
    </row>
    <row r="112" spans="1:3" ht="15" customHeight="1" x14ac:dyDescent="0.25">
      <c r="A112" s="44"/>
      <c r="B112" s="45"/>
      <c r="C112" s="46"/>
    </row>
    <row r="113" spans="1:3" ht="15" customHeight="1" x14ac:dyDescent="0.25">
      <c r="A113" s="47" t="s">
        <v>176</v>
      </c>
      <c r="B113" s="45"/>
      <c r="C113" s="46"/>
    </row>
    <row r="114" spans="1:3" ht="15" customHeight="1" x14ac:dyDescent="0.25">
      <c r="A114" s="44" t="s">
        <v>200</v>
      </c>
      <c r="B114" s="45">
        <f>ROUND((B100*(B102*B103)),3)</f>
        <v>32.085000000000001</v>
      </c>
      <c r="C114" s="46" t="s">
        <v>42</v>
      </c>
    </row>
    <row r="115" spans="1:3" ht="15" customHeight="1" x14ac:dyDescent="0.25">
      <c r="A115" s="44"/>
      <c r="B115" s="45"/>
      <c r="C115" s="46"/>
    </row>
    <row r="116" spans="1:3" ht="15" customHeight="1" x14ac:dyDescent="0.25">
      <c r="A116" s="47" t="s">
        <v>151</v>
      </c>
      <c r="B116" s="48"/>
      <c r="C116" s="46"/>
    </row>
    <row r="117" spans="1:3" ht="15" customHeight="1" x14ac:dyDescent="0.25">
      <c r="A117" s="44" t="s">
        <v>152</v>
      </c>
      <c r="B117" s="48">
        <f>'TRAV E1E3'!E27</f>
        <v>3056</v>
      </c>
      <c r="C117" s="46" t="s">
        <v>54</v>
      </c>
    </row>
    <row r="118" spans="1:3" ht="15" customHeight="1" x14ac:dyDescent="0.25">
      <c r="A118" s="51"/>
      <c r="B118" s="51"/>
      <c r="C118" s="52"/>
    </row>
    <row r="119" spans="1:3" ht="15" customHeight="1" x14ac:dyDescent="0.25">
      <c r="A119" s="96" t="s">
        <v>201</v>
      </c>
      <c r="B119" s="97"/>
      <c r="C119" s="98"/>
    </row>
    <row r="120" spans="1:3" ht="15" customHeight="1" x14ac:dyDescent="0.25">
      <c r="A120" s="44" t="s">
        <v>184</v>
      </c>
      <c r="B120" s="45">
        <v>1</v>
      </c>
      <c r="C120" s="46" t="s">
        <v>148</v>
      </c>
    </row>
    <row r="121" spans="1:3" ht="15" customHeight="1" x14ac:dyDescent="0.25">
      <c r="A121" s="44" t="s">
        <v>192</v>
      </c>
      <c r="B121" s="45">
        <f>1.2+1.7+1.2</f>
        <v>4.0999999999999996</v>
      </c>
      <c r="C121" s="46" t="s">
        <v>44</v>
      </c>
    </row>
    <row r="122" spans="1:3" ht="15" customHeight="1" x14ac:dyDescent="0.25">
      <c r="A122" s="44" t="s">
        <v>193</v>
      </c>
      <c r="B122" s="45">
        <f>1.2*1.7</f>
        <v>2.04</v>
      </c>
      <c r="C122" s="46" t="s">
        <v>51</v>
      </c>
    </row>
    <row r="123" spans="1:3" ht="15" customHeight="1" x14ac:dyDescent="0.25">
      <c r="A123" s="44" t="s">
        <v>194</v>
      </c>
      <c r="B123" s="45">
        <v>6.9</v>
      </c>
      <c r="C123" s="46" t="s">
        <v>44</v>
      </c>
    </row>
    <row r="124" spans="1:3" ht="15" customHeight="1" x14ac:dyDescent="0.25">
      <c r="A124" s="44" t="s">
        <v>195</v>
      </c>
      <c r="B124" s="45">
        <v>1.7</v>
      </c>
      <c r="C124" s="46" t="s">
        <v>44</v>
      </c>
    </row>
    <row r="125" spans="1:3" ht="15" customHeight="1" x14ac:dyDescent="0.25">
      <c r="A125" s="44" t="s">
        <v>196</v>
      </c>
      <c r="B125" s="45">
        <v>1.5</v>
      </c>
      <c r="C125" s="46" t="s">
        <v>44</v>
      </c>
    </row>
    <row r="126" spans="1:3" ht="15" customHeight="1" x14ac:dyDescent="0.25">
      <c r="A126" s="44"/>
      <c r="B126" s="45"/>
      <c r="C126" s="46"/>
    </row>
    <row r="127" spans="1:3" ht="15" customHeight="1" x14ac:dyDescent="0.25">
      <c r="A127" s="47" t="s">
        <v>174</v>
      </c>
      <c r="B127" s="45"/>
      <c r="C127" s="46"/>
    </row>
    <row r="128" spans="1:3" ht="15" customHeight="1" x14ac:dyDescent="0.25">
      <c r="A128" s="50" t="s">
        <v>197</v>
      </c>
      <c r="B128" s="45">
        <f>ROUND((B120*(B121*B123+2*B122)),3)</f>
        <v>32.369999999999997</v>
      </c>
      <c r="C128" s="46" t="s">
        <v>51</v>
      </c>
    </row>
    <row r="129" spans="1:3" ht="15" customHeight="1" x14ac:dyDescent="0.25">
      <c r="A129" s="50"/>
      <c r="B129" s="45"/>
      <c r="C129" s="46"/>
    </row>
    <row r="130" spans="1:3" ht="15" customHeight="1" x14ac:dyDescent="0.25">
      <c r="A130" s="47" t="s">
        <v>198</v>
      </c>
      <c r="B130" s="45"/>
      <c r="C130" s="46"/>
    </row>
    <row r="131" spans="1:3" ht="15" customHeight="1" x14ac:dyDescent="0.25">
      <c r="A131" s="50" t="s">
        <v>199</v>
      </c>
      <c r="B131" s="45">
        <f>ROUND(B120*B123*B124*B125,3)</f>
        <v>17.594999999999999</v>
      </c>
      <c r="C131" s="46" t="s">
        <v>42</v>
      </c>
    </row>
    <row r="132" spans="1:3" ht="15" customHeight="1" x14ac:dyDescent="0.25">
      <c r="A132" s="44"/>
      <c r="B132" s="45"/>
      <c r="C132" s="46"/>
    </row>
    <row r="133" spans="1:3" ht="15" customHeight="1" x14ac:dyDescent="0.25">
      <c r="A133" s="47" t="s">
        <v>176</v>
      </c>
      <c r="B133" s="45"/>
      <c r="C133" s="46"/>
    </row>
    <row r="134" spans="1:3" ht="15" customHeight="1" x14ac:dyDescent="0.25">
      <c r="A134" s="44" t="s">
        <v>200</v>
      </c>
      <c r="B134" s="45">
        <f>ROUND((B120*(B122*B123)),3)</f>
        <v>14.076000000000001</v>
      </c>
      <c r="C134" s="46" t="s">
        <v>42</v>
      </c>
    </row>
    <row r="135" spans="1:3" ht="15" customHeight="1" x14ac:dyDescent="0.25">
      <c r="A135" s="44"/>
      <c r="B135" s="45"/>
      <c r="C135" s="46"/>
    </row>
    <row r="136" spans="1:3" ht="15" customHeight="1" x14ac:dyDescent="0.25">
      <c r="A136" s="47" t="s">
        <v>151</v>
      </c>
      <c r="B136" s="48"/>
      <c r="C136" s="46"/>
    </row>
    <row r="137" spans="1:3" ht="15" customHeight="1" x14ac:dyDescent="0.25">
      <c r="A137" s="44" t="s">
        <v>152</v>
      </c>
      <c r="B137" s="48">
        <f>'TRAV E2'!E23</f>
        <v>1191</v>
      </c>
      <c r="C137" s="46" t="s">
        <v>54</v>
      </c>
    </row>
    <row r="138" spans="1:3" ht="15" customHeight="1" x14ac:dyDescent="0.25">
      <c r="A138" s="51"/>
      <c r="B138" s="51"/>
      <c r="C138" s="52"/>
    </row>
    <row r="139" spans="1:3" ht="15" customHeight="1" x14ac:dyDescent="0.25">
      <c r="A139" s="92" t="s">
        <v>202</v>
      </c>
      <c r="B139" s="93"/>
      <c r="C139" s="94"/>
    </row>
    <row r="140" spans="1:3" ht="15" customHeight="1" x14ac:dyDescent="0.25">
      <c r="A140" s="53" t="s">
        <v>203</v>
      </c>
      <c r="B140" s="54">
        <v>4</v>
      </c>
      <c r="C140" s="55" t="s">
        <v>148</v>
      </c>
    </row>
    <row r="141" spans="1:3" ht="15" customHeight="1" x14ac:dyDescent="0.25">
      <c r="A141" s="53" t="s">
        <v>204</v>
      </c>
      <c r="B141" s="54">
        <v>4</v>
      </c>
      <c r="C141" s="55" t="s">
        <v>148</v>
      </c>
    </row>
    <row r="142" spans="1:3" ht="15" customHeight="1" x14ac:dyDescent="0.25">
      <c r="A142" s="53" t="s">
        <v>205</v>
      </c>
      <c r="B142" s="54">
        <f>5*0.5+10.3*0.5</f>
        <v>7.65</v>
      </c>
      <c r="C142" s="55" t="s">
        <v>149</v>
      </c>
    </row>
    <row r="143" spans="1:3" ht="15" customHeight="1" x14ac:dyDescent="0.25">
      <c r="A143" s="53" t="s">
        <v>206</v>
      </c>
      <c r="B143" s="54">
        <v>0.45</v>
      </c>
      <c r="C143" s="55" t="s">
        <v>44</v>
      </c>
    </row>
    <row r="144" spans="1:3" ht="15" customHeight="1" x14ac:dyDescent="0.25">
      <c r="A144" s="53" t="s">
        <v>207</v>
      </c>
      <c r="B144" s="54">
        <v>0.3</v>
      </c>
      <c r="C144" s="55" t="s">
        <v>44</v>
      </c>
    </row>
    <row r="145" spans="1:3" ht="15" customHeight="1" x14ac:dyDescent="0.25">
      <c r="A145" s="53" t="s">
        <v>208</v>
      </c>
      <c r="B145" s="54">
        <v>3.5</v>
      </c>
      <c r="C145" s="55" t="s">
        <v>209</v>
      </c>
    </row>
    <row r="146" spans="1:3" ht="15" customHeight="1" x14ac:dyDescent="0.25">
      <c r="A146" s="53" t="s">
        <v>210</v>
      </c>
      <c r="B146" s="54">
        <v>2</v>
      </c>
      <c r="C146" s="55" t="s">
        <v>209</v>
      </c>
    </row>
    <row r="147" spans="1:3" ht="15" customHeight="1" x14ac:dyDescent="0.25">
      <c r="A147" s="53" t="s">
        <v>211</v>
      </c>
      <c r="B147" s="54">
        <v>0.6</v>
      </c>
      <c r="C147" s="55" t="s">
        <v>209</v>
      </c>
    </row>
    <row r="148" spans="1:3" ht="15" customHeight="1" x14ac:dyDescent="0.25">
      <c r="A148" s="53" t="s">
        <v>395</v>
      </c>
      <c r="B148" s="54">
        <v>2.5</v>
      </c>
      <c r="C148" s="55" t="s">
        <v>149</v>
      </c>
    </row>
    <row r="149" spans="1:3" ht="15" customHeight="1" x14ac:dyDescent="0.25">
      <c r="A149" s="53" t="s">
        <v>396</v>
      </c>
      <c r="B149" s="54">
        <v>0.35</v>
      </c>
      <c r="C149" s="55" t="s">
        <v>44</v>
      </c>
    </row>
    <row r="150" spans="1:3" ht="15" customHeight="1" x14ac:dyDescent="0.25">
      <c r="A150" s="53" t="s">
        <v>397</v>
      </c>
      <c r="B150" s="54">
        <v>0.3</v>
      </c>
      <c r="C150" s="55" t="s">
        <v>44</v>
      </c>
    </row>
    <row r="151" spans="1:3" ht="15" customHeight="1" x14ac:dyDescent="0.25">
      <c r="A151" s="53"/>
      <c r="B151" s="54"/>
      <c r="C151" s="55"/>
    </row>
    <row r="152" spans="1:3" ht="15" customHeight="1" x14ac:dyDescent="0.25">
      <c r="A152" s="56" t="s">
        <v>174</v>
      </c>
      <c r="B152" s="54"/>
      <c r="C152" s="55"/>
    </row>
    <row r="153" spans="1:3" x14ac:dyDescent="0.25">
      <c r="A153" s="57" t="s">
        <v>212</v>
      </c>
      <c r="B153" s="54">
        <f>ROUND((B140*B141*2*(B143+B144)*(B142/100)),2)</f>
        <v>1.84</v>
      </c>
      <c r="C153" s="55" t="s">
        <v>51</v>
      </c>
    </row>
    <row r="154" spans="1:3" ht="15" customHeight="1" x14ac:dyDescent="0.25">
      <c r="A154" s="53"/>
      <c r="B154" s="54"/>
      <c r="C154" s="55"/>
    </row>
    <row r="155" spans="1:3" ht="15" customHeight="1" x14ac:dyDescent="0.25">
      <c r="A155" s="56" t="s">
        <v>176</v>
      </c>
      <c r="B155" s="54"/>
      <c r="C155" s="55"/>
    </row>
    <row r="156" spans="1:3" x14ac:dyDescent="0.25">
      <c r="A156" s="57" t="s">
        <v>213</v>
      </c>
      <c r="B156" s="54">
        <f>ROUND((B140*B141*B143*B144*B142/100),3)</f>
        <v>0.16500000000000001</v>
      </c>
      <c r="C156" s="55" t="s">
        <v>42</v>
      </c>
    </row>
    <row r="157" spans="1:3" ht="15" customHeight="1" x14ac:dyDescent="0.25">
      <c r="A157" s="53"/>
      <c r="B157" s="54"/>
      <c r="C157" s="55"/>
    </row>
    <row r="158" spans="1:3" ht="15" customHeight="1" x14ac:dyDescent="0.25">
      <c r="A158" s="56" t="s">
        <v>398</v>
      </c>
      <c r="B158" s="54"/>
      <c r="C158" s="55"/>
    </row>
    <row r="159" spans="1:3" ht="15" customHeight="1" x14ac:dyDescent="0.25">
      <c r="A159" s="53" t="s">
        <v>399</v>
      </c>
      <c r="B159" s="54">
        <f>ROUND(B140*B141*(B148/100)*(B143*B144+B149*B150),3)</f>
        <v>9.6000000000000002E-2</v>
      </c>
      <c r="C159" s="55" t="s">
        <v>42</v>
      </c>
    </row>
    <row r="160" spans="1:3" ht="15" customHeight="1" x14ac:dyDescent="0.25">
      <c r="A160" s="53"/>
      <c r="B160" s="54"/>
      <c r="C160" s="55"/>
    </row>
    <row r="161" spans="1:3" ht="15" customHeight="1" x14ac:dyDescent="0.25">
      <c r="A161" s="56" t="s">
        <v>214</v>
      </c>
      <c r="B161" s="54"/>
      <c r="C161" s="55"/>
    </row>
    <row r="162" spans="1:3" ht="15" customHeight="1" x14ac:dyDescent="0.25">
      <c r="A162" s="53" t="s">
        <v>215</v>
      </c>
      <c r="B162" s="54">
        <f>B140*B145*B146*B147*B141</f>
        <v>67.2</v>
      </c>
      <c r="C162" s="55" t="s">
        <v>77</v>
      </c>
    </row>
    <row r="163" spans="1:3" ht="15" customHeight="1" x14ac:dyDescent="0.25">
      <c r="A163" s="44"/>
      <c r="B163" s="45"/>
      <c r="C163" s="46"/>
    </row>
    <row r="164" spans="1:3" ht="15" customHeight="1" x14ac:dyDescent="0.25">
      <c r="A164" s="47" t="s">
        <v>151</v>
      </c>
      <c r="B164" s="48"/>
      <c r="C164" s="46"/>
    </row>
    <row r="165" spans="1:3" ht="15" customHeight="1" x14ac:dyDescent="0.25">
      <c r="A165" s="50" t="s">
        <v>216</v>
      </c>
      <c r="B165" s="48">
        <v>0</v>
      </c>
      <c r="C165" s="46" t="s">
        <v>54</v>
      </c>
    </row>
    <row r="166" spans="1:3" ht="15" customHeight="1" x14ac:dyDescent="0.25">
      <c r="A166" s="58"/>
      <c r="B166" s="59"/>
      <c r="C166" s="52"/>
    </row>
    <row r="167" spans="1:3" ht="15" customHeight="1" x14ac:dyDescent="0.25">
      <c r="A167" s="92" t="s">
        <v>217</v>
      </c>
      <c r="B167" s="93"/>
      <c r="C167" s="94"/>
    </row>
    <row r="168" spans="1:3" ht="15" customHeight="1" x14ac:dyDescent="0.25">
      <c r="A168" s="44" t="s">
        <v>218</v>
      </c>
      <c r="B168" s="45">
        <v>4</v>
      </c>
      <c r="C168" s="46" t="s">
        <v>148</v>
      </c>
    </row>
    <row r="169" spans="1:3" ht="15" customHeight="1" x14ac:dyDescent="0.25">
      <c r="A169" s="44" t="s">
        <v>219</v>
      </c>
      <c r="B169" s="45">
        <f>9.49-2.55</f>
        <v>6.94</v>
      </c>
      <c r="C169" s="46" t="s">
        <v>44</v>
      </c>
    </row>
    <row r="170" spans="1:3" ht="15" customHeight="1" x14ac:dyDescent="0.25">
      <c r="A170" s="44" t="s">
        <v>220</v>
      </c>
      <c r="B170" s="45">
        <v>5.4</v>
      </c>
      <c r="C170" s="46" t="s">
        <v>51</v>
      </c>
    </row>
    <row r="171" spans="1:3" ht="15" customHeight="1" x14ac:dyDescent="0.25">
      <c r="A171" s="44" t="s">
        <v>221</v>
      </c>
      <c r="B171" s="45">
        <v>0.3</v>
      </c>
      <c r="C171" s="46" t="s">
        <v>44</v>
      </c>
    </row>
    <row r="172" spans="1:3" ht="15" customHeight="1" x14ac:dyDescent="0.25">
      <c r="A172" s="53"/>
      <c r="B172" s="54"/>
      <c r="C172" s="55"/>
    </row>
    <row r="173" spans="1:3" ht="15" customHeight="1" x14ac:dyDescent="0.25">
      <c r="A173" s="56" t="s">
        <v>174</v>
      </c>
      <c r="B173" s="54"/>
      <c r="C173" s="55"/>
    </row>
    <row r="174" spans="1:3" ht="15" customHeight="1" x14ac:dyDescent="0.25">
      <c r="A174" s="57" t="s">
        <v>222</v>
      </c>
      <c r="B174" s="54">
        <f>ROUND(B168*(B169*B171+2*B170),2)</f>
        <v>51.53</v>
      </c>
      <c r="C174" s="55" t="s">
        <v>51</v>
      </c>
    </row>
    <row r="175" spans="1:3" ht="15" customHeight="1" x14ac:dyDescent="0.25">
      <c r="A175" s="53"/>
      <c r="B175" s="54"/>
      <c r="C175" s="55"/>
    </row>
    <row r="176" spans="1:3" ht="15" customHeight="1" x14ac:dyDescent="0.25">
      <c r="A176" s="56" t="s">
        <v>176</v>
      </c>
      <c r="B176" s="54"/>
      <c r="C176" s="55"/>
    </row>
    <row r="177" spans="1:3" ht="15" customHeight="1" x14ac:dyDescent="0.25">
      <c r="A177" s="57" t="s">
        <v>223</v>
      </c>
      <c r="B177" s="54">
        <f>ROUND(B168*B170*B171,3)</f>
        <v>6.48</v>
      </c>
      <c r="C177" s="55" t="s">
        <v>42</v>
      </c>
    </row>
    <row r="178" spans="1:3" ht="15" customHeight="1" x14ac:dyDescent="0.25">
      <c r="A178" s="44"/>
      <c r="B178" s="45"/>
      <c r="C178" s="46"/>
    </row>
    <row r="179" spans="1:3" ht="15" customHeight="1" x14ac:dyDescent="0.25">
      <c r="A179" s="47" t="s">
        <v>151</v>
      </c>
      <c r="B179" s="48"/>
      <c r="C179" s="46"/>
    </row>
    <row r="180" spans="1:3" ht="15" customHeight="1" x14ac:dyDescent="0.25">
      <c r="A180" s="44" t="s">
        <v>152</v>
      </c>
      <c r="B180" s="48">
        <f>ALAS!E20</f>
        <v>1402</v>
      </c>
      <c r="C180" s="46" t="s">
        <v>54</v>
      </c>
    </row>
    <row r="181" spans="1:3" ht="15" customHeight="1" x14ac:dyDescent="0.25">
      <c r="A181" s="58"/>
      <c r="B181" s="59"/>
      <c r="C181" s="52"/>
    </row>
    <row r="182" spans="1:3" ht="15" customHeight="1" x14ac:dyDescent="0.25">
      <c r="A182" s="92" t="s">
        <v>224</v>
      </c>
      <c r="B182" s="93"/>
      <c r="C182" s="94"/>
    </row>
    <row r="183" spans="1:3" ht="15" customHeight="1" x14ac:dyDescent="0.25">
      <c r="A183" s="53" t="s">
        <v>225</v>
      </c>
      <c r="B183" s="54">
        <v>2</v>
      </c>
      <c r="C183" s="55" t="s">
        <v>148</v>
      </c>
    </row>
    <row r="184" spans="1:3" ht="15" customHeight="1" x14ac:dyDescent="0.25">
      <c r="A184" s="53" t="s">
        <v>226</v>
      </c>
      <c r="B184" s="54">
        <v>6</v>
      </c>
      <c r="C184" s="55" t="s">
        <v>44</v>
      </c>
    </row>
    <row r="185" spans="1:3" ht="15" customHeight="1" x14ac:dyDescent="0.25">
      <c r="A185" s="53" t="s">
        <v>227</v>
      </c>
      <c r="B185" s="54">
        <f>4+0.53*2</f>
        <v>5.0600000000000005</v>
      </c>
      <c r="C185" s="55" t="s">
        <v>44</v>
      </c>
    </row>
    <row r="186" spans="1:3" ht="15" customHeight="1" x14ac:dyDescent="0.25">
      <c r="A186" s="53" t="s">
        <v>228</v>
      </c>
      <c r="B186" s="54">
        <v>1.27</v>
      </c>
      <c r="C186" s="55" t="s">
        <v>51</v>
      </c>
    </row>
    <row r="187" spans="1:3" ht="15" customHeight="1" x14ac:dyDescent="0.25">
      <c r="A187" s="53" t="s">
        <v>229</v>
      </c>
      <c r="B187" s="54">
        <v>0.02</v>
      </c>
      <c r="C187" s="55" t="s">
        <v>44</v>
      </c>
    </row>
    <row r="188" spans="1:3" ht="15" customHeight="1" x14ac:dyDescent="0.25">
      <c r="A188" s="53" t="s">
        <v>230</v>
      </c>
      <c r="B188" s="54">
        <v>0.1</v>
      </c>
      <c r="C188" s="55" t="s">
        <v>44</v>
      </c>
    </row>
    <row r="189" spans="1:3" ht="15" customHeight="1" x14ac:dyDescent="0.25">
      <c r="A189" s="53" t="s">
        <v>231</v>
      </c>
      <c r="B189" s="54">
        <v>1700</v>
      </c>
      <c r="C189" s="55" t="s">
        <v>232</v>
      </c>
    </row>
    <row r="190" spans="1:3" ht="15" customHeight="1" x14ac:dyDescent="0.25">
      <c r="A190" s="53"/>
      <c r="B190" s="54"/>
      <c r="C190" s="55"/>
    </row>
    <row r="191" spans="1:3" ht="15" customHeight="1" x14ac:dyDescent="0.25">
      <c r="A191" s="56" t="s">
        <v>174</v>
      </c>
      <c r="B191" s="54"/>
      <c r="C191" s="55"/>
    </row>
    <row r="192" spans="1:3" ht="15" customHeight="1" x14ac:dyDescent="0.25">
      <c r="A192" s="53" t="s">
        <v>233</v>
      </c>
      <c r="B192" s="54">
        <f>ROUND(B183*(2*B186+B185*B184),3)</f>
        <v>65.8</v>
      </c>
      <c r="C192" s="55" t="s">
        <v>51</v>
      </c>
    </row>
    <row r="193" spans="1:3" ht="15" customHeight="1" x14ac:dyDescent="0.25">
      <c r="A193" s="53"/>
      <c r="B193" s="54"/>
      <c r="C193" s="55"/>
    </row>
    <row r="194" spans="1:3" ht="15" customHeight="1" x14ac:dyDescent="0.25">
      <c r="A194" s="56" t="s">
        <v>176</v>
      </c>
      <c r="B194" s="54"/>
      <c r="C194" s="55"/>
    </row>
    <row r="195" spans="1:3" ht="15" customHeight="1" x14ac:dyDescent="0.25">
      <c r="A195" s="53" t="s">
        <v>234</v>
      </c>
      <c r="B195" s="54">
        <f>ROUND(B183*B186*B184,3)</f>
        <v>15.24</v>
      </c>
      <c r="C195" s="55" t="s">
        <v>42</v>
      </c>
    </row>
    <row r="196" spans="1:3" ht="15" customHeight="1" x14ac:dyDescent="0.25">
      <c r="A196" s="53"/>
      <c r="B196" s="54"/>
      <c r="C196" s="55"/>
    </row>
    <row r="197" spans="1:3" ht="15" customHeight="1" x14ac:dyDescent="0.25">
      <c r="A197" s="56" t="s">
        <v>235</v>
      </c>
      <c r="B197" s="54"/>
      <c r="C197" s="55"/>
    </row>
    <row r="198" spans="1:3" ht="15" customHeight="1" x14ac:dyDescent="0.25">
      <c r="A198" s="53" t="s">
        <v>236</v>
      </c>
      <c r="B198" s="54">
        <f>ROUND(B183*B184*B187*B188*B189,3)</f>
        <v>40.799999999999997</v>
      </c>
      <c r="C198" s="55" t="s">
        <v>54</v>
      </c>
    </row>
    <row r="199" spans="1:3" ht="15" customHeight="1" x14ac:dyDescent="0.25">
      <c r="A199" s="53"/>
      <c r="B199" s="60"/>
      <c r="C199" s="55"/>
    </row>
    <row r="200" spans="1:3" ht="15" customHeight="1" x14ac:dyDescent="0.25">
      <c r="A200" s="56" t="s">
        <v>237</v>
      </c>
      <c r="B200" s="60"/>
      <c r="C200" s="55"/>
    </row>
    <row r="201" spans="1:3" ht="15" customHeight="1" x14ac:dyDescent="0.25">
      <c r="A201" s="53" t="s">
        <v>152</v>
      </c>
      <c r="B201" s="60">
        <f>'LAJE TRANS'!E15</f>
        <v>1741</v>
      </c>
      <c r="C201" s="55" t="s">
        <v>54</v>
      </c>
    </row>
    <row r="202" spans="1:3" ht="15" customHeight="1" x14ac:dyDescent="0.25">
      <c r="A202" s="58"/>
      <c r="B202" s="59"/>
      <c r="C202" s="52"/>
    </row>
    <row r="203" spans="1:3" ht="15" customHeight="1" x14ac:dyDescent="0.25">
      <c r="A203" s="92" t="s">
        <v>238</v>
      </c>
      <c r="B203" s="93"/>
      <c r="C203" s="94"/>
    </row>
    <row r="204" spans="1:3" ht="15" customHeight="1" x14ac:dyDescent="0.25">
      <c r="A204" s="53" t="s">
        <v>239</v>
      </c>
      <c r="B204" s="54">
        <v>14.18</v>
      </c>
      <c r="C204" s="55" t="s">
        <v>51</v>
      </c>
    </row>
    <row r="205" spans="1:3" ht="15" customHeight="1" x14ac:dyDescent="0.25">
      <c r="A205" s="53" t="s">
        <v>403</v>
      </c>
      <c r="B205" s="54">
        <f>6.9+2</f>
        <v>8.9</v>
      </c>
      <c r="C205" s="55" t="s">
        <v>44</v>
      </c>
    </row>
    <row r="206" spans="1:3" ht="15" customHeight="1" x14ac:dyDescent="0.25">
      <c r="A206" s="53" t="s">
        <v>240</v>
      </c>
      <c r="B206" s="54">
        <v>12.37</v>
      </c>
      <c r="C206" s="55" t="s">
        <v>51</v>
      </c>
    </row>
    <row r="207" spans="1:3" ht="15" customHeight="1" x14ac:dyDescent="0.25">
      <c r="A207" s="53" t="s">
        <v>402</v>
      </c>
      <c r="B207" s="54">
        <f>6.9+2</f>
        <v>8.9</v>
      </c>
      <c r="C207" s="55" t="s">
        <v>44</v>
      </c>
    </row>
    <row r="208" spans="1:3" ht="15" customHeight="1" x14ac:dyDescent="0.25">
      <c r="A208" s="53"/>
      <c r="B208" s="54"/>
      <c r="C208" s="55"/>
    </row>
    <row r="209" spans="1:3" ht="15" customHeight="1" x14ac:dyDescent="0.25">
      <c r="A209" s="56" t="s">
        <v>241</v>
      </c>
      <c r="B209" s="54"/>
      <c r="C209" s="55"/>
    </row>
    <row r="210" spans="1:3" ht="15" customHeight="1" x14ac:dyDescent="0.25">
      <c r="A210" s="53" t="s">
        <v>242</v>
      </c>
      <c r="B210" s="54">
        <f>B204*B205+B206*B207</f>
        <v>236.29500000000002</v>
      </c>
      <c r="C210" s="55" t="s">
        <v>42</v>
      </c>
    </row>
    <row r="211" spans="1:3" ht="15" customHeight="1" x14ac:dyDescent="0.25">
      <c r="A211" s="80"/>
      <c r="B211" s="81"/>
      <c r="C211" s="82"/>
    </row>
    <row r="212" spans="1:3" ht="15" customHeight="1" x14ac:dyDescent="0.25">
      <c r="A212" s="92" t="s">
        <v>412</v>
      </c>
      <c r="B212" s="93"/>
      <c r="C212" s="94"/>
    </row>
    <row r="213" spans="1:3" ht="15" customHeight="1" x14ac:dyDescent="0.25">
      <c r="A213" s="53" t="s">
        <v>420</v>
      </c>
      <c r="B213" s="54">
        <v>2</v>
      </c>
      <c r="C213" s="55" t="s">
        <v>421</v>
      </c>
    </row>
    <row r="214" spans="1:3" ht="15" customHeight="1" x14ac:dyDescent="0.25">
      <c r="A214" s="53" t="s">
        <v>413</v>
      </c>
      <c r="B214" s="54">
        <v>8.2249999999999996</v>
      </c>
      <c r="C214" s="55" t="s">
        <v>51</v>
      </c>
    </row>
    <row r="215" spans="1:3" ht="15" customHeight="1" x14ac:dyDescent="0.25">
      <c r="A215" s="53" t="s">
        <v>415</v>
      </c>
      <c r="B215" s="54">
        <v>1.9</v>
      </c>
      <c r="C215" s="55" t="s">
        <v>51</v>
      </c>
    </row>
    <row r="216" spans="1:3" ht="15" customHeight="1" x14ac:dyDescent="0.25">
      <c r="A216" s="53" t="s">
        <v>416</v>
      </c>
      <c r="B216" s="54">
        <v>2.5499999999999998</v>
      </c>
      <c r="C216" s="55" t="s">
        <v>51</v>
      </c>
    </row>
    <row r="217" spans="1:3" ht="15" customHeight="1" x14ac:dyDescent="0.25">
      <c r="A217" s="53" t="s">
        <v>419</v>
      </c>
      <c r="B217" s="54">
        <f>0.5+1.9+3.3+0.25+0.1</f>
        <v>6.0499999999999989</v>
      </c>
      <c r="C217" s="55" t="s">
        <v>44</v>
      </c>
    </row>
    <row r="218" spans="1:3" ht="15" customHeight="1" x14ac:dyDescent="0.25">
      <c r="A218" s="53" t="s">
        <v>414</v>
      </c>
      <c r="B218" s="54">
        <v>6.3</v>
      </c>
      <c r="C218" s="55" t="s">
        <v>44</v>
      </c>
    </row>
    <row r="219" spans="1:3" ht="15" customHeight="1" x14ac:dyDescent="0.25">
      <c r="A219" s="53" t="s">
        <v>423</v>
      </c>
      <c r="B219" s="83">
        <v>0.1</v>
      </c>
      <c r="C219" s="55" t="s">
        <v>422</v>
      </c>
    </row>
    <row r="220" spans="1:3" ht="15" customHeight="1" x14ac:dyDescent="0.25">
      <c r="A220" s="53"/>
      <c r="B220" s="54"/>
      <c r="C220" s="55"/>
    </row>
    <row r="221" spans="1:3" ht="15" customHeight="1" x14ac:dyDescent="0.25">
      <c r="A221" s="56" t="s">
        <v>424</v>
      </c>
      <c r="B221" s="54"/>
      <c r="C221" s="55"/>
    </row>
    <row r="222" spans="1:3" ht="15" customHeight="1" x14ac:dyDescent="0.25">
      <c r="A222" s="53" t="s">
        <v>425</v>
      </c>
      <c r="B222" s="54">
        <f>ROUND(B213*B214*B218,3)</f>
        <v>103.63500000000001</v>
      </c>
      <c r="C222" s="55" t="s">
        <v>42</v>
      </c>
    </row>
    <row r="223" spans="1:3" ht="15" customHeight="1" x14ac:dyDescent="0.25">
      <c r="A223" s="53"/>
      <c r="B223" s="54"/>
      <c r="C223" s="55"/>
    </row>
    <row r="224" spans="1:3" ht="15" customHeight="1" x14ac:dyDescent="0.25">
      <c r="A224" s="56" t="s">
        <v>426</v>
      </c>
      <c r="B224" s="54"/>
      <c r="C224" s="55"/>
    </row>
    <row r="225" spans="1:3" ht="15" customHeight="1" x14ac:dyDescent="0.25">
      <c r="A225" s="53" t="s">
        <v>427</v>
      </c>
      <c r="B225" s="54">
        <f>ROUND(B213*B214*B218*B219,3)</f>
        <v>10.364000000000001</v>
      </c>
      <c r="C225" s="55" t="s">
        <v>42</v>
      </c>
    </row>
    <row r="226" spans="1:3" ht="15" customHeight="1" x14ac:dyDescent="0.25">
      <c r="A226" s="53"/>
      <c r="B226" s="54"/>
      <c r="C226" s="55"/>
    </row>
    <row r="227" spans="1:3" ht="15" customHeight="1" x14ac:dyDescent="0.25">
      <c r="A227" s="56" t="s">
        <v>431</v>
      </c>
      <c r="B227" s="54"/>
      <c r="C227" s="55"/>
    </row>
    <row r="228" spans="1:3" ht="15" customHeight="1" x14ac:dyDescent="0.25">
      <c r="A228" s="53" t="s">
        <v>430</v>
      </c>
      <c r="B228" s="54">
        <f>ROUND(B213*B215*B218,3)</f>
        <v>23.94</v>
      </c>
      <c r="C228" s="55" t="s">
        <v>42</v>
      </c>
    </row>
    <row r="229" spans="1:3" ht="15" customHeight="1" x14ac:dyDescent="0.25">
      <c r="A229" s="53"/>
      <c r="B229" s="54"/>
      <c r="C229" s="55"/>
    </row>
    <row r="230" spans="1:3" ht="15" customHeight="1" x14ac:dyDescent="0.25">
      <c r="A230" s="56" t="s">
        <v>428</v>
      </c>
      <c r="B230" s="54"/>
      <c r="C230" s="55"/>
    </row>
    <row r="231" spans="1:3" ht="15" customHeight="1" x14ac:dyDescent="0.25">
      <c r="A231" s="53" t="s">
        <v>429</v>
      </c>
      <c r="B231" s="54">
        <f>ROUND(B213*B216*B218,3)</f>
        <v>32.130000000000003</v>
      </c>
      <c r="C231" s="55" t="s">
        <v>42</v>
      </c>
    </row>
    <row r="232" spans="1:3" ht="15" customHeight="1" x14ac:dyDescent="0.25">
      <c r="A232" s="53"/>
      <c r="B232" s="54"/>
      <c r="C232" s="55"/>
    </row>
    <row r="233" spans="1:3" ht="15" customHeight="1" x14ac:dyDescent="0.25">
      <c r="A233" s="56" t="s">
        <v>432</v>
      </c>
      <c r="B233" s="54"/>
      <c r="C233" s="55"/>
    </row>
    <row r="234" spans="1:3" ht="15" customHeight="1" x14ac:dyDescent="0.25">
      <c r="A234" s="53" t="s">
        <v>433</v>
      </c>
      <c r="B234" s="54">
        <f>ROUND(B213*B217*B218,3)</f>
        <v>76.23</v>
      </c>
      <c r="C234" s="55" t="s">
        <v>51</v>
      </c>
    </row>
    <row r="235" spans="1:3" ht="15" customHeight="1" x14ac:dyDescent="0.25">
      <c r="A235" s="58"/>
      <c r="B235" s="59"/>
      <c r="C235" s="52"/>
    </row>
    <row r="236" spans="1:3" ht="15" customHeight="1" x14ac:dyDescent="0.25">
      <c r="A236" s="92" t="s">
        <v>332</v>
      </c>
      <c r="B236" s="93"/>
      <c r="C236" s="94"/>
    </row>
    <row r="237" spans="1:3" ht="15" customHeight="1" x14ac:dyDescent="0.25">
      <c r="A237" s="53" t="s">
        <v>243</v>
      </c>
      <c r="B237" s="54">
        <v>4</v>
      </c>
      <c r="C237" s="55" t="s">
        <v>148</v>
      </c>
    </row>
    <row r="238" spans="1:3" ht="15" customHeight="1" x14ac:dyDescent="0.25">
      <c r="A238" s="53" t="s">
        <v>244</v>
      </c>
      <c r="B238" s="54">
        <v>0</v>
      </c>
      <c r="C238" s="55" t="s">
        <v>44</v>
      </c>
    </row>
    <row r="239" spans="1:3" ht="15" customHeight="1" x14ac:dyDescent="0.25">
      <c r="A239" s="53" t="s">
        <v>245</v>
      </c>
      <c r="B239" s="54">
        <v>0</v>
      </c>
      <c r="C239" s="55" t="s">
        <v>44</v>
      </c>
    </row>
    <row r="240" spans="1:3" ht="15" customHeight="1" x14ac:dyDescent="0.25">
      <c r="A240" s="53" t="s">
        <v>246</v>
      </c>
      <c r="B240" s="54">
        <v>3.2</v>
      </c>
      <c r="C240" s="55" t="s">
        <v>44</v>
      </c>
    </row>
    <row r="241" spans="1:3" ht="15" customHeight="1" x14ac:dyDescent="0.25">
      <c r="A241" s="53" t="s">
        <v>247</v>
      </c>
      <c r="B241" s="54">
        <v>0.22800000000000001</v>
      </c>
      <c r="C241" s="55" t="s">
        <v>51</v>
      </c>
    </row>
    <row r="242" spans="1:3" ht="15" customHeight="1" x14ac:dyDescent="0.25">
      <c r="A242" s="53" t="s">
        <v>248</v>
      </c>
      <c r="B242" s="54">
        <v>0</v>
      </c>
      <c r="C242" s="55" t="s">
        <v>51</v>
      </c>
    </row>
    <row r="243" spans="1:3" ht="15" customHeight="1" x14ac:dyDescent="0.25">
      <c r="A243" s="53" t="s">
        <v>249</v>
      </c>
      <c r="B243" s="54">
        <v>0.22800000000000001</v>
      </c>
      <c r="C243" s="55" t="s">
        <v>51</v>
      </c>
    </row>
    <row r="244" spans="1:3" ht="15" customHeight="1" x14ac:dyDescent="0.25">
      <c r="A244" s="53" t="s">
        <v>250</v>
      </c>
      <c r="B244" s="54">
        <v>0</v>
      </c>
      <c r="C244" s="55" t="s">
        <v>148</v>
      </c>
    </row>
    <row r="245" spans="1:3" ht="15" customHeight="1" x14ac:dyDescent="0.25">
      <c r="A245" s="53" t="s">
        <v>251</v>
      </c>
      <c r="B245" s="54">
        <v>0</v>
      </c>
      <c r="C245" s="55" t="s">
        <v>44</v>
      </c>
    </row>
    <row r="246" spans="1:3" ht="15" customHeight="1" x14ac:dyDescent="0.25">
      <c r="A246" s="53" t="s">
        <v>252</v>
      </c>
      <c r="B246" s="54">
        <v>0</v>
      </c>
      <c r="C246" s="55" t="s">
        <v>44</v>
      </c>
    </row>
    <row r="247" spans="1:3" ht="15" customHeight="1" x14ac:dyDescent="0.25">
      <c r="A247" s="53" t="s">
        <v>253</v>
      </c>
      <c r="B247" s="54">
        <v>18.7</v>
      </c>
      <c r="C247" s="55" t="s">
        <v>44</v>
      </c>
    </row>
    <row r="248" spans="1:3" ht="15" customHeight="1" x14ac:dyDescent="0.25">
      <c r="A248" s="53" t="s">
        <v>254</v>
      </c>
      <c r="B248" s="54">
        <f>B247+2*B245+2*B246</f>
        <v>18.7</v>
      </c>
      <c r="C248" s="55" t="s">
        <v>44</v>
      </c>
    </row>
    <row r="249" spans="1:3" ht="15" customHeight="1" x14ac:dyDescent="0.25">
      <c r="A249" s="53" t="s">
        <v>255</v>
      </c>
      <c r="B249" s="54">
        <v>0.5</v>
      </c>
      <c r="C249" s="55" t="s">
        <v>44</v>
      </c>
    </row>
    <row r="250" spans="1:3" ht="15" customHeight="1" x14ac:dyDescent="0.25">
      <c r="A250" s="53" t="s">
        <v>256</v>
      </c>
      <c r="B250" s="54">
        <v>0.1</v>
      </c>
      <c r="C250" s="55" t="s">
        <v>44</v>
      </c>
    </row>
    <row r="251" spans="1:3" ht="15" customHeight="1" x14ac:dyDescent="0.25">
      <c r="A251" s="53"/>
      <c r="B251" s="54"/>
      <c r="C251" s="55"/>
    </row>
    <row r="252" spans="1:3" ht="15" customHeight="1" x14ac:dyDescent="0.25">
      <c r="A252" s="56" t="s">
        <v>257</v>
      </c>
      <c r="B252" s="54"/>
      <c r="C252" s="55"/>
    </row>
    <row r="253" spans="1:3" ht="15" customHeight="1" x14ac:dyDescent="0.25">
      <c r="A253" s="53" t="s">
        <v>258</v>
      </c>
      <c r="B253" s="54">
        <f>ROUND(B237*B248*B249*B250,3)</f>
        <v>3.74</v>
      </c>
      <c r="C253" s="55" t="s">
        <v>42</v>
      </c>
    </row>
    <row r="254" spans="1:3" ht="15" customHeight="1" x14ac:dyDescent="0.25">
      <c r="A254" s="53"/>
      <c r="B254" s="54"/>
      <c r="C254" s="55"/>
    </row>
    <row r="255" spans="1:3" ht="15" customHeight="1" x14ac:dyDescent="0.25">
      <c r="A255" s="56" t="s">
        <v>174</v>
      </c>
      <c r="B255" s="54"/>
      <c r="C255" s="55"/>
    </row>
    <row r="256" spans="1:3" ht="35.1" customHeight="1" x14ac:dyDescent="0.25">
      <c r="A256" s="57" t="s">
        <v>259</v>
      </c>
      <c r="B256" s="61">
        <f>ROUND((B237*(B238*B244*B245+B239*B246*B244+B240*B247+2*(B241))),2)</f>
        <v>241.18</v>
      </c>
      <c r="C256" s="62" t="s">
        <v>51</v>
      </c>
    </row>
    <row r="257" spans="1:5" ht="15" customHeight="1" x14ac:dyDescent="0.25">
      <c r="A257" s="53"/>
      <c r="B257" s="54"/>
      <c r="C257" s="55"/>
    </row>
    <row r="258" spans="1:5" ht="15" customHeight="1" x14ac:dyDescent="0.25">
      <c r="A258" s="56" t="s">
        <v>176</v>
      </c>
      <c r="B258" s="54"/>
      <c r="C258" s="55"/>
    </row>
    <row r="259" spans="1:5" ht="15" customHeight="1" x14ac:dyDescent="0.25">
      <c r="A259" s="53" t="s">
        <v>260</v>
      </c>
      <c r="B259" s="54">
        <f>ROUND((B237*(B241*B244*B245+B244*B242*B246+B243*B247)),3)</f>
        <v>17.053999999999998</v>
      </c>
      <c r="C259" s="55" t="s">
        <v>42</v>
      </c>
      <c r="E259" s="63"/>
    </row>
    <row r="260" spans="1:5" ht="15" customHeight="1" x14ac:dyDescent="0.25">
      <c r="A260" s="53"/>
      <c r="B260" s="60"/>
      <c r="C260" s="55"/>
      <c r="E260" s="63"/>
    </row>
    <row r="261" spans="1:5" ht="15" customHeight="1" x14ac:dyDescent="0.25">
      <c r="A261" s="56" t="s">
        <v>237</v>
      </c>
      <c r="B261" s="60"/>
      <c r="C261" s="55"/>
      <c r="E261" s="63"/>
    </row>
    <row r="262" spans="1:5" ht="15" customHeight="1" x14ac:dyDescent="0.25">
      <c r="A262" s="44" t="s">
        <v>152</v>
      </c>
      <c r="B262" s="60">
        <f>'VIGA 1870'!E26</f>
        <v>6405</v>
      </c>
      <c r="C262" s="55" t="s">
        <v>54</v>
      </c>
    </row>
    <row r="263" spans="1:5" ht="15" customHeight="1" x14ac:dyDescent="0.25">
      <c r="A263" s="53"/>
      <c r="B263" s="60"/>
      <c r="C263" s="55"/>
    </row>
    <row r="264" spans="1:5" ht="15" customHeight="1" x14ac:dyDescent="0.25">
      <c r="A264" s="56" t="s">
        <v>261</v>
      </c>
      <c r="B264" s="60"/>
      <c r="C264" s="55"/>
    </row>
    <row r="265" spans="1:5" ht="15" customHeight="1" x14ac:dyDescent="0.25">
      <c r="A265" s="53" t="s">
        <v>262</v>
      </c>
      <c r="B265" s="60">
        <v>978</v>
      </c>
      <c r="C265" s="55" t="s">
        <v>54</v>
      </c>
    </row>
    <row r="266" spans="1:5" ht="15" customHeight="1" x14ac:dyDescent="0.25">
      <c r="A266" s="53"/>
      <c r="B266" s="60"/>
      <c r="C266" s="55"/>
    </row>
    <row r="267" spans="1:5" ht="15" customHeight="1" x14ac:dyDescent="0.25">
      <c r="A267" s="56" t="s">
        <v>338</v>
      </c>
      <c r="B267" s="60"/>
      <c r="C267" s="55"/>
    </row>
    <row r="268" spans="1:5" ht="15" customHeight="1" x14ac:dyDescent="0.25">
      <c r="A268" s="53" t="s">
        <v>262</v>
      </c>
      <c r="B268" s="60">
        <v>40</v>
      </c>
      <c r="C268" s="55" t="s">
        <v>148</v>
      </c>
    </row>
    <row r="269" spans="1:5" ht="15" customHeight="1" x14ac:dyDescent="0.25">
      <c r="A269" s="53"/>
      <c r="B269" s="60"/>
      <c r="C269" s="55"/>
    </row>
    <row r="270" spans="1:5" ht="15" customHeight="1" x14ac:dyDescent="0.25">
      <c r="A270" s="56" t="s">
        <v>263</v>
      </c>
      <c r="B270" s="60"/>
      <c r="C270" s="55"/>
    </row>
    <row r="271" spans="1:5" ht="15" customHeight="1" x14ac:dyDescent="0.25">
      <c r="A271" s="53" t="s">
        <v>262</v>
      </c>
      <c r="B271" s="60">
        <v>40</v>
      </c>
      <c r="C271" s="55" t="s">
        <v>148</v>
      </c>
    </row>
    <row r="272" spans="1:5" ht="15" customHeight="1" x14ac:dyDescent="0.25">
      <c r="A272" s="64"/>
      <c r="B272" s="64"/>
      <c r="C272" s="64"/>
    </row>
    <row r="273" spans="1:3" ht="15" customHeight="1" x14ac:dyDescent="0.25">
      <c r="A273" s="92" t="s">
        <v>264</v>
      </c>
      <c r="B273" s="93"/>
      <c r="C273" s="94"/>
    </row>
    <row r="274" spans="1:3" ht="15" customHeight="1" x14ac:dyDescent="0.25">
      <c r="A274" s="53" t="s">
        <v>243</v>
      </c>
      <c r="B274" s="54">
        <v>4</v>
      </c>
      <c r="C274" s="55" t="s">
        <v>148</v>
      </c>
    </row>
    <row r="275" spans="1:3" ht="15" customHeight="1" x14ac:dyDescent="0.25">
      <c r="A275" s="53" t="s">
        <v>244</v>
      </c>
      <c r="B275" s="54">
        <v>0</v>
      </c>
      <c r="C275" s="55" t="s">
        <v>44</v>
      </c>
    </row>
    <row r="276" spans="1:3" ht="15" customHeight="1" x14ac:dyDescent="0.25">
      <c r="A276" s="53" t="s">
        <v>245</v>
      </c>
      <c r="B276" s="54">
        <v>0</v>
      </c>
      <c r="C276" s="55" t="s">
        <v>44</v>
      </c>
    </row>
    <row r="277" spans="1:3" ht="15" customHeight="1" x14ac:dyDescent="0.25">
      <c r="A277" s="53" t="s">
        <v>246</v>
      </c>
      <c r="B277" s="54">
        <v>3.2</v>
      </c>
      <c r="C277" s="55" t="s">
        <v>44</v>
      </c>
    </row>
    <row r="278" spans="1:3" ht="15" customHeight="1" x14ac:dyDescent="0.25">
      <c r="A278" s="53" t="s">
        <v>247</v>
      </c>
      <c r="B278" s="54">
        <v>0.22800000000000001</v>
      </c>
      <c r="C278" s="55" t="s">
        <v>51</v>
      </c>
    </row>
    <row r="279" spans="1:3" ht="15" customHeight="1" x14ac:dyDescent="0.25">
      <c r="A279" s="53" t="s">
        <v>248</v>
      </c>
      <c r="B279" s="54">
        <v>0</v>
      </c>
      <c r="C279" s="55" t="s">
        <v>51</v>
      </c>
    </row>
    <row r="280" spans="1:3" ht="15" customHeight="1" x14ac:dyDescent="0.25">
      <c r="A280" s="53" t="s">
        <v>249</v>
      </c>
      <c r="B280" s="54">
        <v>0.22800000000000001</v>
      </c>
      <c r="C280" s="55" t="s">
        <v>51</v>
      </c>
    </row>
    <row r="281" spans="1:3" ht="15" customHeight="1" x14ac:dyDescent="0.25">
      <c r="A281" s="53" t="s">
        <v>250</v>
      </c>
      <c r="B281" s="54">
        <v>0</v>
      </c>
      <c r="C281" s="55" t="s">
        <v>148</v>
      </c>
    </row>
    <row r="282" spans="1:3" ht="15" customHeight="1" x14ac:dyDescent="0.25">
      <c r="A282" s="53" t="s">
        <v>251</v>
      </c>
      <c r="B282" s="54">
        <v>0</v>
      </c>
      <c r="C282" s="55" t="s">
        <v>44</v>
      </c>
    </row>
    <row r="283" spans="1:3" ht="15" customHeight="1" x14ac:dyDescent="0.25">
      <c r="A283" s="53" t="s">
        <v>252</v>
      </c>
      <c r="B283" s="54">
        <v>0</v>
      </c>
      <c r="C283" s="55" t="s">
        <v>44</v>
      </c>
    </row>
    <row r="284" spans="1:3" ht="15" customHeight="1" x14ac:dyDescent="0.25">
      <c r="A284" s="53" t="s">
        <v>253</v>
      </c>
      <c r="B284" s="54">
        <v>14.7</v>
      </c>
      <c r="C284" s="55" t="s">
        <v>44</v>
      </c>
    </row>
    <row r="285" spans="1:3" ht="15" customHeight="1" x14ac:dyDescent="0.25">
      <c r="A285" s="53" t="s">
        <v>254</v>
      </c>
      <c r="B285" s="54">
        <f>B284+2*B282+2*B283</f>
        <v>14.7</v>
      </c>
      <c r="C285" s="55" t="s">
        <v>44</v>
      </c>
    </row>
    <row r="286" spans="1:3" ht="15" customHeight="1" x14ac:dyDescent="0.25">
      <c r="A286" s="53" t="s">
        <v>255</v>
      </c>
      <c r="B286" s="54">
        <v>0.5</v>
      </c>
      <c r="C286" s="55" t="s">
        <v>44</v>
      </c>
    </row>
    <row r="287" spans="1:3" ht="15" customHeight="1" x14ac:dyDescent="0.25">
      <c r="A287" s="53" t="s">
        <v>256</v>
      </c>
      <c r="B287" s="54">
        <v>0.1</v>
      </c>
      <c r="C287" s="55" t="s">
        <v>44</v>
      </c>
    </row>
    <row r="288" spans="1:3" ht="15" customHeight="1" x14ac:dyDescent="0.25">
      <c r="A288" s="53"/>
      <c r="B288" s="54"/>
      <c r="C288" s="55"/>
    </row>
    <row r="289" spans="1:3" ht="15" customHeight="1" x14ac:dyDescent="0.25">
      <c r="A289" s="56" t="s">
        <v>257</v>
      </c>
      <c r="B289" s="54"/>
      <c r="C289" s="55"/>
    </row>
    <row r="290" spans="1:3" ht="15" customHeight="1" x14ac:dyDescent="0.25">
      <c r="A290" s="53" t="s">
        <v>258</v>
      </c>
      <c r="B290" s="54">
        <f>ROUND(B274*B285*B286*B287,3)</f>
        <v>2.94</v>
      </c>
      <c r="C290" s="55" t="s">
        <v>42</v>
      </c>
    </row>
    <row r="291" spans="1:3" ht="15" customHeight="1" x14ac:dyDescent="0.25">
      <c r="A291" s="53"/>
      <c r="B291" s="54"/>
      <c r="C291" s="55"/>
    </row>
    <row r="292" spans="1:3" ht="15" customHeight="1" x14ac:dyDescent="0.25">
      <c r="A292" s="56" t="s">
        <v>174</v>
      </c>
      <c r="B292" s="54"/>
      <c r="C292" s="55"/>
    </row>
    <row r="293" spans="1:3" ht="15" customHeight="1" x14ac:dyDescent="0.25">
      <c r="A293" s="57" t="s">
        <v>259</v>
      </c>
      <c r="B293" s="61">
        <f>ROUND((B274*(B275*B281*B282+B276*B283*B281+B277*B284+2*(B278))),2)</f>
        <v>189.98</v>
      </c>
      <c r="C293" s="62" t="s">
        <v>51</v>
      </c>
    </row>
    <row r="294" spans="1:3" ht="15" customHeight="1" x14ac:dyDescent="0.25">
      <c r="A294" s="53"/>
      <c r="B294" s="54"/>
      <c r="C294" s="55"/>
    </row>
    <row r="295" spans="1:3" ht="15" customHeight="1" x14ac:dyDescent="0.25">
      <c r="A295" s="56" t="s">
        <v>176</v>
      </c>
      <c r="B295" s="54"/>
      <c r="C295" s="55"/>
    </row>
    <row r="296" spans="1:3" ht="15" customHeight="1" x14ac:dyDescent="0.25">
      <c r="A296" s="53" t="s">
        <v>260</v>
      </c>
      <c r="B296" s="54">
        <f>ROUND((B274*(B278*B281*B282+B281*B279*B283+B280*B284)),3)</f>
        <v>13.406000000000001</v>
      </c>
      <c r="C296" s="55" t="s">
        <v>42</v>
      </c>
    </row>
    <row r="297" spans="1:3" ht="15" customHeight="1" x14ac:dyDescent="0.25">
      <c r="A297" s="53"/>
      <c r="B297" s="60"/>
      <c r="C297" s="55"/>
    </row>
    <row r="298" spans="1:3" ht="15" customHeight="1" x14ac:dyDescent="0.25">
      <c r="A298" s="56" t="s">
        <v>237</v>
      </c>
      <c r="B298" s="60"/>
      <c r="C298" s="55"/>
    </row>
    <row r="299" spans="1:3" ht="15" customHeight="1" x14ac:dyDescent="0.25">
      <c r="A299" s="44" t="s">
        <v>152</v>
      </c>
      <c r="B299" s="60">
        <f>'VIGA 1470'!E26</f>
        <v>5130</v>
      </c>
      <c r="C299" s="55" t="s">
        <v>54</v>
      </c>
    </row>
    <row r="300" spans="1:3" ht="15" customHeight="1" x14ac:dyDescent="0.25">
      <c r="A300" s="53"/>
      <c r="B300" s="60"/>
      <c r="C300" s="55"/>
    </row>
    <row r="301" spans="1:3" ht="15" customHeight="1" x14ac:dyDescent="0.25">
      <c r="A301" s="56" t="s">
        <v>261</v>
      </c>
      <c r="B301" s="60"/>
      <c r="C301" s="55"/>
    </row>
    <row r="302" spans="1:3" ht="15" customHeight="1" x14ac:dyDescent="0.25">
      <c r="A302" s="53" t="s">
        <v>262</v>
      </c>
      <c r="B302" s="60">
        <v>546</v>
      </c>
      <c r="C302" s="55" t="s">
        <v>54</v>
      </c>
    </row>
    <row r="303" spans="1:3" ht="15" customHeight="1" x14ac:dyDescent="0.25">
      <c r="A303" s="53"/>
      <c r="B303" s="60"/>
      <c r="C303" s="55"/>
    </row>
    <row r="304" spans="1:3" ht="15" customHeight="1" x14ac:dyDescent="0.25">
      <c r="A304" s="56" t="s">
        <v>338</v>
      </c>
      <c r="B304" s="60"/>
      <c r="C304" s="55"/>
    </row>
    <row r="305" spans="1:3" ht="15" customHeight="1" x14ac:dyDescent="0.25">
      <c r="A305" s="53" t="s">
        <v>262</v>
      </c>
      <c r="B305" s="60">
        <v>28</v>
      </c>
      <c r="C305" s="55" t="s">
        <v>148</v>
      </c>
    </row>
    <row r="306" spans="1:3" ht="15" customHeight="1" x14ac:dyDescent="0.25">
      <c r="A306" s="53"/>
      <c r="B306" s="60"/>
      <c r="C306" s="55"/>
    </row>
    <row r="307" spans="1:3" ht="15" customHeight="1" x14ac:dyDescent="0.25">
      <c r="A307" s="56" t="s">
        <v>263</v>
      </c>
      <c r="B307" s="60"/>
      <c r="C307" s="55"/>
    </row>
    <row r="308" spans="1:3" ht="15" customHeight="1" x14ac:dyDescent="0.25">
      <c r="A308" s="53" t="s">
        <v>262</v>
      </c>
      <c r="B308" s="60">
        <v>28</v>
      </c>
      <c r="C308" s="55" t="s">
        <v>148</v>
      </c>
    </row>
    <row r="309" spans="1:3" ht="15" customHeight="1" x14ac:dyDescent="0.25">
      <c r="A309" s="64"/>
      <c r="B309" s="64"/>
      <c r="C309" s="64"/>
    </row>
    <row r="310" spans="1:3" ht="15" customHeight="1" x14ac:dyDescent="0.25">
      <c r="A310" s="92" t="s">
        <v>265</v>
      </c>
      <c r="B310" s="93"/>
      <c r="C310" s="94"/>
    </row>
    <row r="311" spans="1:3" ht="15" customHeight="1" x14ac:dyDescent="0.25">
      <c r="A311" s="53" t="s">
        <v>266</v>
      </c>
      <c r="B311" s="54">
        <v>297</v>
      </c>
      <c r="C311" s="55" t="s">
        <v>148</v>
      </c>
    </row>
    <row r="312" spans="1:3" ht="15" customHeight="1" x14ac:dyDescent="0.25">
      <c r="A312" s="53" t="s">
        <v>267</v>
      </c>
      <c r="B312" s="54">
        <f>1.36*0.07</f>
        <v>9.5200000000000021E-2</v>
      </c>
      <c r="C312" s="55" t="s">
        <v>51</v>
      </c>
    </row>
    <row r="313" spans="1:3" ht="15" customHeight="1" x14ac:dyDescent="0.25">
      <c r="A313" s="53" t="s">
        <v>268</v>
      </c>
      <c r="B313" s="54">
        <f>1.36+2*0.07</f>
        <v>1.5</v>
      </c>
      <c r="C313" s="55" t="s">
        <v>44</v>
      </c>
    </row>
    <row r="314" spans="1:3" ht="15" customHeight="1" x14ac:dyDescent="0.25">
      <c r="A314" s="53" t="s">
        <v>269</v>
      </c>
      <c r="B314" s="54">
        <v>0.3</v>
      </c>
      <c r="C314" s="55" t="s">
        <v>44</v>
      </c>
    </row>
    <row r="315" spans="1:3" ht="15" customHeight="1" x14ac:dyDescent="0.25">
      <c r="A315" s="53"/>
      <c r="B315" s="54"/>
      <c r="C315" s="55"/>
    </row>
    <row r="316" spans="1:3" ht="15" customHeight="1" x14ac:dyDescent="0.25">
      <c r="A316" s="53" t="s">
        <v>270</v>
      </c>
      <c r="B316" s="54">
        <v>0</v>
      </c>
      <c r="C316" s="55" t="s">
        <v>148</v>
      </c>
    </row>
    <row r="317" spans="1:3" ht="15" customHeight="1" x14ac:dyDescent="0.25">
      <c r="A317" s="53" t="s">
        <v>271</v>
      </c>
      <c r="B317" s="54">
        <v>0</v>
      </c>
      <c r="C317" s="55" t="s">
        <v>51</v>
      </c>
    </row>
    <row r="318" spans="1:3" ht="15" customHeight="1" x14ac:dyDescent="0.25">
      <c r="A318" s="53" t="s">
        <v>272</v>
      </c>
      <c r="B318" s="54">
        <v>0</v>
      </c>
      <c r="C318" s="55" t="s">
        <v>44</v>
      </c>
    </row>
    <row r="319" spans="1:3" ht="15" customHeight="1" x14ac:dyDescent="0.25">
      <c r="A319" s="53" t="s">
        <v>273</v>
      </c>
      <c r="B319" s="54">
        <v>0</v>
      </c>
      <c r="C319" s="55" t="s">
        <v>44</v>
      </c>
    </row>
    <row r="320" spans="1:3" ht="15" customHeight="1" x14ac:dyDescent="0.25">
      <c r="A320" s="53"/>
      <c r="B320" s="54"/>
      <c r="C320" s="55"/>
    </row>
    <row r="321" spans="1:3" ht="15" customHeight="1" x14ac:dyDescent="0.25">
      <c r="A321" s="56" t="s">
        <v>174</v>
      </c>
      <c r="B321" s="54"/>
      <c r="C321" s="55"/>
    </row>
    <row r="322" spans="1:3" ht="35.1" customHeight="1" x14ac:dyDescent="0.25">
      <c r="A322" s="57" t="s">
        <v>274</v>
      </c>
      <c r="B322" s="61">
        <f>ROUND((B311*(2*B312+B313*B314))+(B316*(2*B317+B318*B319)),3)</f>
        <v>190.19900000000001</v>
      </c>
      <c r="C322" s="62" t="s">
        <v>51</v>
      </c>
    </row>
    <row r="323" spans="1:3" ht="15" customHeight="1" x14ac:dyDescent="0.25">
      <c r="A323" s="53"/>
      <c r="B323" s="54"/>
      <c r="C323" s="55"/>
    </row>
    <row r="324" spans="1:3" ht="15" customHeight="1" x14ac:dyDescent="0.25">
      <c r="A324" s="56" t="s">
        <v>176</v>
      </c>
      <c r="B324" s="54"/>
      <c r="C324" s="55"/>
    </row>
    <row r="325" spans="1:3" ht="35.1" customHeight="1" x14ac:dyDescent="0.25">
      <c r="A325" s="57" t="s">
        <v>275</v>
      </c>
      <c r="B325" s="54">
        <f>ROUND((B311*(B312*B314))+(B316*(B317*B319)),3)</f>
        <v>8.4819999999999993</v>
      </c>
      <c r="C325" s="55" t="s">
        <v>42</v>
      </c>
    </row>
    <row r="326" spans="1:3" ht="15" customHeight="1" x14ac:dyDescent="0.25">
      <c r="A326" s="53"/>
      <c r="B326" s="54"/>
      <c r="C326" s="55"/>
    </row>
    <row r="327" spans="1:3" ht="15" customHeight="1" x14ac:dyDescent="0.25">
      <c r="A327" s="56" t="s">
        <v>276</v>
      </c>
      <c r="B327" s="54"/>
      <c r="C327" s="55"/>
    </row>
    <row r="328" spans="1:3" ht="15" customHeight="1" x14ac:dyDescent="0.25">
      <c r="A328" s="53" t="s">
        <v>277</v>
      </c>
      <c r="B328" s="54">
        <f>ROUND(2.5*B325,3)</f>
        <v>21.204999999999998</v>
      </c>
      <c r="C328" s="55" t="s">
        <v>130</v>
      </c>
    </row>
    <row r="329" spans="1:3" ht="15" customHeight="1" x14ac:dyDescent="0.25">
      <c r="A329" s="53"/>
      <c r="B329" s="60"/>
      <c r="C329" s="55"/>
    </row>
    <row r="330" spans="1:3" ht="15" customHeight="1" x14ac:dyDescent="0.25">
      <c r="A330" s="56" t="s">
        <v>237</v>
      </c>
      <c r="B330" s="60"/>
      <c r="C330" s="55"/>
    </row>
    <row r="331" spans="1:3" ht="15" customHeight="1" x14ac:dyDescent="0.25">
      <c r="A331" s="53" t="s">
        <v>262</v>
      </c>
      <c r="B331" s="60">
        <f>PRELAJES!E17</f>
        <v>1123</v>
      </c>
      <c r="C331" s="55" t="s">
        <v>54</v>
      </c>
    </row>
    <row r="332" spans="1:3" ht="15" customHeight="1" x14ac:dyDescent="0.25">
      <c r="A332" s="53"/>
      <c r="B332" s="60"/>
      <c r="C332" s="55"/>
    </row>
    <row r="333" spans="1:3" ht="15" customHeight="1" x14ac:dyDescent="0.25">
      <c r="A333" s="56" t="s">
        <v>278</v>
      </c>
      <c r="B333" s="60"/>
      <c r="C333" s="55"/>
    </row>
    <row r="334" spans="1:3" ht="15" customHeight="1" x14ac:dyDescent="0.25">
      <c r="A334" s="44" t="s">
        <v>152</v>
      </c>
      <c r="B334" s="60">
        <f>PRELAJES!E21</f>
        <v>453</v>
      </c>
      <c r="C334" s="55" t="s">
        <v>54</v>
      </c>
    </row>
    <row r="335" spans="1:3" ht="15" customHeight="1" x14ac:dyDescent="0.25">
      <c r="A335" s="58"/>
      <c r="B335" s="59"/>
      <c r="C335" s="52"/>
    </row>
    <row r="336" spans="1:3" ht="15" customHeight="1" x14ac:dyDescent="0.25">
      <c r="A336" s="92" t="s">
        <v>279</v>
      </c>
      <c r="B336" s="93"/>
      <c r="C336" s="94"/>
    </row>
    <row r="337" spans="1:3" ht="15" customHeight="1" x14ac:dyDescent="0.25">
      <c r="A337" s="44" t="s">
        <v>280</v>
      </c>
      <c r="B337" s="48">
        <v>4</v>
      </c>
      <c r="C337" s="46" t="s">
        <v>148</v>
      </c>
    </row>
    <row r="338" spans="1:3" ht="15" customHeight="1" x14ac:dyDescent="0.25">
      <c r="A338" s="44" t="s">
        <v>281</v>
      </c>
      <c r="B338" s="48">
        <v>2</v>
      </c>
      <c r="C338" s="46" t="s">
        <v>148</v>
      </c>
    </row>
    <row r="339" spans="1:3" ht="15" customHeight="1" x14ac:dyDescent="0.25">
      <c r="A339" s="44" t="s">
        <v>282</v>
      </c>
      <c r="B339" s="48">
        <v>3</v>
      </c>
      <c r="C339" s="46" t="s">
        <v>148</v>
      </c>
    </row>
    <row r="340" spans="1:3" ht="15" customHeight="1" x14ac:dyDescent="0.25">
      <c r="A340" s="44" t="s">
        <v>283</v>
      </c>
      <c r="B340" s="48">
        <v>0.3</v>
      </c>
      <c r="C340" s="46" t="s">
        <v>44</v>
      </c>
    </row>
    <row r="341" spans="1:3" ht="15" customHeight="1" x14ac:dyDescent="0.25">
      <c r="A341" s="44" t="s">
        <v>284</v>
      </c>
      <c r="B341" s="48">
        <v>0.12</v>
      </c>
      <c r="C341" s="46" t="s">
        <v>51</v>
      </c>
    </row>
    <row r="342" spans="1:3" ht="15" customHeight="1" x14ac:dyDescent="0.25">
      <c r="A342" s="44" t="s">
        <v>285</v>
      </c>
      <c r="B342" s="48">
        <v>1.54</v>
      </c>
      <c r="C342" s="46" t="s">
        <v>51</v>
      </c>
    </row>
    <row r="343" spans="1:3" ht="15" customHeight="1" x14ac:dyDescent="0.25">
      <c r="A343" s="44" t="s">
        <v>286</v>
      </c>
      <c r="B343" s="48">
        <f>2*0.86+3*1.4</f>
        <v>5.919999999999999</v>
      </c>
      <c r="C343" s="46" t="s">
        <v>44</v>
      </c>
    </row>
    <row r="344" spans="1:3" ht="15" customHeight="1" x14ac:dyDescent="0.25">
      <c r="A344" s="44"/>
      <c r="B344" s="48"/>
      <c r="C344" s="46"/>
    </row>
    <row r="345" spans="1:3" ht="15" customHeight="1" x14ac:dyDescent="0.25">
      <c r="A345" s="47" t="s">
        <v>174</v>
      </c>
      <c r="B345" s="48"/>
      <c r="C345" s="46"/>
    </row>
    <row r="346" spans="1:3" ht="15" customHeight="1" x14ac:dyDescent="0.25">
      <c r="A346" s="44" t="s">
        <v>287</v>
      </c>
      <c r="B346" s="48">
        <f>ROUND(B337*(B343*B340+2*B338*B341+2*B339*B342),3)</f>
        <v>45.984000000000002</v>
      </c>
      <c r="C346" s="46" t="s">
        <v>51</v>
      </c>
    </row>
    <row r="347" spans="1:3" ht="15" customHeight="1" x14ac:dyDescent="0.25">
      <c r="A347" s="44"/>
      <c r="B347" s="48"/>
      <c r="C347" s="46"/>
    </row>
    <row r="348" spans="1:3" ht="15" customHeight="1" x14ac:dyDescent="0.25">
      <c r="A348" s="47" t="s">
        <v>176</v>
      </c>
      <c r="B348" s="48"/>
      <c r="C348" s="46"/>
    </row>
    <row r="349" spans="1:3" ht="15" customHeight="1" x14ac:dyDescent="0.25">
      <c r="A349" s="44" t="s">
        <v>288</v>
      </c>
      <c r="B349" s="48">
        <f>ROUND(B337*B340*(B338*B341+B339*B342),3)</f>
        <v>5.8319999999999999</v>
      </c>
      <c r="C349" s="46" t="s">
        <v>42</v>
      </c>
    </row>
    <row r="350" spans="1:3" ht="15" customHeight="1" x14ac:dyDescent="0.25">
      <c r="A350" s="44"/>
      <c r="B350" s="65"/>
      <c r="C350" s="46"/>
    </row>
    <row r="351" spans="1:3" ht="15" customHeight="1" x14ac:dyDescent="0.25">
      <c r="A351" s="47" t="s">
        <v>237</v>
      </c>
      <c r="B351" s="65"/>
      <c r="C351" s="46"/>
    </row>
    <row r="352" spans="1:3" ht="15" customHeight="1" x14ac:dyDescent="0.25">
      <c r="A352" s="44" t="s">
        <v>152</v>
      </c>
      <c r="B352" s="65">
        <f>TRANSV!E23</f>
        <v>929</v>
      </c>
      <c r="C352" s="46" t="s">
        <v>54</v>
      </c>
    </row>
    <row r="353" spans="1:3" ht="15" customHeight="1" x14ac:dyDescent="0.25">
      <c r="A353" s="58"/>
      <c r="B353" s="59"/>
      <c r="C353" s="52"/>
    </row>
    <row r="354" spans="1:3" ht="15" customHeight="1" x14ac:dyDescent="0.25">
      <c r="A354" s="92" t="s">
        <v>289</v>
      </c>
      <c r="B354" s="93"/>
      <c r="C354" s="94"/>
    </row>
    <row r="355" spans="1:3" ht="15" customHeight="1" x14ac:dyDescent="0.25">
      <c r="A355" s="53" t="s">
        <v>290</v>
      </c>
      <c r="B355" s="54">
        <v>33.799999999999997</v>
      </c>
      <c r="C355" s="55" t="s">
        <v>44</v>
      </c>
    </row>
    <row r="356" spans="1:3" ht="15" customHeight="1" x14ac:dyDescent="0.25">
      <c r="A356" s="53" t="s">
        <v>291</v>
      </c>
      <c r="B356" s="54">
        <f>12.9+16.8</f>
        <v>29.700000000000003</v>
      </c>
      <c r="C356" s="55" t="s">
        <v>44</v>
      </c>
    </row>
    <row r="357" spans="1:3" ht="15" customHeight="1" x14ac:dyDescent="0.25">
      <c r="A357" s="53" t="s">
        <v>292</v>
      </c>
      <c r="B357" s="54">
        <v>6</v>
      </c>
      <c r="C357" s="55" t="s">
        <v>44</v>
      </c>
    </row>
    <row r="358" spans="1:3" ht="15" customHeight="1" x14ac:dyDescent="0.25">
      <c r="A358" s="53" t="s">
        <v>293</v>
      </c>
      <c r="B358" s="66">
        <v>0.14000000000000001</v>
      </c>
      <c r="C358" s="55" t="s">
        <v>44</v>
      </c>
    </row>
    <row r="359" spans="1:3" ht="15" customHeight="1" x14ac:dyDescent="0.25">
      <c r="A359" s="53"/>
      <c r="B359" s="66"/>
      <c r="C359" s="55"/>
    </row>
    <row r="360" spans="1:3" ht="15" customHeight="1" x14ac:dyDescent="0.25">
      <c r="A360" s="53" t="s">
        <v>294</v>
      </c>
      <c r="B360" s="66">
        <v>4</v>
      </c>
      <c r="C360" s="55" t="s">
        <v>295</v>
      </c>
    </row>
    <row r="361" spans="1:3" ht="15" customHeight="1" x14ac:dyDescent="0.25">
      <c r="A361" s="53" t="s">
        <v>296</v>
      </c>
      <c r="B361" s="66">
        <v>0.42</v>
      </c>
      <c r="C361" s="55" t="s">
        <v>44</v>
      </c>
    </row>
    <row r="362" spans="1:3" ht="15" customHeight="1" x14ac:dyDescent="0.25">
      <c r="A362" s="53" t="s">
        <v>297</v>
      </c>
      <c r="B362" s="66">
        <v>7.0000000000000007E-2</v>
      </c>
      <c r="C362" s="55" t="s">
        <v>44</v>
      </c>
    </row>
    <row r="363" spans="1:3" ht="15" customHeight="1" x14ac:dyDescent="0.25">
      <c r="A363" s="53"/>
      <c r="B363" s="66"/>
      <c r="C363" s="55"/>
    </row>
    <row r="364" spans="1:3" ht="15" customHeight="1" x14ac:dyDescent="0.25">
      <c r="A364" s="53" t="s">
        <v>298</v>
      </c>
      <c r="B364" s="66">
        <v>0.21</v>
      </c>
      <c r="C364" s="55" t="s">
        <v>44</v>
      </c>
    </row>
    <row r="365" spans="1:3" ht="15" customHeight="1" x14ac:dyDescent="0.25">
      <c r="A365" s="53" t="s">
        <v>299</v>
      </c>
      <c r="B365" s="66">
        <f>0.52*0.07</f>
        <v>3.6400000000000002E-2</v>
      </c>
      <c r="C365" s="55" t="s">
        <v>51</v>
      </c>
    </row>
    <row r="366" spans="1:3" ht="15" customHeight="1" x14ac:dyDescent="0.25">
      <c r="A366" s="53" t="s">
        <v>300</v>
      </c>
      <c r="B366" s="66">
        <v>2</v>
      </c>
      <c r="C366" s="55" t="s">
        <v>295</v>
      </c>
    </row>
    <row r="367" spans="1:3" ht="15" customHeight="1" x14ac:dyDescent="0.25">
      <c r="A367" s="53"/>
      <c r="B367" s="66"/>
      <c r="C367" s="55"/>
    </row>
    <row r="368" spans="1:3" ht="15" customHeight="1" x14ac:dyDescent="0.25">
      <c r="A368" s="67" t="s">
        <v>301</v>
      </c>
      <c r="B368" s="68">
        <v>16</v>
      </c>
      <c r="C368" s="69" t="s">
        <v>295</v>
      </c>
    </row>
    <row r="369" spans="1:3" ht="15" customHeight="1" x14ac:dyDescent="0.25">
      <c r="A369" s="67" t="s">
        <v>302</v>
      </c>
      <c r="B369" s="70">
        <v>0.75</v>
      </c>
      <c r="C369" s="69" t="s">
        <v>44</v>
      </c>
    </row>
    <row r="370" spans="1:3" ht="15" customHeight="1" x14ac:dyDescent="0.25">
      <c r="A370" s="53"/>
      <c r="B370" s="66"/>
      <c r="C370" s="55"/>
    </row>
    <row r="371" spans="1:3" ht="15" customHeight="1" x14ac:dyDescent="0.25">
      <c r="A371" s="56" t="s">
        <v>174</v>
      </c>
      <c r="B371" s="54"/>
      <c r="C371" s="55"/>
    </row>
    <row r="372" spans="1:3" ht="15" customHeight="1" x14ac:dyDescent="0.25">
      <c r="A372" s="53" t="s">
        <v>303</v>
      </c>
      <c r="B372" s="54">
        <f>ROUND(B366*(B357*B364+2*B365),3)</f>
        <v>2.6659999999999999</v>
      </c>
      <c r="C372" s="55" t="s">
        <v>51</v>
      </c>
    </row>
    <row r="373" spans="1:3" ht="15" customHeight="1" x14ac:dyDescent="0.25">
      <c r="A373" s="53"/>
      <c r="B373" s="54"/>
      <c r="C373" s="55"/>
    </row>
    <row r="374" spans="1:3" ht="15" customHeight="1" x14ac:dyDescent="0.25">
      <c r="A374" s="56" t="s">
        <v>176</v>
      </c>
      <c r="B374" s="54"/>
      <c r="C374" s="55"/>
    </row>
    <row r="375" spans="1:3" ht="15" customHeight="1" x14ac:dyDescent="0.25">
      <c r="A375" s="53" t="s">
        <v>304</v>
      </c>
      <c r="B375" s="54">
        <f>ROUND(B356*B358*B357+B356*B360*B361*B362+B366*B365*B357,3)</f>
        <v>28.878</v>
      </c>
      <c r="C375" s="55" t="s">
        <v>42</v>
      </c>
    </row>
    <row r="376" spans="1:3" ht="15" customHeight="1" x14ac:dyDescent="0.25">
      <c r="A376" s="53"/>
      <c r="B376" s="54"/>
      <c r="C376" s="55"/>
    </row>
    <row r="377" spans="1:3" ht="15" customHeight="1" x14ac:dyDescent="0.25">
      <c r="A377" s="71" t="s">
        <v>305</v>
      </c>
      <c r="B377" s="70"/>
      <c r="C377" s="69"/>
    </row>
    <row r="378" spans="1:3" ht="15" customHeight="1" x14ac:dyDescent="0.25">
      <c r="A378" s="67" t="s">
        <v>306</v>
      </c>
      <c r="B378" s="70">
        <f>B368*B369</f>
        <v>12</v>
      </c>
      <c r="C378" s="69" t="s">
        <v>44</v>
      </c>
    </row>
    <row r="379" spans="1:3" ht="15" customHeight="1" x14ac:dyDescent="0.25">
      <c r="A379" s="44"/>
      <c r="B379" s="65"/>
      <c r="C379" s="46"/>
    </row>
    <row r="380" spans="1:3" ht="15" customHeight="1" x14ac:dyDescent="0.25">
      <c r="A380" s="47" t="s">
        <v>237</v>
      </c>
      <c r="B380" s="65"/>
      <c r="C380" s="46"/>
    </row>
    <row r="381" spans="1:3" ht="15" customHeight="1" x14ac:dyDescent="0.25">
      <c r="A381" s="44" t="s">
        <v>152</v>
      </c>
      <c r="B381" s="65">
        <f>LAJE!E27</f>
        <v>6429</v>
      </c>
      <c r="C381" s="46" t="s">
        <v>54</v>
      </c>
    </row>
    <row r="382" spans="1:3" ht="15" customHeight="1" x14ac:dyDescent="0.25">
      <c r="A382" s="58"/>
      <c r="B382" s="59"/>
      <c r="C382" s="52"/>
    </row>
    <row r="383" spans="1:3" ht="15" customHeight="1" x14ac:dyDescent="0.25">
      <c r="A383" s="92" t="s">
        <v>307</v>
      </c>
      <c r="B383" s="93"/>
      <c r="C383" s="94"/>
    </row>
    <row r="384" spans="1:3" ht="15" customHeight="1" x14ac:dyDescent="0.25">
      <c r="A384" s="53" t="s">
        <v>308</v>
      </c>
      <c r="B384" s="54">
        <v>2</v>
      </c>
      <c r="C384" s="55" t="s">
        <v>148</v>
      </c>
    </row>
    <row r="385" spans="1:3" ht="15" customHeight="1" x14ac:dyDescent="0.25">
      <c r="A385" s="53" t="s">
        <v>309</v>
      </c>
      <c r="B385" s="66">
        <v>33.799999999999997</v>
      </c>
      <c r="C385" s="55" t="s">
        <v>44</v>
      </c>
    </row>
    <row r="386" spans="1:3" ht="15" customHeight="1" x14ac:dyDescent="0.25">
      <c r="A386" s="53" t="s">
        <v>310</v>
      </c>
      <c r="B386" s="54">
        <v>1.85</v>
      </c>
      <c r="C386" s="55" t="s">
        <v>44</v>
      </c>
    </row>
    <row r="387" spans="1:3" ht="15" customHeight="1" x14ac:dyDescent="0.25">
      <c r="A387" s="53" t="s">
        <v>311</v>
      </c>
      <c r="B387" s="54">
        <f>ROUND((2160)/10000,3)</f>
        <v>0.216</v>
      </c>
      <c r="C387" s="55" t="s">
        <v>51</v>
      </c>
    </row>
    <row r="388" spans="1:3" ht="15" customHeight="1" x14ac:dyDescent="0.25">
      <c r="A388" s="53"/>
      <c r="B388" s="54"/>
      <c r="C388" s="55"/>
    </row>
    <row r="389" spans="1:3" ht="15" customHeight="1" x14ac:dyDescent="0.25">
      <c r="A389" s="56" t="s">
        <v>174</v>
      </c>
      <c r="B389" s="54"/>
      <c r="C389" s="55"/>
    </row>
    <row r="390" spans="1:3" ht="15" customHeight="1" x14ac:dyDescent="0.25">
      <c r="A390" s="53" t="s">
        <v>312</v>
      </c>
      <c r="B390" s="54">
        <f>ROUND((B384*(2*B387+B385*B386)),3)</f>
        <v>125.92400000000001</v>
      </c>
      <c r="C390" s="55" t="s">
        <v>51</v>
      </c>
    </row>
    <row r="391" spans="1:3" ht="15" customHeight="1" x14ac:dyDescent="0.25">
      <c r="A391" s="53"/>
      <c r="B391" s="54"/>
      <c r="C391" s="55"/>
    </row>
    <row r="392" spans="1:3" ht="15" customHeight="1" x14ac:dyDescent="0.25">
      <c r="A392" s="56" t="s">
        <v>176</v>
      </c>
      <c r="B392" s="54"/>
      <c r="C392" s="55"/>
    </row>
    <row r="393" spans="1:3" ht="15" customHeight="1" x14ac:dyDescent="0.25">
      <c r="A393" s="53" t="s">
        <v>313</v>
      </c>
      <c r="B393" s="54">
        <f>ROUND(B384*B385*(B387),3)</f>
        <v>14.602</v>
      </c>
      <c r="C393" s="55" t="s">
        <v>42</v>
      </c>
    </row>
    <row r="394" spans="1:3" ht="15" customHeight="1" x14ac:dyDescent="0.25">
      <c r="A394" s="53"/>
      <c r="B394" s="60"/>
      <c r="C394" s="55"/>
    </row>
    <row r="395" spans="1:3" ht="15" customHeight="1" x14ac:dyDescent="0.25">
      <c r="A395" s="56" t="s">
        <v>237</v>
      </c>
      <c r="B395" s="60"/>
      <c r="C395" s="55"/>
    </row>
    <row r="396" spans="1:3" ht="15" customHeight="1" x14ac:dyDescent="0.25">
      <c r="A396" s="53" t="s">
        <v>314</v>
      </c>
      <c r="B396" s="72">
        <v>0</v>
      </c>
      <c r="C396" s="55" t="s">
        <v>54</v>
      </c>
    </row>
    <row r="397" spans="1:3" ht="15" customHeight="1" x14ac:dyDescent="0.25">
      <c r="A397" s="58"/>
      <c r="B397" s="59"/>
      <c r="C397" s="52"/>
    </row>
    <row r="398" spans="1:3" ht="15" customHeight="1" x14ac:dyDescent="0.25">
      <c r="A398" s="92" t="s">
        <v>343</v>
      </c>
      <c r="B398" s="93"/>
      <c r="C398" s="94"/>
    </row>
    <row r="399" spans="1:3" ht="15" customHeight="1" x14ac:dyDescent="0.25">
      <c r="A399" s="53" t="s">
        <v>315</v>
      </c>
      <c r="B399" s="54">
        <v>2</v>
      </c>
      <c r="C399" s="55" t="s">
        <v>148</v>
      </c>
    </row>
    <row r="400" spans="1:3" ht="15" customHeight="1" x14ac:dyDescent="0.25">
      <c r="A400" s="53" t="s">
        <v>344</v>
      </c>
      <c r="B400" s="66">
        <v>6</v>
      </c>
      <c r="C400" s="55" t="s">
        <v>44</v>
      </c>
    </row>
    <row r="401" spans="1:3" ht="15" customHeight="1" x14ac:dyDescent="0.25">
      <c r="A401" s="53" t="s">
        <v>345</v>
      </c>
      <c r="B401" s="66">
        <v>4</v>
      </c>
      <c r="C401" s="79" t="s">
        <v>27</v>
      </c>
    </row>
    <row r="402" spans="1:3" ht="15" customHeight="1" x14ac:dyDescent="0.25">
      <c r="A402" s="53"/>
      <c r="B402" s="54"/>
      <c r="C402" s="55"/>
    </row>
    <row r="403" spans="1:3" ht="15" customHeight="1" x14ac:dyDescent="0.25">
      <c r="A403" s="56" t="s">
        <v>346</v>
      </c>
      <c r="B403" s="54"/>
      <c r="C403" s="55"/>
    </row>
    <row r="404" spans="1:3" ht="15" customHeight="1" x14ac:dyDescent="0.25">
      <c r="A404" s="53" t="s">
        <v>347</v>
      </c>
      <c r="B404" s="54">
        <f>B399*B400</f>
        <v>12</v>
      </c>
      <c r="C404" s="55" t="s">
        <v>44</v>
      </c>
    </row>
    <row r="405" spans="1:3" ht="15" customHeight="1" x14ac:dyDescent="0.25">
      <c r="A405" s="53"/>
      <c r="B405" s="54"/>
      <c r="C405" s="55"/>
    </row>
    <row r="406" spans="1:3" ht="15" customHeight="1" x14ac:dyDescent="0.25">
      <c r="A406" s="56" t="s">
        <v>348</v>
      </c>
      <c r="B406" s="54"/>
      <c r="C406" s="55"/>
    </row>
    <row r="407" spans="1:3" ht="15" customHeight="1" x14ac:dyDescent="0.25">
      <c r="A407" s="53" t="s">
        <v>349</v>
      </c>
      <c r="B407" s="54">
        <f>B404*B401</f>
        <v>48</v>
      </c>
      <c r="C407" s="55" t="s">
        <v>44</v>
      </c>
    </row>
    <row r="408" spans="1:3" ht="15" customHeight="1" x14ac:dyDescent="0.25">
      <c r="A408" s="58"/>
      <c r="B408" s="59"/>
      <c r="C408" s="52"/>
    </row>
    <row r="409" spans="1:3" ht="15" customHeight="1" x14ac:dyDescent="0.25">
      <c r="A409" s="92" t="s">
        <v>445</v>
      </c>
      <c r="B409" s="93"/>
      <c r="C409" s="94"/>
    </row>
    <row r="410" spans="1:3" ht="15" customHeight="1" x14ac:dyDescent="0.25">
      <c r="A410" s="53" t="s">
        <v>383</v>
      </c>
      <c r="B410" s="54">
        <v>13</v>
      </c>
      <c r="C410" s="55" t="s">
        <v>44</v>
      </c>
    </row>
    <row r="411" spans="1:3" ht="15" customHeight="1" x14ac:dyDescent="0.25">
      <c r="A411" s="53" t="s">
        <v>226</v>
      </c>
      <c r="B411" s="54">
        <v>4</v>
      </c>
      <c r="C411" s="55" t="s">
        <v>44</v>
      </c>
    </row>
    <row r="412" spans="1:3" ht="15" customHeight="1" x14ac:dyDescent="0.25">
      <c r="A412" s="53" t="s">
        <v>384</v>
      </c>
      <c r="B412" s="54">
        <v>0.6</v>
      </c>
      <c r="C412" s="55" t="s">
        <v>44</v>
      </c>
    </row>
    <row r="413" spans="1:3" ht="15" customHeight="1" x14ac:dyDescent="0.25">
      <c r="A413" s="53" t="s">
        <v>385</v>
      </c>
      <c r="B413" s="54">
        <v>0.6</v>
      </c>
      <c r="C413" s="55" t="s">
        <v>386</v>
      </c>
    </row>
    <row r="414" spans="1:3" ht="15" customHeight="1" x14ac:dyDescent="0.25">
      <c r="A414" s="53" t="s">
        <v>446</v>
      </c>
      <c r="B414" s="54">
        <v>10</v>
      </c>
      <c r="C414" s="55" t="s">
        <v>130</v>
      </c>
    </row>
    <row r="415" spans="1:3" ht="15" customHeight="1" x14ac:dyDescent="0.25">
      <c r="A415" s="53" t="s">
        <v>388</v>
      </c>
      <c r="B415" s="54">
        <v>2.2000000000000002</v>
      </c>
      <c r="C415" s="55" t="s">
        <v>389</v>
      </c>
    </row>
    <row r="416" spans="1:3" ht="15" customHeight="1" x14ac:dyDescent="0.25">
      <c r="A416" s="53" t="s">
        <v>387</v>
      </c>
      <c r="B416" s="54">
        <v>35.700000000000003</v>
      </c>
      <c r="C416" s="55" t="s">
        <v>389</v>
      </c>
    </row>
    <row r="417" spans="1:3" ht="15" customHeight="1" x14ac:dyDescent="0.25">
      <c r="A417" s="53"/>
      <c r="B417" s="54"/>
      <c r="C417" s="55"/>
    </row>
    <row r="418" spans="1:3" ht="15" customHeight="1" x14ac:dyDescent="0.25">
      <c r="A418" s="56" t="s">
        <v>390</v>
      </c>
      <c r="B418" s="54"/>
      <c r="C418" s="55"/>
    </row>
    <row r="419" spans="1:3" ht="15" customHeight="1" x14ac:dyDescent="0.25">
      <c r="A419" s="53" t="s">
        <v>447</v>
      </c>
      <c r="B419" s="54">
        <f>B410*B411*B412*B413+B414</f>
        <v>28.72</v>
      </c>
      <c r="C419" s="55" t="s">
        <v>130</v>
      </c>
    </row>
    <row r="420" spans="1:3" ht="15" customHeight="1" x14ac:dyDescent="0.25">
      <c r="A420" s="53"/>
      <c r="B420" s="54"/>
      <c r="C420" s="55"/>
    </row>
    <row r="421" spans="1:3" ht="15" customHeight="1" x14ac:dyDescent="0.25">
      <c r="A421" s="56" t="s">
        <v>391</v>
      </c>
      <c r="B421" s="54"/>
      <c r="C421" s="55"/>
    </row>
    <row r="422" spans="1:3" ht="15" customHeight="1" x14ac:dyDescent="0.25">
      <c r="A422" s="53" t="s">
        <v>393</v>
      </c>
      <c r="B422" s="54">
        <f>ROUND(B419*B415,2)</f>
        <v>63.18</v>
      </c>
      <c r="C422" s="55" t="s">
        <v>381</v>
      </c>
    </row>
    <row r="423" spans="1:3" ht="15" customHeight="1" x14ac:dyDescent="0.25">
      <c r="A423" s="53"/>
      <c r="B423" s="54"/>
      <c r="C423" s="55"/>
    </row>
    <row r="424" spans="1:3" ht="15" customHeight="1" x14ac:dyDescent="0.25">
      <c r="A424" s="56" t="s">
        <v>392</v>
      </c>
      <c r="B424" s="54"/>
      <c r="C424" s="55"/>
    </row>
    <row r="425" spans="1:3" ht="15" customHeight="1" x14ac:dyDescent="0.25">
      <c r="A425" s="53" t="s">
        <v>394</v>
      </c>
      <c r="B425" s="54">
        <f>ROUND(B419*B416,2)</f>
        <v>1025.3</v>
      </c>
      <c r="C425" s="55" t="s">
        <v>381</v>
      </c>
    </row>
  </sheetData>
  <mergeCells count="20">
    <mergeCell ref="A212:C212"/>
    <mergeCell ref="A409:C409"/>
    <mergeCell ref="A398:C398"/>
    <mergeCell ref="A236:C236"/>
    <mergeCell ref="A273:C273"/>
    <mergeCell ref="A310:C310"/>
    <mergeCell ref="A336:C336"/>
    <mergeCell ref="A354:C354"/>
    <mergeCell ref="A383:C383"/>
    <mergeCell ref="A203:C203"/>
    <mergeCell ref="A1:C1"/>
    <mergeCell ref="A2:C2"/>
    <mergeCell ref="A25:C25"/>
    <mergeCell ref="A67:C67"/>
    <mergeCell ref="A83:C83"/>
    <mergeCell ref="A99:C99"/>
    <mergeCell ref="A119:C119"/>
    <mergeCell ref="A139:C139"/>
    <mergeCell ref="A167:C167"/>
    <mergeCell ref="A182:C18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AF8B-D091-44C2-BA45-4790F8E8CA0F}">
  <sheetPr>
    <tabColor rgb="FF002060"/>
  </sheetPr>
  <dimension ref="A1:L27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16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8</v>
      </c>
      <c r="C4" s="6">
        <f>G4*H4</f>
        <v>288</v>
      </c>
      <c r="D4" s="6">
        <v>150</v>
      </c>
      <c r="E4" s="6">
        <f>D4*C4</f>
        <v>43200</v>
      </c>
      <c r="G4" s="3">
        <v>48</v>
      </c>
      <c r="H4" s="3">
        <v>6</v>
      </c>
    </row>
    <row r="5" spans="1:12" ht="24" customHeight="1" x14ac:dyDescent="0.25">
      <c r="A5" s="4">
        <v>2</v>
      </c>
      <c r="B5" s="5">
        <v>10</v>
      </c>
      <c r="C5" s="6">
        <f t="shared" ref="C5:C15" si="0">G5*H5</f>
        <v>672</v>
      </c>
      <c r="D5" s="6">
        <v>100</v>
      </c>
      <c r="E5" s="6">
        <f t="shared" ref="E5:E15" si="1">D5*C5</f>
        <v>67200</v>
      </c>
      <c r="G5" s="3">
        <v>48</v>
      </c>
      <c r="H5" s="3">
        <v>14</v>
      </c>
    </row>
    <row r="6" spans="1:12" ht="24" customHeight="1" x14ac:dyDescent="0.25">
      <c r="A6" s="4">
        <v>3</v>
      </c>
      <c r="B6" s="5">
        <v>16</v>
      </c>
      <c r="C6" s="6">
        <f t="shared" si="0"/>
        <v>192</v>
      </c>
      <c r="D6" s="6">
        <v>120</v>
      </c>
      <c r="E6" s="6">
        <f>D6*C6</f>
        <v>23040</v>
      </c>
      <c r="G6" s="3">
        <v>48</v>
      </c>
      <c r="H6" s="3">
        <v>4</v>
      </c>
    </row>
    <row r="7" spans="1:12" ht="24" customHeight="1" x14ac:dyDescent="0.25">
      <c r="A7" s="4">
        <v>4</v>
      </c>
      <c r="B7" s="5">
        <v>10</v>
      </c>
      <c r="C7" s="6">
        <f t="shared" si="0"/>
        <v>72</v>
      </c>
      <c r="D7" s="6">
        <v>262</v>
      </c>
      <c r="E7" s="6">
        <f t="shared" si="1"/>
        <v>18864</v>
      </c>
      <c r="G7" s="3">
        <v>6</v>
      </c>
      <c r="H7" s="3">
        <v>12</v>
      </c>
    </row>
    <row r="8" spans="1:12" ht="24" customHeight="1" x14ac:dyDescent="0.25">
      <c r="A8" s="4">
        <v>5</v>
      </c>
      <c r="B8" s="5">
        <v>10</v>
      </c>
      <c r="C8" s="6">
        <f t="shared" si="0"/>
        <v>72</v>
      </c>
      <c r="D8" s="6">
        <v>272</v>
      </c>
      <c r="E8" s="6">
        <f t="shared" si="1"/>
        <v>19584</v>
      </c>
      <c r="G8" s="3">
        <v>6</v>
      </c>
      <c r="H8" s="3">
        <v>12</v>
      </c>
    </row>
    <row r="9" spans="1:12" ht="24" customHeight="1" x14ac:dyDescent="0.25">
      <c r="A9" s="4">
        <v>6</v>
      </c>
      <c r="B9" s="5">
        <v>10</v>
      </c>
      <c r="C9" s="6">
        <f t="shared" si="0"/>
        <v>78</v>
      </c>
      <c r="D9" s="6">
        <v>270</v>
      </c>
      <c r="E9" s="6">
        <f t="shared" si="1"/>
        <v>21060</v>
      </c>
      <c r="G9" s="3">
        <v>6</v>
      </c>
      <c r="H9" s="3">
        <v>13</v>
      </c>
    </row>
    <row r="10" spans="1:12" ht="24" customHeight="1" x14ac:dyDescent="0.25">
      <c r="A10" s="4">
        <v>7</v>
      </c>
      <c r="B10" s="5">
        <v>12.5</v>
      </c>
      <c r="C10" s="6">
        <f t="shared" si="0"/>
        <v>114</v>
      </c>
      <c r="D10" s="6">
        <v>356</v>
      </c>
      <c r="E10" s="6">
        <f t="shared" si="1"/>
        <v>40584</v>
      </c>
      <c r="G10" s="3">
        <v>6</v>
      </c>
      <c r="H10" s="3">
        <v>19</v>
      </c>
    </row>
    <row r="11" spans="1:12" ht="24" customHeight="1" x14ac:dyDescent="0.25">
      <c r="A11" s="4">
        <v>8</v>
      </c>
      <c r="B11" s="5">
        <v>10</v>
      </c>
      <c r="C11" s="6">
        <f t="shared" si="0"/>
        <v>78</v>
      </c>
      <c r="D11" s="6">
        <v>260</v>
      </c>
      <c r="E11" s="6">
        <f t="shared" si="1"/>
        <v>20280</v>
      </c>
      <c r="G11" s="3">
        <v>6</v>
      </c>
      <c r="H11" s="3">
        <v>13</v>
      </c>
    </row>
    <row r="12" spans="1:12" ht="24" customHeight="1" x14ac:dyDescent="0.25">
      <c r="A12" s="4">
        <v>9</v>
      </c>
      <c r="B12" s="5">
        <v>12.5</v>
      </c>
      <c r="C12" s="6">
        <f t="shared" si="0"/>
        <v>186</v>
      </c>
      <c r="D12" s="6">
        <v>350</v>
      </c>
      <c r="E12" s="6">
        <f t="shared" si="1"/>
        <v>65100</v>
      </c>
      <c r="G12" s="3">
        <v>6</v>
      </c>
      <c r="H12" s="3">
        <v>31</v>
      </c>
    </row>
    <row r="13" spans="1:12" ht="24" customHeight="1" x14ac:dyDescent="0.25">
      <c r="A13" s="4">
        <v>10</v>
      </c>
      <c r="B13" s="5">
        <v>12.5</v>
      </c>
      <c r="C13" s="6">
        <f t="shared" si="0"/>
        <v>30</v>
      </c>
      <c r="D13" s="6">
        <v>300</v>
      </c>
      <c r="E13" s="6">
        <f t="shared" si="1"/>
        <v>9000</v>
      </c>
      <c r="G13" s="3">
        <v>3</v>
      </c>
      <c r="H13" s="3">
        <v>10</v>
      </c>
      <c r="L13" s="1" t="s">
        <v>11</v>
      </c>
    </row>
    <row r="14" spans="1:12" ht="24" customHeight="1" x14ac:dyDescent="0.25">
      <c r="A14" s="4">
        <v>11</v>
      </c>
      <c r="B14" s="5">
        <v>10</v>
      </c>
      <c r="C14" s="6">
        <f t="shared" si="0"/>
        <v>24</v>
      </c>
      <c r="D14" s="6">
        <v>300</v>
      </c>
      <c r="E14" s="6">
        <f t="shared" si="1"/>
        <v>7200</v>
      </c>
      <c r="G14" s="1">
        <v>3</v>
      </c>
      <c r="H14" s="1">
        <v>8</v>
      </c>
    </row>
    <row r="15" spans="1:12" ht="24" customHeight="1" x14ac:dyDescent="0.25">
      <c r="A15" s="4">
        <v>12</v>
      </c>
      <c r="B15" s="5">
        <v>8</v>
      </c>
      <c r="C15" s="6">
        <f t="shared" si="0"/>
        <v>33</v>
      </c>
      <c r="D15" s="6">
        <v>240</v>
      </c>
      <c r="E15" s="6">
        <f t="shared" si="1"/>
        <v>7920</v>
      </c>
      <c r="G15" s="1">
        <v>3</v>
      </c>
      <c r="H15" s="1">
        <v>11</v>
      </c>
    </row>
    <row r="16" spans="1:12" ht="24" customHeight="1" x14ac:dyDescent="0.25">
      <c r="A16" s="87" t="s">
        <v>8</v>
      </c>
      <c r="B16" s="87"/>
      <c r="C16" s="87"/>
      <c r="D16" s="87"/>
      <c r="E16" s="87"/>
    </row>
    <row r="17" spans="1:5" ht="24" customHeight="1" x14ac:dyDescent="0.25">
      <c r="A17" s="87"/>
      <c r="B17" s="87"/>
      <c r="C17" s="87"/>
      <c r="D17" s="87"/>
      <c r="E17" s="87"/>
    </row>
    <row r="18" spans="1:5" ht="24" customHeight="1" x14ac:dyDescent="0.25">
      <c r="A18" s="87"/>
      <c r="B18" s="87"/>
      <c r="C18" s="87"/>
      <c r="D18" s="87"/>
      <c r="E18" s="87"/>
    </row>
    <row r="19" spans="1:5" ht="24" customHeight="1" x14ac:dyDescent="0.25">
      <c r="A19" s="88" t="s">
        <v>9</v>
      </c>
      <c r="B19" s="88"/>
      <c r="C19" s="88"/>
      <c r="D19" s="88"/>
      <c r="E19" s="88"/>
    </row>
    <row r="20" spans="1:5" ht="24" customHeight="1" x14ac:dyDescent="0.25">
      <c r="A20" s="88"/>
      <c r="B20" s="88"/>
      <c r="C20" s="88"/>
      <c r="D20" s="88"/>
      <c r="E20" s="88"/>
    </row>
    <row r="21" spans="1:5" ht="24" customHeight="1" x14ac:dyDescent="0.25">
      <c r="A21" s="4" t="s">
        <v>1</v>
      </c>
      <c r="B21" s="86" t="s">
        <v>10</v>
      </c>
      <c r="C21" s="86"/>
      <c r="D21" s="4" t="s">
        <v>4</v>
      </c>
      <c r="E21" s="4" t="s">
        <v>3</v>
      </c>
    </row>
    <row r="22" spans="1:5" ht="24" customHeight="1" x14ac:dyDescent="0.25">
      <c r="A22" s="7">
        <v>8</v>
      </c>
      <c r="B22" s="85">
        <f>SUMIFS($E$4:$E$15,$B$4:$B$15,A22)</f>
        <v>51120</v>
      </c>
      <c r="C22" s="85"/>
      <c r="D22" s="4">
        <v>0.39500000000000002</v>
      </c>
      <c r="E22" s="6">
        <f t="shared" ref="E22:E25" si="2">ROUND(D22*B22/100,0)</f>
        <v>202</v>
      </c>
    </row>
    <row r="23" spans="1:5" ht="24" customHeight="1" x14ac:dyDescent="0.25">
      <c r="A23" s="7">
        <v>10</v>
      </c>
      <c r="B23" s="85">
        <f>SUMIFS($E$4:$E$15,$B$4:$B$15,A23)</f>
        <v>154188</v>
      </c>
      <c r="C23" s="85"/>
      <c r="D23" s="4">
        <v>0.61699999999999999</v>
      </c>
      <c r="E23" s="6">
        <f t="shared" si="2"/>
        <v>951</v>
      </c>
    </row>
    <row r="24" spans="1:5" ht="24" customHeight="1" x14ac:dyDescent="0.25">
      <c r="A24" s="7">
        <v>12.5</v>
      </c>
      <c r="B24" s="85">
        <f>SUMIFS($E$4:$E$15,$B$4:$B$15,A24)</f>
        <v>114684</v>
      </c>
      <c r="C24" s="85"/>
      <c r="D24" s="4">
        <v>0.96299999999999997</v>
      </c>
      <c r="E24" s="6">
        <f>ROUND(D24*B24/100,0)</f>
        <v>1104</v>
      </c>
    </row>
    <row r="25" spans="1:5" ht="24" customHeight="1" x14ac:dyDescent="0.25">
      <c r="A25" s="7">
        <v>16</v>
      </c>
      <c r="B25" s="85">
        <f>SUMIFS($E$4:$E$15,$B$4:$B$15,A25)</f>
        <v>23040</v>
      </c>
      <c r="C25" s="85"/>
      <c r="D25" s="4">
        <v>1.5780000000000001</v>
      </c>
      <c r="E25" s="6">
        <f t="shared" si="2"/>
        <v>364</v>
      </c>
    </row>
    <row r="26" spans="1:5" ht="24" customHeight="1" x14ac:dyDescent="0.25">
      <c r="A26" s="86" t="s">
        <v>12</v>
      </c>
      <c r="B26" s="86"/>
      <c r="C26" s="86"/>
      <c r="D26" s="86"/>
      <c r="E26" s="6">
        <f>SUM(E22:E25)</f>
        <v>2621</v>
      </c>
    </row>
    <row r="27" spans="1:5" ht="30" customHeight="1" x14ac:dyDescent="0.25">
      <c r="A27" s="2"/>
      <c r="B27" s="2"/>
      <c r="C27" s="2"/>
      <c r="D27" s="2"/>
      <c r="E27" s="2"/>
    </row>
  </sheetData>
  <mergeCells count="13">
    <mergeCell ref="A26:D26"/>
    <mergeCell ref="B24:C24"/>
    <mergeCell ref="B25:C25"/>
    <mergeCell ref="A19:E20"/>
    <mergeCell ref="B21:C21"/>
    <mergeCell ref="B22:C22"/>
    <mergeCell ref="B23:C23"/>
    <mergeCell ref="A16:E18"/>
    <mergeCell ref="A1:E1"/>
    <mergeCell ref="A2:A3"/>
    <mergeCell ref="B2:B3"/>
    <mergeCell ref="C2:C3"/>
    <mergeCell ref="D2:E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77F6C-C226-4A3E-BE99-DD43A8472C36}">
  <sheetPr>
    <tabColor rgb="FF002060"/>
  </sheetPr>
  <dimension ref="A1:H19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8" ht="30" customHeight="1" x14ac:dyDescent="0.25">
      <c r="A1" s="84" t="s">
        <v>17</v>
      </c>
      <c r="B1" s="84"/>
      <c r="C1" s="84"/>
      <c r="D1" s="84"/>
      <c r="E1" s="84"/>
    </row>
    <row r="2" spans="1:8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8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8" ht="24" customHeight="1" x14ac:dyDescent="0.25">
      <c r="A4" s="4">
        <v>1</v>
      </c>
      <c r="B4" s="5">
        <v>16</v>
      </c>
      <c r="C4" s="6">
        <f>G4*H4</f>
        <v>36</v>
      </c>
      <c r="D4" s="6">
        <v>388</v>
      </c>
      <c r="E4" s="6">
        <f>D4*C4</f>
        <v>13968</v>
      </c>
      <c r="G4" s="3">
        <v>2</v>
      </c>
      <c r="H4" s="3">
        <v>18</v>
      </c>
    </row>
    <row r="5" spans="1:8" ht="24" customHeight="1" x14ac:dyDescent="0.25">
      <c r="A5" s="4">
        <v>2</v>
      </c>
      <c r="B5" s="5">
        <v>10</v>
      </c>
      <c r="C5" s="6">
        <f t="shared" ref="C5:C9" si="0">G5*H5</f>
        <v>14</v>
      </c>
      <c r="D5" s="6">
        <v>335</v>
      </c>
      <c r="E5" s="6">
        <f t="shared" ref="E5:E9" si="1">D5*C5</f>
        <v>4690</v>
      </c>
      <c r="G5" s="3">
        <v>2</v>
      </c>
      <c r="H5" s="3">
        <v>7</v>
      </c>
    </row>
    <row r="6" spans="1:8" ht="24" customHeight="1" x14ac:dyDescent="0.25">
      <c r="A6" s="4">
        <v>3</v>
      </c>
      <c r="B6" s="5">
        <v>16</v>
      </c>
      <c r="C6" s="6">
        <f t="shared" si="0"/>
        <v>36</v>
      </c>
      <c r="D6" s="6">
        <v>488</v>
      </c>
      <c r="E6" s="6">
        <f>D6*C6</f>
        <v>17568</v>
      </c>
      <c r="G6" s="3">
        <v>2</v>
      </c>
      <c r="H6" s="3">
        <v>18</v>
      </c>
    </row>
    <row r="7" spans="1:8" ht="24" customHeight="1" x14ac:dyDescent="0.25">
      <c r="A7" s="4">
        <v>4</v>
      </c>
      <c r="B7" s="5">
        <v>10</v>
      </c>
      <c r="C7" s="6">
        <f t="shared" si="0"/>
        <v>28</v>
      </c>
      <c r="D7" s="6">
        <v>335</v>
      </c>
      <c r="E7" s="6">
        <f t="shared" si="1"/>
        <v>9380</v>
      </c>
      <c r="G7" s="3">
        <v>2</v>
      </c>
      <c r="H7" s="3">
        <v>14</v>
      </c>
    </row>
    <row r="8" spans="1:8" ht="24" customHeight="1" x14ac:dyDescent="0.25">
      <c r="A8" s="4">
        <v>5</v>
      </c>
      <c r="B8" s="5">
        <v>16</v>
      </c>
      <c r="C8" s="6">
        <f t="shared" si="0"/>
        <v>36</v>
      </c>
      <c r="D8" s="6">
        <v>388</v>
      </c>
      <c r="E8" s="6">
        <f t="shared" si="1"/>
        <v>13968</v>
      </c>
      <c r="G8" s="3">
        <v>2</v>
      </c>
      <c r="H8" s="3">
        <v>18</v>
      </c>
    </row>
    <row r="9" spans="1:8" ht="24" customHeight="1" x14ac:dyDescent="0.25">
      <c r="A9" s="4">
        <v>6</v>
      </c>
      <c r="B9" s="5">
        <v>10</v>
      </c>
      <c r="C9" s="6">
        <f t="shared" si="0"/>
        <v>14</v>
      </c>
      <c r="D9" s="6">
        <v>335</v>
      </c>
      <c r="E9" s="6">
        <f t="shared" si="1"/>
        <v>4690</v>
      </c>
      <c r="G9" s="3">
        <v>2</v>
      </c>
      <c r="H9" s="3">
        <v>7</v>
      </c>
    </row>
    <row r="10" spans="1:8" ht="24" customHeight="1" x14ac:dyDescent="0.25">
      <c r="A10" s="87" t="s">
        <v>8</v>
      </c>
      <c r="B10" s="87"/>
      <c r="C10" s="87"/>
      <c r="D10" s="87"/>
      <c r="E10" s="87"/>
    </row>
    <row r="11" spans="1:8" ht="24" customHeight="1" x14ac:dyDescent="0.25">
      <c r="A11" s="87"/>
      <c r="B11" s="87"/>
      <c r="C11" s="87"/>
      <c r="D11" s="87"/>
      <c r="E11" s="87"/>
    </row>
    <row r="12" spans="1:8" ht="24" customHeight="1" x14ac:dyDescent="0.25">
      <c r="A12" s="87"/>
      <c r="B12" s="87"/>
      <c r="C12" s="87"/>
      <c r="D12" s="87"/>
      <c r="E12" s="87"/>
    </row>
    <row r="13" spans="1:8" ht="24" customHeight="1" x14ac:dyDescent="0.25">
      <c r="A13" s="88" t="s">
        <v>9</v>
      </c>
      <c r="B13" s="88"/>
      <c r="C13" s="88"/>
      <c r="D13" s="88"/>
      <c r="E13" s="88"/>
    </row>
    <row r="14" spans="1:8" ht="24" customHeight="1" x14ac:dyDescent="0.25">
      <c r="A14" s="88"/>
      <c r="B14" s="88"/>
      <c r="C14" s="88"/>
      <c r="D14" s="88"/>
      <c r="E14" s="88"/>
    </row>
    <row r="15" spans="1:8" ht="24" customHeight="1" x14ac:dyDescent="0.25">
      <c r="A15" s="4" t="s">
        <v>1</v>
      </c>
      <c r="B15" s="86" t="s">
        <v>10</v>
      </c>
      <c r="C15" s="86"/>
      <c r="D15" s="4" t="s">
        <v>4</v>
      </c>
      <c r="E15" s="4" t="s">
        <v>3</v>
      </c>
    </row>
    <row r="16" spans="1:8" ht="24" customHeight="1" x14ac:dyDescent="0.25">
      <c r="A16" s="7">
        <v>10</v>
      </c>
      <c r="B16" s="85">
        <f>SUMIFS($E$4:$E$9,$B$4:$B$9,A16)</f>
        <v>18760</v>
      </c>
      <c r="C16" s="85"/>
      <c r="D16" s="4">
        <v>0.61699999999999999</v>
      </c>
      <c r="E16" s="6">
        <f t="shared" ref="E16:E17" si="2">ROUND(D16*B16/100,0)</f>
        <v>116</v>
      </c>
    </row>
    <row r="17" spans="1:5" ht="24" customHeight="1" x14ac:dyDescent="0.25">
      <c r="A17" s="7">
        <v>16</v>
      </c>
      <c r="B17" s="85">
        <f>SUMIFS($E$4:$E$9,$B$4:$B$9,A17)</f>
        <v>45504</v>
      </c>
      <c r="C17" s="85"/>
      <c r="D17" s="4">
        <v>1.5780000000000001</v>
      </c>
      <c r="E17" s="6">
        <f t="shared" si="2"/>
        <v>718</v>
      </c>
    </row>
    <row r="18" spans="1:5" ht="24" customHeight="1" x14ac:dyDescent="0.25">
      <c r="A18" s="86" t="s">
        <v>12</v>
      </c>
      <c r="B18" s="86"/>
      <c r="C18" s="86"/>
      <c r="D18" s="86"/>
      <c r="E18" s="6">
        <f>SUM(E16:E17)</f>
        <v>834</v>
      </c>
    </row>
    <row r="19" spans="1:5" ht="30" customHeight="1" x14ac:dyDescent="0.25">
      <c r="A19" s="2"/>
      <c r="B19" s="2"/>
      <c r="C19" s="2"/>
      <c r="D19" s="2"/>
      <c r="E19" s="2"/>
    </row>
  </sheetData>
  <mergeCells count="11">
    <mergeCell ref="A10:E12"/>
    <mergeCell ref="A1:E1"/>
    <mergeCell ref="A2:A3"/>
    <mergeCell ref="B2:B3"/>
    <mergeCell ref="C2:C3"/>
    <mergeCell ref="D2:E2"/>
    <mergeCell ref="A18:D18"/>
    <mergeCell ref="B17:C17"/>
    <mergeCell ref="A13:E14"/>
    <mergeCell ref="B15:C15"/>
    <mergeCell ref="B16:C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93E42-A93B-4851-BE34-2A40EF789AD1}">
  <sheetPr>
    <tabColor rgb="FF002060"/>
  </sheetPr>
  <dimension ref="A1:L27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18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12.5</v>
      </c>
      <c r="C4" s="6">
        <f>G4*H4</f>
        <v>48</v>
      </c>
      <c r="D4" s="6">
        <v>412</v>
      </c>
      <c r="E4" s="6">
        <f>D4*C4</f>
        <v>19776</v>
      </c>
      <c r="G4" s="3">
        <v>4</v>
      </c>
      <c r="H4" s="3">
        <v>12</v>
      </c>
    </row>
    <row r="5" spans="1:12" ht="24" customHeight="1" x14ac:dyDescent="0.25">
      <c r="A5" s="4">
        <v>2</v>
      </c>
      <c r="B5" s="5">
        <v>12.5</v>
      </c>
      <c r="C5" s="6">
        <f t="shared" ref="C5:C15" si="0">G5*H5</f>
        <v>24</v>
      </c>
      <c r="D5" s="6">
        <v>1200</v>
      </c>
      <c r="E5" s="6">
        <f t="shared" ref="E5:E15" si="1">D5*C5</f>
        <v>28800</v>
      </c>
      <c r="G5" s="3">
        <v>4</v>
      </c>
      <c r="H5" s="3">
        <v>6</v>
      </c>
    </row>
    <row r="6" spans="1:12" ht="24" customHeight="1" x14ac:dyDescent="0.25">
      <c r="A6" s="4">
        <v>3</v>
      </c>
      <c r="B6" s="5">
        <v>10</v>
      </c>
      <c r="C6" s="6">
        <f t="shared" si="0"/>
        <v>56</v>
      </c>
      <c r="D6" s="6">
        <v>1200</v>
      </c>
      <c r="E6" s="6">
        <f>D6*C6</f>
        <v>67200</v>
      </c>
      <c r="G6" s="3">
        <v>4</v>
      </c>
      <c r="H6" s="3">
        <f>2*7</f>
        <v>14</v>
      </c>
    </row>
    <row r="7" spans="1:12" ht="24" customHeight="1" x14ac:dyDescent="0.25">
      <c r="A7" s="4">
        <v>4</v>
      </c>
      <c r="B7" s="5">
        <v>10</v>
      </c>
      <c r="C7" s="6">
        <f t="shared" si="0"/>
        <v>56</v>
      </c>
      <c r="D7" s="6">
        <v>734</v>
      </c>
      <c r="E7" s="6">
        <f t="shared" si="1"/>
        <v>41104</v>
      </c>
      <c r="G7" s="3">
        <v>4</v>
      </c>
      <c r="H7" s="3">
        <f>2*7</f>
        <v>14</v>
      </c>
    </row>
    <row r="8" spans="1:12" ht="24" customHeight="1" x14ac:dyDescent="0.25">
      <c r="A8" s="4">
        <v>5</v>
      </c>
      <c r="B8" s="5">
        <v>25</v>
      </c>
      <c r="C8" s="6">
        <f t="shared" si="0"/>
        <v>24</v>
      </c>
      <c r="D8" s="6">
        <v>1200</v>
      </c>
      <c r="E8" s="6">
        <f t="shared" si="1"/>
        <v>28800</v>
      </c>
      <c r="G8" s="3">
        <v>4</v>
      </c>
      <c r="H8" s="3">
        <v>6</v>
      </c>
    </row>
    <row r="9" spans="1:12" ht="24" customHeight="1" x14ac:dyDescent="0.25">
      <c r="A9" s="4">
        <v>6</v>
      </c>
      <c r="B9" s="5">
        <v>25</v>
      </c>
      <c r="C9" s="6">
        <f t="shared" si="0"/>
        <v>32</v>
      </c>
      <c r="D9" s="6">
        <f>492+12</f>
        <v>504</v>
      </c>
      <c r="E9" s="6">
        <f t="shared" si="1"/>
        <v>16128</v>
      </c>
      <c r="G9" s="3">
        <v>4</v>
      </c>
      <c r="H9" s="3">
        <f>2*4</f>
        <v>8</v>
      </c>
    </row>
    <row r="10" spans="1:12" ht="24" customHeight="1" x14ac:dyDescent="0.25">
      <c r="A10" s="4">
        <v>7</v>
      </c>
      <c r="B10" s="5">
        <v>10</v>
      </c>
      <c r="C10" s="6">
        <f t="shared" si="0"/>
        <v>892</v>
      </c>
      <c r="D10" s="6">
        <f>18+18+24+24+30</f>
        <v>114</v>
      </c>
      <c r="E10" s="6">
        <f t="shared" si="1"/>
        <v>101688</v>
      </c>
      <c r="G10" s="3">
        <v>4</v>
      </c>
      <c r="H10" s="3">
        <f>36+151+36</f>
        <v>223</v>
      </c>
    </row>
    <row r="11" spans="1:12" ht="24" customHeight="1" x14ac:dyDescent="0.25">
      <c r="A11" s="4">
        <v>8</v>
      </c>
      <c r="B11" s="5">
        <v>10</v>
      </c>
      <c r="C11" s="6">
        <f t="shared" si="0"/>
        <v>892</v>
      </c>
      <c r="D11" s="6">
        <f>54+5+60</f>
        <v>119</v>
      </c>
      <c r="E11" s="6">
        <f t="shared" si="1"/>
        <v>106148</v>
      </c>
      <c r="G11" s="3">
        <v>4</v>
      </c>
      <c r="H11" s="3">
        <f>36+151+36</f>
        <v>223</v>
      </c>
    </row>
    <row r="12" spans="1:12" ht="24" customHeight="1" x14ac:dyDescent="0.25">
      <c r="A12" s="4">
        <v>9</v>
      </c>
      <c r="B12" s="5">
        <v>10</v>
      </c>
      <c r="C12" s="6">
        <f t="shared" si="0"/>
        <v>892</v>
      </c>
      <c r="D12" s="6">
        <f>23+23+20+34</f>
        <v>100</v>
      </c>
      <c r="E12" s="6">
        <f t="shared" si="1"/>
        <v>89200</v>
      </c>
      <c r="G12" s="3">
        <v>4</v>
      </c>
      <c r="H12" s="3">
        <f>36+151+36</f>
        <v>223</v>
      </c>
    </row>
    <row r="13" spans="1:12" ht="24" customHeight="1" x14ac:dyDescent="0.25">
      <c r="A13" s="4">
        <v>10</v>
      </c>
      <c r="B13" s="5">
        <v>10</v>
      </c>
      <c r="C13" s="6">
        <f t="shared" si="0"/>
        <v>892</v>
      </c>
      <c r="D13" s="6">
        <f>125+6+5+125+6+5</f>
        <v>272</v>
      </c>
      <c r="E13" s="6">
        <f t="shared" si="1"/>
        <v>242624</v>
      </c>
      <c r="G13" s="3">
        <v>4</v>
      </c>
      <c r="H13" s="3">
        <f>36+151+36</f>
        <v>223</v>
      </c>
      <c r="L13" s="1" t="s">
        <v>11</v>
      </c>
    </row>
    <row r="14" spans="1:12" ht="24" customHeight="1" x14ac:dyDescent="0.25">
      <c r="A14" s="4">
        <v>11</v>
      </c>
      <c r="B14" s="5">
        <v>12.5</v>
      </c>
      <c r="C14" s="6">
        <f t="shared" si="0"/>
        <v>32</v>
      </c>
      <c r="D14" s="6">
        <f>39+50+50+16+16+30+30</f>
        <v>231</v>
      </c>
      <c r="E14" s="6">
        <f t="shared" si="1"/>
        <v>7392</v>
      </c>
      <c r="G14" s="1">
        <v>4</v>
      </c>
      <c r="H14" s="1">
        <v>8</v>
      </c>
    </row>
    <row r="15" spans="1:12" ht="24" customHeight="1" x14ac:dyDescent="0.25">
      <c r="A15" s="4">
        <v>12</v>
      </c>
      <c r="B15" s="5">
        <v>8</v>
      </c>
      <c r="C15" s="6">
        <f t="shared" si="0"/>
        <v>80</v>
      </c>
      <c r="D15" s="6">
        <f>ROUND(PI()*6*(46/2),0)</f>
        <v>434</v>
      </c>
      <c r="E15" s="6">
        <f t="shared" si="1"/>
        <v>34720</v>
      </c>
      <c r="G15" s="1">
        <v>4</v>
      </c>
      <c r="H15" s="1">
        <v>20</v>
      </c>
    </row>
    <row r="16" spans="1:12" ht="24" customHeight="1" x14ac:dyDescent="0.25">
      <c r="A16" s="87" t="s">
        <v>8</v>
      </c>
      <c r="B16" s="87"/>
      <c r="C16" s="87"/>
      <c r="D16" s="87"/>
      <c r="E16" s="87"/>
    </row>
    <row r="17" spans="1:5" ht="24" customHeight="1" x14ac:dyDescent="0.25">
      <c r="A17" s="87"/>
      <c r="B17" s="87"/>
      <c r="C17" s="87"/>
      <c r="D17" s="87"/>
      <c r="E17" s="87"/>
    </row>
    <row r="18" spans="1:5" ht="24" customHeight="1" x14ac:dyDescent="0.25">
      <c r="A18" s="87"/>
      <c r="B18" s="87"/>
      <c r="C18" s="87"/>
      <c r="D18" s="87"/>
      <c r="E18" s="87"/>
    </row>
    <row r="19" spans="1:5" ht="24" customHeight="1" x14ac:dyDescent="0.25">
      <c r="A19" s="88" t="s">
        <v>9</v>
      </c>
      <c r="B19" s="88"/>
      <c r="C19" s="88"/>
      <c r="D19" s="88"/>
      <c r="E19" s="88"/>
    </row>
    <row r="20" spans="1:5" ht="24" customHeight="1" x14ac:dyDescent="0.25">
      <c r="A20" s="88"/>
      <c r="B20" s="88"/>
      <c r="C20" s="88"/>
      <c r="D20" s="88"/>
      <c r="E20" s="88"/>
    </row>
    <row r="21" spans="1:5" ht="24" customHeight="1" x14ac:dyDescent="0.25">
      <c r="A21" s="4" t="s">
        <v>1</v>
      </c>
      <c r="B21" s="86" t="s">
        <v>10</v>
      </c>
      <c r="C21" s="86"/>
      <c r="D21" s="4" t="s">
        <v>4</v>
      </c>
      <c r="E21" s="4" t="s">
        <v>3</v>
      </c>
    </row>
    <row r="22" spans="1:5" ht="24" customHeight="1" x14ac:dyDescent="0.25">
      <c r="A22" s="7">
        <v>8</v>
      </c>
      <c r="B22" s="85">
        <f>SUMIFS($E$4:$E$15,$B$4:$B$15,A22)</f>
        <v>34720</v>
      </c>
      <c r="C22" s="85"/>
      <c r="D22" s="4">
        <v>0.39500000000000002</v>
      </c>
      <c r="E22" s="6">
        <f t="shared" ref="E22:E25" si="2">ROUND(D22*B22/100,0)</f>
        <v>137</v>
      </c>
    </row>
    <row r="23" spans="1:5" ht="24" customHeight="1" x14ac:dyDescent="0.25">
      <c r="A23" s="7">
        <v>10</v>
      </c>
      <c r="B23" s="85">
        <f>SUMIFS($E$4:$E$15,$B$4:$B$15,A23)</f>
        <v>647964</v>
      </c>
      <c r="C23" s="85"/>
      <c r="D23" s="4">
        <v>0.61699999999999999</v>
      </c>
      <c r="E23" s="6">
        <f t="shared" si="2"/>
        <v>3998</v>
      </c>
    </row>
    <row r="24" spans="1:5" ht="24" customHeight="1" x14ac:dyDescent="0.25">
      <c r="A24" s="7">
        <v>12.5</v>
      </c>
      <c r="B24" s="85">
        <f>SUMIFS($E$4:$E$15,$B$4:$B$15,A24)</f>
        <v>55968</v>
      </c>
      <c r="C24" s="85"/>
      <c r="D24" s="4">
        <v>0.96299999999999997</v>
      </c>
      <c r="E24" s="6">
        <f t="shared" si="2"/>
        <v>539</v>
      </c>
    </row>
    <row r="25" spans="1:5" ht="24" customHeight="1" x14ac:dyDescent="0.25">
      <c r="A25" s="7">
        <v>25</v>
      </c>
      <c r="B25" s="85">
        <f>SUMIFS($E$4:$E$15,$B$4:$B$15,A25)</f>
        <v>44928</v>
      </c>
      <c r="C25" s="85"/>
      <c r="D25" s="4">
        <v>3.8530000000000002</v>
      </c>
      <c r="E25" s="6">
        <f t="shared" si="2"/>
        <v>1731</v>
      </c>
    </row>
    <row r="26" spans="1:5" ht="24" customHeight="1" x14ac:dyDescent="0.25">
      <c r="A26" s="86" t="s">
        <v>12</v>
      </c>
      <c r="B26" s="86"/>
      <c r="C26" s="86"/>
      <c r="D26" s="86"/>
      <c r="E26" s="6">
        <f>SUM(E22:E25)</f>
        <v>6405</v>
      </c>
    </row>
    <row r="27" spans="1:5" ht="30" customHeight="1" x14ac:dyDescent="0.25">
      <c r="A27" s="2"/>
      <c r="B27" s="2"/>
      <c r="C27" s="2"/>
      <c r="D27" s="2"/>
      <c r="E27" s="2"/>
    </row>
  </sheetData>
  <mergeCells count="13">
    <mergeCell ref="A26:D26"/>
    <mergeCell ref="B24:C24"/>
    <mergeCell ref="B25:C25"/>
    <mergeCell ref="A19:E20"/>
    <mergeCell ref="B21:C21"/>
    <mergeCell ref="B22:C22"/>
    <mergeCell ref="B23:C23"/>
    <mergeCell ref="A16:E18"/>
    <mergeCell ref="A1:E1"/>
    <mergeCell ref="A2:A3"/>
    <mergeCell ref="B2:B3"/>
    <mergeCell ref="C2:C3"/>
    <mergeCell ref="D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05FC5-F7E9-4723-A795-F135688E155F}">
  <sheetPr>
    <tabColor rgb="FF002060"/>
  </sheetPr>
  <dimension ref="A1:L27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19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12.5</v>
      </c>
      <c r="C4" s="6">
        <f>G4*H4</f>
        <v>48</v>
      </c>
      <c r="D4" s="6">
        <v>1200</v>
      </c>
      <c r="E4" s="6">
        <f>D4*C4</f>
        <v>57600</v>
      </c>
      <c r="G4" s="3">
        <v>4</v>
      </c>
      <c r="H4" s="3">
        <v>12</v>
      </c>
    </row>
    <row r="5" spans="1:12" ht="24" customHeight="1" x14ac:dyDescent="0.25">
      <c r="A5" s="4">
        <v>2</v>
      </c>
      <c r="B5" s="5">
        <v>12.5</v>
      </c>
      <c r="C5" s="6">
        <f t="shared" ref="C5:C15" si="0">G5*H5</f>
        <v>24</v>
      </c>
      <c r="D5" s="6">
        <v>354</v>
      </c>
      <c r="E5" s="6">
        <f t="shared" ref="E5:E15" si="1">D5*C5</f>
        <v>8496</v>
      </c>
      <c r="G5" s="3">
        <v>4</v>
      </c>
      <c r="H5" s="3">
        <v>6</v>
      </c>
    </row>
    <row r="6" spans="1:12" ht="24" customHeight="1" x14ac:dyDescent="0.25">
      <c r="A6" s="4">
        <v>3</v>
      </c>
      <c r="B6" s="5">
        <v>10</v>
      </c>
      <c r="C6" s="6">
        <f t="shared" si="0"/>
        <v>56</v>
      </c>
      <c r="D6" s="6">
        <v>1200</v>
      </c>
      <c r="E6" s="6">
        <f>D6*C6</f>
        <v>67200</v>
      </c>
      <c r="G6" s="3">
        <v>4</v>
      </c>
      <c r="H6" s="3">
        <f>2*7</f>
        <v>14</v>
      </c>
    </row>
    <row r="7" spans="1:12" ht="24" customHeight="1" x14ac:dyDescent="0.25">
      <c r="A7" s="4">
        <v>4</v>
      </c>
      <c r="B7" s="5">
        <v>10</v>
      </c>
      <c r="C7" s="6">
        <f t="shared" si="0"/>
        <v>56</v>
      </c>
      <c r="D7" s="6">
        <v>334</v>
      </c>
      <c r="E7" s="6">
        <f t="shared" si="1"/>
        <v>18704</v>
      </c>
      <c r="G7" s="3">
        <v>4</v>
      </c>
      <c r="H7" s="3">
        <f>2*7</f>
        <v>14</v>
      </c>
    </row>
    <row r="8" spans="1:12" ht="24" customHeight="1" x14ac:dyDescent="0.25">
      <c r="A8" s="4">
        <v>5</v>
      </c>
      <c r="B8" s="5">
        <v>20</v>
      </c>
      <c r="C8" s="6">
        <f t="shared" si="0"/>
        <v>24</v>
      </c>
      <c r="D8" s="6">
        <v>1200</v>
      </c>
      <c r="E8" s="6">
        <f t="shared" si="1"/>
        <v>28800</v>
      </c>
      <c r="G8" s="3">
        <v>4</v>
      </c>
      <c r="H8" s="3">
        <v>6</v>
      </c>
    </row>
    <row r="9" spans="1:12" ht="24" customHeight="1" x14ac:dyDescent="0.25">
      <c r="A9" s="4">
        <v>6</v>
      </c>
      <c r="B9" s="5">
        <v>20</v>
      </c>
      <c r="C9" s="6">
        <f t="shared" si="0"/>
        <v>32</v>
      </c>
      <c r="D9" s="6">
        <f>436+12</f>
        <v>448</v>
      </c>
      <c r="E9" s="6">
        <f t="shared" si="1"/>
        <v>14336</v>
      </c>
      <c r="G9" s="3">
        <v>4</v>
      </c>
      <c r="H9" s="3">
        <f>2*4</f>
        <v>8</v>
      </c>
    </row>
    <row r="10" spans="1:12" ht="24" customHeight="1" x14ac:dyDescent="0.25">
      <c r="A10" s="4">
        <v>7</v>
      </c>
      <c r="B10" s="5">
        <v>10</v>
      </c>
      <c r="C10" s="6">
        <f t="shared" si="0"/>
        <v>732</v>
      </c>
      <c r="D10" s="6">
        <f>18+18+24+24+30</f>
        <v>114</v>
      </c>
      <c r="E10" s="6">
        <f t="shared" si="1"/>
        <v>83448</v>
      </c>
      <c r="G10" s="3">
        <v>4</v>
      </c>
      <c r="H10" s="3">
        <f>36+111+36</f>
        <v>183</v>
      </c>
    </row>
    <row r="11" spans="1:12" ht="24" customHeight="1" x14ac:dyDescent="0.25">
      <c r="A11" s="4">
        <v>8</v>
      </c>
      <c r="B11" s="5">
        <v>10</v>
      </c>
      <c r="C11" s="6">
        <f t="shared" si="0"/>
        <v>732</v>
      </c>
      <c r="D11" s="6">
        <f>54+5+60</f>
        <v>119</v>
      </c>
      <c r="E11" s="6">
        <f t="shared" si="1"/>
        <v>87108</v>
      </c>
      <c r="G11" s="3">
        <v>4</v>
      </c>
      <c r="H11" s="3">
        <f t="shared" ref="H11:H13" si="2">36+111+36</f>
        <v>183</v>
      </c>
    </row>
    <row r="12" spans="1:12" ht="24" customHeight="1" x14ac:dyDescent="0.25">
      <c r="A12" s="4">
        <v>9</v>
      </c>
      <c r="B12" s="5">
        <v>10</v>
      </c>
      <c r="C12" s="6">
        <f t="shared" si="0"/>
        <v>732</v>
      </c>
      <c r="D12" s="6">
        <f>23+23+20+34</f>
        <v>100</v>
      </c>
      <c r="E12" s="6">
        <f t="shared" si="1"/>
        <v>73200</v>
      </c>
      <c r="G12" s="3">
        <v>4</v>
      </c>
      <c r="H12" s="3">
        <f t="shared" si="2"/>
        <v>183</v>
      </c>
    </row>
    <row r="13" spans="1:12" ht="24" customHeight="1" x14ac:dyDescent="0.25">
      <c r="A13" s="4">
        <v>10</v>
      </c>
      <c r="B13" s="5">
        <v>10</v>
      </c>
      <c r="C13" s="6">
        <f t="shared" si="0"/>
        <v>732</v>
      </c>
      <c r="D13" s="6">
        <f>125+6+5+125+6+5</f>
        <v>272</v>
      </c>
      <c r="E13" s="6">
        <f t="shared" si="1"/>
        <v>199104</v>
      </c>
      <c r="G13" s="3">
        <v>4</v>
      </c>
      <c r="H13" s="3">
        <f t="shared" si="2"/>
        <v>183</v>
      </c>
      <c r="L13" s="1" t="s">
        <v>11</v>
      </c>
    </row>
    <row r="14" spans="1:12" ht="24" customHeight="1" x14ac:dyDescent="0.25">
      <c r="A14" s="4">
        <v>11</v>
      </c>
      <c r="B14" s="5">
        <v>12.5</v>
      </c>
      <c r="C14" s="6">
        <f t="shared" si="0"/>
        <v>32</v>
      </c>
      <c r="D14" s="6">
        <f>39+50+50+16+16+30+30</f>
        <v>231</v>
      </c>
      <c r="E14" s="6">
        <f t="shared" si="1"/>
        <v>7392</v>
      </c>
      <c r="G14" s="1">
        <v>4</v>
      </c>
      <c r="H14" s="1">
        <v>8</v>
      </c>
    </row>
    <row r="15" spans="1:12" ht="24" customHeight="1" x14ac:dyDescent="0.25">
      <c r="A15" s="4">
        <v>12</v>
      </c>
      <c r="B15" s="5">
        <v>8</v>
      </c>
      <c r="C15" s="6">
        <f t="shared" si="0"/>
        <v>56</v>
      </c>
      <c r="D15" s="6">
        <f>ROUND(PI()*6*(46/2),0)</f>
        <v>434</v>
      </c>
      <c r="E15" s="6">
        <f t="shared" si="1"/>
        <v>24304</v>
      </c>
      <c r="G15" s="1">
        <v>4</v>
      </c>
      <c r="H15" s="1">
        <v>14</v>
      </c>
    </row>
    <row r="16" spans="1:12" ht="24" customHeight="1" x14ac:dyDescent="0.25">
      <c r="A16" s="87" t="s">
        <v>8</v>
      </c>
      <c r="B16" s="87"/>
      <c r="C16" s="87"/>
      <c r="D16" s="87"/>
      <c r="E16" s="87"/>
    </row>
    <row r="17" spans="1:5" ht="24" customHeight="1" x14ac:dyDescent="0.25">
      <c r="A17" s="87"/>
      <c r="B17" s="87"/>
      <c r="C17" s="87"/>
      <c r="D17" s="87"/>
      <c r="E17" s="87"/>
    </row>
    <row r="18" spans="1:5" ht="24" customHeight="1" x14ac:dyDescent="0.25">
      <c r="A18" s="87"/>
      <c r="B18" s="87"/>
      <c r="C18" s="87"/>
      <c r="D18" s="87"/>
      <c r="E18" s="87"/>
    </row>
    <row r="19" spans="1:5" ht="24" customHeight="1" x14ac:dyDescent="0.25">
      <c r="A19" s="88" t="s">
        <v>9</v>
      </c>
      <c r="B19" s="88"/>
      <c r="C19" s="88"/>
      <c r="D19" s="88"/>
      <c r="E19" s="88"/>
    </row>
    <row r="20" spans="1:5" ht="24" customHeight="1" x14ac:dyDescent="0.25">
      <c r="A20" s="88"/>
      <c r="B20" s="88"/>
      <c r="C20" s="88"/>
      <c r="D20" s="88"/>
      <c r="E20" s="88"/>
    </row>
    <row r="21" spans="1:5" ht="24" customHeight="1" x14ac:dyDescent="0.25">
      <c r="A21" s="4" t="s">
        <v>1</v>
      </c>
      <c r="B21" s="86" t="s">
        <v>10</v>
      </c>
      <c r="C21" s="86"/>
      <c r="D21" s="4" t="s">
        <v>4</v>
      </c>
      <c r="E21" s="4" t="s">
        <v>3</v>
      </c>
    </row>
    <row r="22" spans="1:5" ht="24" customHeight="1" x14ac:dyDescent="0.25">
      <c r="A22" s="7">
        <v>8</v>
      </c>
      <c r="B22" s="85">
        <f>SUMIFS($E$4:$E$15,$B$4:$B$15,A22)</f>
        <v>24304</v>
      </c>
      <c r="C22" s="85"/>
      <c r="D22" s="4">
        <v>0.39500000000000002</v>
      </c>
      <c r="E22" s="6">
        <f t="shared" ref="E22:E25" si="3">ROUND(D22*B22/100,0)</f>
        <v>96</v>
      </c>
    </row>
    <row r="23" spans="1:5" ht="24" customHeight="1" x14ac:dyDescent="0.25">
      <c r="A23" s="7">
        <v>10</v>
      </c>
      <c r="B23" s="85">
        <f>SUMIFS($E$4:$E$15,$B$4:$B$15,A23)</f>
        <v>528764</v>
      </c>
      <c r="C23" s="85"/>
      <c r="D23" s="4">
        <v>0.61699999999999999</v>
      </c>
      <c r="E23" s="6">
        <f t="shared" si="3"/>
        <v>3262</v>
      </c>
    </row>
    <row r="24" spans="1:5" ht="24" customHeight="1" x14ac:dyDescent="0.25">
      <c r="A24" s="7">
        <v>12.5</v>
      </c>
      <c r="B24" s="85">
        <f>SUMIFS($E$4:$E$15,$B$4:$B$15,A24)</f>
        <v>73488</v>
      </c>
      <c r="C24" s="85"/>
      <c r="D24" s="4">
        <v>0.96299999999999997</v>
      </c>
      <c r="E24" s="6">
        <f t="shared" si="3"/>
        <v>708</v>
      </c>
    </row>
    <row r="25" spans="1:5" ht="24" customHeight="1" x14ac:dyDescent="0.25">
      <c r="A25" s="7">
        <v>20</v>
      </c>
      <c r="B25" s="85">
        <f>SUMIFS($E$4:$E$15,$B$4:$B$15,A25)</f>
        <v>43136</v>
      </c>
      <c r="C25" s="85"/>
      <c r="D25" s="4">
        <v>2.4660000000000002</v>
      </c>
      <c r="E25" s="6">
        <f t="shared" si="3"/>
        <v>1064</v>
      </c>
    </row>
    <row r="26" spans="1:5" ht="24" customHeight="1" x14ac:dyDescent="0.25">
      <c r="A26" s="86" t="s">
        <v>12</v>
      </c>
      <c r="B26" s="86"/>
      <c r="C26" s="86"/>
      <c r="D26" s="86"/>
      <c r="E26" s="6">
        <f>SUM(E22:E25)</f>
        <v>5130</v>
      </c>
    </row>
    <row r="27" spans="1:5" ht="30" customHeight="1" x14ac:dyDescent="0.25">
      <c r="A27" s="2"/>
      <c r="B27" s="2"/>
      <c r="C27" s="2"/>
      <c r="D27" s="2"/>
      <c r="E27" s="2"/>
    </row>
  </sheetData>
  <mergeCells count="13">
    <mergeCell ref="A26:D26"/>
    <mergeCell ref="B24:C24"/>
    <mergeCell ref="B25:C25"/>
    <mergeCell ref="A19:E20"/>
    <mergeCell ref="B21:C21"/>
    <mergeCell ref="B22:C22"/>
    <mergeCell ref="B23:C23"/>
    <mergeCell ref="A16:E18"/>
    <mergeCell ref="A1:E1"/>
    <mergeCell ref="A2:A3"/>
    <mergeCell ref="B2:B3"/>
    <mergeCell ref="C2:C3"/>
    <mergeCell ref="D2:E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641D0-4DFC-46DF-8F24-1BF9351CDEFF}">
  <sheetPr>
    <tabColor rgb="FF002060"/>
  </sheetPr>
  <dimension ref="A1:L28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20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16</v>
      </c>
      <c r="C4" s="6">
        <f>G4*H4</f>
        <v>34</v>
      </c>
      <c r="D4" s="6">
        <v>880</v>
      </c>
      <c r="E4" s="6">
        <f>D4*C4</f>
        <v>29920</v>
      </c>
      <c r="G4" s="3">
        <v>2</v>
      </c>
      <c r="H4" s="3">
        <v>17</v>
      </c>
    </row>
    <row r="5" spans="1:12" ht="24" customHeight="1" x14ac:dyDescent="0.25">
      <c r="A5" s="4">
        <v>2</v>
      </c>
      <c r="B5" s="5">
        <v>16</v>
      </c>
      <c r="C5" s="6">
        <f t="shared" ref="C5:C16" si="0">G5*H5</f>
        <v>34</v>
      </c>
      <c r="D5" s="6">
        <v>900</v>
      </c>
      <c r="E5" s="6">
        <f t="shared" ref="E5:E16" si="1">D5*C5</f>
        <v>30600</v>
      </c>
      <c r="G5" s="3">
        <v>2</v>
      </c>
      <c r="H5" s="3">
        <v>17</v>
      </c>
    </row>
    <row r="6" spans="1:12" ht="24" customHeight="1" x14ac:dyDescent="0.25">
      <c r="A6" s="4">
        <v>3</v>
      </c>
      <c r="B6" s="5">
        <v>10</v>
      </c>
      <c r="C6" s="6">
        <f t="shared" si="0"/>
        <v>138</v>
      </c>
      <c r="D6" s="6">
        <v>580</v>
      </c>
      <c r="E6" s="6">
        <f>D6*C6</f>
        <v>80040</v>
      </c>
      <c r="G6" s="3">
        <v>2</v>
      </c>
      <c r="H6" s="3">
        <v>69</v>
      </c>
    </row>
    <row r="7" spans="1:12" ht="24" customHeight="1" x14ac:dyDescent="0.25">
      <c r="A7" s="4">
        <v>4</v>
      </c>
      <c r="B7" s="5">
        <v>10</v>
      </c>
      <c r="C7" s="6">
        <f t="shared" si="0"/>
        <v>138</v>
      </c>
      <c r="D7" s="6">
        <v>360</v>
      </c>
      <c r="E7" s="6">
        <f t="shared" si="1"/>
        <v>49680</v>
      </c>
      <c r="G7" s="3">
        <v>2</v>
      </c>
      <c r="H7" s="3">
        <v>69</v>
      </c>
    </row>
    <row r="8" spans="1:12" ht="24" customHeight="1" x14ac:dyDescent="0.25">
      <c r="A8" s="4">
        <v>5</v>
      </c>
      <c r="B8" s="5">
        <v>12.5</v>
      </c>
      <c r="C8" s="6">
        <f t="shared" si="0"/>
        <v>276</v>
      </c>
      <c r="D8" s="6" t="s">
        <v>21</v>
      </c>
      <c r="E8" s="6">
        <f>C8*AVERAGE(J8:K8)</f>
        <v>70380</v>
      </c>
      <c r="G8" s="3">
        <v>2</v>
      </c>
      <c r="H8" s="3">
        <f>2*69</f>
        <v>138</v>
      </c>
      <c r="J8" s="1">
        <v>250</v>
      </c>
      <c r="K8" s="1">
        <v>260</v>
      </c>
    </row>
    <row r="9" spans="1:12" ht="24" customHeight="1" x14ac:dyDescent="0.25">
      <c r="A9" s="4">
        <v>6</v>
      </c>
      <c r="B9" s="5">
        <v>8</v>
      </c>
      <c r="C9" s="6">
        <f t="shared" si="0"/>
        <v>138</v>
      </c>
      <c r="D9" s="6">
        <v>92</v>
      </c>
      <c r="E9" s="6">
        <f t="shared" si="1"/>
        <v>12696</v>
      </c>
      <c r="G9" s="3">
        <v>2</v>
      </c>
      <c r="H9" s="3">
        <v>69</v>
      </c>
    </row>
    <row r="10" spans="1:12" ht="24" customHeight="1" x14ac:dyDescent="0.25">
      <c r="A10" s="4">
        <v>7</v>
      </c>
      <c r="B10" s="5">
        <v>12.5</v>
      </c>
      <c r="C10" s="6">
        <f t="shared" si="0"/>
        <v>6</v>
      </c>
      <c r="D10" s="6">
        <v>684</v>
      </c>
      <c r="E10" s="6">
        <f t="shared" si="1"/>
        <v>4104</v>
      </c>
      <c r="G10" s="3">
        <v>2</v>
      </c>
      <c r="H10" s="3">
        <v>3</v>
      </c>
    </row>
    <row r="11" spans="1:12" ht="24" customHeight="1" x14ac:dyDescent="0.25">
      <c r="A11" s="4">
        <v>8</v>
      </c>
      <c r="B11" s="5">
        <v>10</v>
      </c>
      <c r="C11" s="6">
        <f t="shared" si="0"/>
        <v>24</v>
      </c>
      <c r="D11" s="6">
        <v>270</v>
      </c>
      <c r="E11" s="6">
        <f t="shared" si="1"/>
        <v>6480</v>
      </c>
      <c r="G11" s="3">
        <v>2</v>
      </c>
      <c r="H11" s="3">
        <v>12</v>
      </c>
    </row>
    <row r="12" spans="1:12" ht="24" customHeight="1" x14ac:dyDescent="0.25">
      <c r="A12" s="4">
        <v>9</v>
      </c>
      <c r="B12" s="5">
        <v>12.5</v>
      </c>
      <c r="C12" s="6">
        <f t="shared" si="0"/>
        <v>44</v>
      </c>
      <c r="D12" s="6">
        <v>684</v>
      </c>
      <c r="E12" s="6">
        <f t="shared" si="1"/>
        <v>30096</v>
      </c>
      <c r="G12" s="3">
        <v>2</v>
      </c>
      <c r="H12" s="3">
        <v>22</v>
      </c>
    </row>
    <row r="13" spans="1:12" ht="24" customHeight="1" x14ac:dyDescent="0.25">
      <c r="A13" s="4">
        <v>10</v>
      </c>
      <c r="B13" s="5">
        <v>10</v>
      </c>
      <c r="C13" s="6">
        <f t="shared" si="0"/>
        <v>24</v>
      </c>
      <c r="D13" s="6">
        <v>165</v>
      </c>
      <c r="E13" s="6">
        <f t="shared" si="1"/>
        <v>3960</v>
      </c>
      <c r="G13" s="3">
        <v>8</v>
      </c>
      <c r="H13" s="3">
        <v>3</v>
      </c>
      <c r="L13" s="1" t="s">
        <v>11</v>
      </c>
    </row>
    <row r="14" spans="1:12" ht="24" customHeight="1" x14ac:dyDescent="0.25">
      <c r="A14" s="4">
        <v>11</v>
      </c>
      <c r="B14" s="5">
        <v>10</v>
      </c>
      <c r="C14" s="6">
        <f t="shared" si="0"/>
        <v>32</v>
      </c>
      <c r="D14" s="6">
        <v>150</v>
      </c>
      <c r="E14" s="6">
        <f t="shared" si="1"/>
        <v>4800</v>
      </c>
      <c r="G14" s="1">
        <v>8</v>
      </c>
      <c r="H14" s="1">
        <v>4</v>
      </c>
    </row>
    <row r="15" spans="1:12" ht="24" customHeight="1" x14ac:dyDescent="0.25">
      <c r="A15" s="4">
        <v>12</v>
      </c>
      <c r="B15" s="5">
        <v>10</v>
      </c>
      <c r="C15" s="6">
        <f t="shared" si="0"/>
        <v>16</v>
      </c>
      <c r="D15" s="6">
        <v>764</v>
      </c>
      <c r="E15" s="6">
        <f t="shared" si="1"/>
        <v>12224</v>
      </c>
      <c r="G15" s="1">
        <v>8</v>
      </c>
      <c r="H15" s="1">
        <v>2</v>
      </c>
    </row>
    <row r="16" spans="1:12" ht="24" customHeight="1" x14ac:dyDescent="0.25">
      <c r="A16" s="4">
        <v>13</v>
      </c>
      <c r="B16" s="5">
        <v>10</v>
      </c>
      <c r="C16" s="6">
        <f t="shared" si="0"/>
        <v>16</v>
      </c>
      <c r="D16" s="6">
        <v>747</v>
      </c>
      <c r="E16" s="6">
        <f t="shared" si="1"/>
        <v>11952</v>
      </c>
      <c r="G16" s="1">
        <v>8</v>
      </c>
      <c r="H16" s="1">
        <v>2</v>
      </c>
    </row>
    <row r="17" spans="1:5" ht="24" customHeight="1" x14ac:dyDescent="0.25">
      <c r="A17" s="87" t="s">
        <v>8</v>
      </c>
      <c r="B17" s="87"/>
      <c r="C17" s="87"/>
      <c r="D17" s="87"/>
      <c r="E17" s="87"/>
    </row>
    <row r="18" spans="1:5" ht="24" customHeight="1" x14ac:dyDescent="0.25">
      <c r="A18" s="87"/>
      <c r="B18" s="87"/>
      <c r="C18" s="87"/>
      <c r="D18" s="87"/>
      <c r="E18" s="87"/>
    </row>
    <row r="19" spans="1:5" ht="24" customHeight="1" x14ac:dyDescent="0.25">
      <c r="A19" s="87"/>
      <c r="B19" s="87"/>
      <c r="C19" s="87"/>
      <c r="D19" s="87"/>
      <c r="E19" s="87"/>
    </row>
    <row r="20" spans="1:5" ht="24" customHeight="1" x14ac:dyDescent="0.25">
      <c r="A20" s="88" t="s">
        <v>9</v>
      </c>
      <c r="B20" s="88"/>
      <c r="C20" s="88"/>
      <c r="D20" s="88"/>
      <c r="E20" s="88"/>
    </row>
    <row r="21" spans="1:5" ht="24" customHeight="1" x14ac:dyDescent="0.25">
      <c r="A21" s="88"/>
      <c r="B21" s="88"/>
      <c r="C21" s="88"/>
      <c r="D21" s="88"/>
      <c r="E21" s="88"/>
    </row>
    <row r="22" spans="1:5" ht="24" customHeight="1" x14ac:dyDescent="0.25">
      <c r="A22" s="4" t="s">
        <v>1</v>
      </c>
      <c r="B22" s="86" t="s">
        <v>10</v>
      </c>
      <c r="C22" s="86"/>
      <c r="D22" s="4" t="s">
        <v>4</v>
      </c>
      <c r="E22" s="4" t="s">
        <v>3</v>
      </c>
    </row>
    <row r="23" spans="1:5" ht="24" customHeight="1" x14ac:dyDescent="0.25">
      <c r="A23" s="7">
        <v>8</v>
      </c>
      <c r="B23" s="85">
        <f>SUMIFS($E$4:$E$16,$B$4:$B$16,A23)</f>
        <v>12696</v>
      </c>
      <c r="C23" s="85"/>
      <c r="D23" s="4">
        <v>0.39500000000000002</v>
      </c>
      <c r="E23" s="6">
        <f t="shared" ref="E23:E26" si="2">ROUND(D23*B23/100,0)</f>
        <v>50</v>
      </c>
    </row>
    <row r="24" spans="1:5" ht="24" customHeight="1" x14ac:dyDescent="0.25">
      <c r="A24" s="7">
        <v>10</v>
      </c>
      <c r="B24" s="85">
        <f>SUMIFS($E$4:$E$16,$B$4:$B$16,A24)</f>
        <v>169136</v>
      </c>
      <c r="C24" s="85"/>
      <c r="D24" s="4">
        <v>0.61699999999999999</v>
      </c>
      <c r="E24" s="6">
        <f t="shared" si="2"/>
        <v>1044</v>
      </c>
    </row>
    <row r="25" spans="1:5" ht="24" customHeight="1" x14ac:dyDescent="0.25">
      <c r="A25" s="7">
        <v>12.5</v>
      </c>
      <c r="B25" s="85">
        <f>SUMIFS($E$4:$E$16,$B$4:$B$16,A25)</f>
        <v>104580</v>
      </c>
      <c r="C25" s="85"/>
      <c r="D25" s="4">
        <v>0.96299999999999997</v>
      </c>
      <c r="E25" s="6">
        <f t="shared" si="2"/>
        <v>1007</v>
      </c>
    </row>
    <row r="26" spans="1:5" ht="24" customHeight="1" x14ac:dyDescent="0.25">
      <c r="A26" s="7">
        <v>16</v>
      </c>
      <c r="B26" s="85">
        <f>SUMIFS($E$4:$E$16,$B$4:$B$16,A26)</f>
        <v>60520</v>
      </c>
      <c r="C26" s="85"/>
      <c r="D26" s="4">
        <v>1.5780000000000001</v>
      </c>
      <c r="E26" s="6">
        <f t="shared" si="2"/>
        <v>955</v>
      </c>
    </row>
    <row r="27" spans="1:5" ht="24" customHeight="1" x14ac:dyDescent="0.25">
      <c r="A27" s="86" t="s">
        <v>12</v>
      </c>
      <c r="B27" s="86"/>
      <c r="C27" s="86"/>
      <c r="D27" s="86"/>
      <c r="E27" s="6">
        <f>SUM(E23:E26)</f>
        <v>3056</v>
      </c>
    </row>
    <row r="28" spans="1:5" ht="30" customHeight="1" x14ac:dyDescent="0.25">
      <c r="A28" s="2"/>
      <c r="B28" s="2"/>
      <c r="C28" s="2"/>
      <c r="D28" s="2"/>
      <c r="E28" s="2"/>
    </row>
  </sheetData>
  <mergeCells count="13">
    <mergeCell ref="A27:D27"/>
    <mergeCell ref="B25:C25"/>
    <mergeCell ref="B26:C26"/>
    <mergeCell ref="A20:E21"/>
    <mergeCell ref="B22:C22"/>
    <mergeCell ref="B23:C23"/>
    <mergeCell ref="B24:C24"/>
    <mergeCell ref="A17:E19"/>
    <mergeCell ref="A1:E1"/>
    <mergeCell ref="A2:A3"/>
    <mergeCell ref="B2:B3"/>
    <mergeCell ref="C2:C3"/>
    <mergeCell ref="D2:E2"/>
  </mergeCells>
  <pageMargins left="0.7" right="0.7" top="0.75" bottom="0.75" header="0.3" footer="0.3"/>
  <pageSetup paperSize="9" orientation="portrait" r:id="rId1"/>
  <ignoredErrors>
    <ignoredError sqref="E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7A9A-CB73-4F1A-B692-6B929E2DDA2C}">
  <sheetPr>
    <tabColor rgb="FF002060"/>
  </sheetPr>
  <dimension ref="A1:L24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22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16</v>
      </c>
      <c r="C4" s="6">
        <f>G4*H4</f>
        <v>17</v>
      </c>
      <c r="D4" s="6">
        <v>880</v>
      </c>
      <c r="E4" s="6">
        <f>D4*C4</f>
        <v>14960</v>
      </c>
      <c r="G4" s="3">
        <v>1</v>
      </c>
      <c r="H4" s="3">
        <v>17</v>
      </c>
    </row>
    <row r="5" spans="1:12" ht="24" customHeight="1" x14ac:dyDescent="0.25">
      <c r="A5" s="4">
        <v>2</v>
      </c>
      <c r="B5" s="5">
        <v>16</v>
      </c>
      <c r="C5" s="6">
        <f t="shared" ref="C5:C13" si="0">G5*H5</f>
        <v>17</v>
      </c>
      <c r="D5" s="6">
        <v>900</v>
      </c>
      <c r="E5" s="6">
        <f t="shared" ref="E5:E13" si="1">D5*C5</f>
        <v>15300</v>
      </c>
      <c r="G5" s="3">
        <v>1</v>
      </c>
      <c r="H5" s="3">
        <v>17</v>
      </c>
    </row>
    <row r="6" spans="1:12" ht="24" customHeight="1" x14ac:dyDescent="0.25">
      <c r="A6" s="4">
        <v>3</v>
      </c>
      <c r="B6" s="5">
        <v>10</v>
      </c>
      <c r="C6" s="6">
        <f t="shared" si="0"/>
        <v>69</v>
      </c>
      <c r="D6" s="6">
        <v>580</v>
      </c>
      <c r="E6" s="6">
        <f>D6*C6</f>
        <v>40020</v>
      </c>
      <c r="G6" s="3">
        <v>1</v>
      </c>
      <c r="H6" s="3">
        <v>69</v>
      </c>
    </row>
    <row r="7" spans="1:12" ht="24" customHeight="1" x14ac:dyDescent="0.25">
      <c r="A7" s="4">
        <v>4</v>
      </c>
      <c r="B7" s="5">
        <v>10</v>
      </c>
      <c r="C7" s="6">
        <f t="shared" si="0"/>
        <v>69</v>
      </c>
      <c r="D7" s="6">
        <v>360</v>
      </c>
      <c r="E7" s="6">
        <f t="shared" si="1"/>
        <v>24840</v>
      </c>
      <c r="G7" s="3">
        <v>1</v>
      </c>
      <c r="H7" s="3">
        <v>69</v>
      </c>
    </row>
    <row r="8" spans="1:12" ht="24" customHeight="1" x14ac:dyDescent="0.25">
      <c r="A8" s="4">
        <v>5</v>
      </c>
      <c r="B8" s="5">
        <v>12.5</v>
      </c>
      <c r="C8" s="6">
        <f t="shared" si="0"/>
        <v>12</v>
      </c>
      <c r="D8" s="6">
        <v>684</v>
      </c>
      <c r="E8" s="6">
        <f t="shared" si="1"/>
        <v>8208</v>
      </c>
      <c r="G8" s="3">
        <v>1</v>
      </c>
      <c r="H8" s="3">
        <v>12</v>
      </c>
    </row>
    <row r="9" spans="1:12" ht="24" customHeight="1" x14ac:dyDescent="0.25">
      <c r="A9" s="4">
        <v>6</v>
      </c>
      <c r="B9" s="5">
        <v>10</v>
      </c>
      <c r="C9" s="6">
        <f t="shared" si="0"/>
        <v>12</v>
      </c>
      <c r="D9" s="6">
        <v>270</v>
      </c>
      <c r="E9" s="6">
        <f t="shared" si="1"/>
        <v>3240</v>
      </c>
      <c r="G9" s="3">
        <v>1</v>
      </c>
      <c r="H9" s="3">
        <v>12</v>
      </c>
    </row>
    <row r="10" spans="1:12" ht="24" customHeight="1" x14ac:dyDescent="0.25">
      <c r="A10" s="4">
        <v>7</v>
      </c>
      <c r="B10" s="5">
        <v>10</v>
      </c>
      <c r="C10" s="6">
        <f t="shared" si="0"/>
        <v>24</v>
      </c>
      <c r="D10" s="6">
        <v>165</v>
      </c>
      <c r="E10" s="6">
        <f t="shared" si="1"/>
        <v>3960</v>
      </c>
      <c r="G10" s="3">
        <v>8</v>
      </c>
      <c r="H10" s="3">
        <v>3</v>
      </c>
    </row>
    <row r="11" spans="1:12" ht="24" customHeight="1" x14ac:dyDescent="0.25">
      <c r="A11" s="4">
        <v>8</v>
      </c>
      <c r="B11" s="5">
        <v>10</v>
      </c>
      <c r="C11" s="6">
        <f t="shared" si="0"/>
        <v>32</v>
      </c>
      <c r="D11" s="6">
        <v>150</v>
      </c>
      <c r="E11" s="6">
        <f t="shared" si="1"/>
        <v>4800</v>
      </c>
      <c r="G11" s="3">
        <v>8</v>
      </c>
      <c r="H11" s="3">
        <v>4</v>
      </c>
    </row>
    <row r="12" spans="1:12" ht="24" customHeight="1" x14ac:dyDescent="0.25">
      <c r="A12" s="4">
        <v>9</v>
      </c>
      <c r="B12" s="5">
        <v>10</v>
      </c>
      <c r="C12" s="6">
        <f t="shared" si="0"/>
        <v>8</v>
      </c>
      <c r="D12" s="6">
        <v>1610</v>
      </c>
      <c r="E12" s="6">
        <f t="shared" si="1"/>
        <v>12880</v>
      </c>
      <c r="G12" s="3">
        <v>4</v>
      </c>
      <c r="H12" s="3">
        <v>2</v>
      </c>
    </row>
    <row r="13" spans="1:12" ht="24" customHeight="1" x14ac:dyDescent="0.25">
      <c r="A13" s="4">
        <v>10</v>
      </c>
      <c r="B13" s="5">
        <v>10</v>
      </c>
      <c r="C13" s="6">
        <f t="shared" si="0"/>
        <v>8</v>
      </c>
      <c r="D13" s="6">
        <v>1627</v>
      </c>
      <c r="E13" s="6">
        <f t="shared" si="1"/>
        <v>13016</v>
      </c>
      <c r="G13" s="3">
        <v>4</v>
      </c>
      <c r="H13" s="3">
        <v>2</v>
      </c>
      <c r="L13" s="1" t="s">
        <v>11</v>
      </c>
    </row>
    <row r="14" spans="1:12" ht="24" customHeight="1" x14ac:dyDescent="0.25">
      <c r="A14" s="87" t="s">
        <v>8</v>
      </c>
      <c r="B14" s="87"/>
      <c r="C14" s="87"/>
      <c r="D14" s="87"/>
      <c r="E14" s="87"/>
    </row>
    <row r="15" spans="1:12" ht="24" customHeight="1" x14ac:dyDescent="0.25">
      <c r="A15" s="87"/>
      <c r="B15" s="87"/>
      <c r="C15" s="87"/>
      <c r="D15" s="87"/>
      <c r="E15" s="87"/>
    </row>
    <row r="16" spans="1:12" ht="24" customHeight="1" x14ac:dyDescent="0.25">
      <c r="A16" s="87"/>
      <c r="B16" s="87"/>
      <c r="C16" s="87"/>
      <c r="D16" s="87"/>
      <c r="E16" s="87"/>
    </row>
    <row r="17" spans="1:5" ht="24" customHeight="1" x14ac:dyDescent="0.25">
      <c r="A17" s="88" t="s">
        <v>9</v>
      </c>
      <c r="B17" s="88"/>
      <c r="C17" s="88"/>
      <c r="D17" s="88"/>
      <c r="E17" s="88"/>
    </row>
    <row r="18" spans="1:5" ht="24" customHeight="1" x14ac:dyDescent="0.25">
      <c r="A18" s="88"/>
      <c r="B18" s="88"/>
      <c r="C18" s="88"/>
      <c r="D18" s="88"/>
      <c r="E18" s="88"/>
    </row>
    <row r="19" spans="1:5" ht="24" customHeight="1" x14ac:dyDescent="0.25">
      <c r="A19" s="4" t="s">
        <v>1</v>
      </c>
      <c r="B19" s="86" t="s">
        <v>10</v>
      </c>
      <c r="C19" s="86"/>
      <c r="D19" s="4" t="s">
        <v>4</v>
      </c>
      <c r="E19" s="4" t="s">
        <v>3</v>
      </c>
    </row>
    <row r="20" spans="1:5" ht="24" customHeight="1" x14ac:dyDescent="0.25">
      <c r="A20" s="7">
        <v>10</v>
      </c>
      <c r="B20" s="85">
        <f>SUMIFS($E$4:$E$13,$B$4:$B$13,A20)</f>
        <v>102756</v>
      </c>
      <c r="C20" s="85"/>
      <c r="D20" s="4">
        <v>0.61699999999999999</v>
      </c>
      <c r="E20" s="6">
        <f t="shared" ref="E20:E22" si="2">ROUND(D20*B20/100,0)</f>
        <v>634</v>
      </c>
    </row>
    <row r="21" spans="1:5" ht="24" customHeight="1" x14ac:dyDescent="0.25">
      <c r="A21" s="7">
        <v>12.5</v>
      </c>
      <c r="B21" s="85">
        <f>SUMIFS($E$4:$E$13,$B$4:$B$13,A21)</f>
        <v>8208</v>
      </c>
      <c r="C21" s="85"/>
      <c r="D21" s="4">
        <v>0.96299999999999997</v>
      </c>
      <c r="E21" s="6">
        <f t="shared" si="2"/>
        <v>79</v>
      </c>
    </row>
    <row r="22" spans="1:5" ht="24" customHeight="1" x14ac:dyDescent="0.25">
      <c r="A22" s="7">
        <v>16</v>
      </c>
      <c r="B22" s="85">
        <f>SUMIFS($E$4:$E$13,$B$4:$B$13,A22)</f>
        <v>30260</v>
      </c>
      <c r="C22" s="85"/>
      <c r="D22" s="4">
        <v>1.5780000000000001</v>
      </c>
      <c r="E22" s="6">
        <f t="shared" si="2"/>
        <v>478</v>
      </c>
    </row>
    <row r="23" spans="1:5" ht="24" customHeight="1" x14ac:dyDescent="0.25">
      <c r="A23" s="86" t="s">
        <v>12</v>
      </c>
      <c r="B23" s="86"/>
      <c r="C23" s="86"/>
      <c r="D23" s="86"/>
      <c r="E23" s="6">
        <f>SUM(E20:E22)</f>
        <v>1191</v>
      </c>
    </row>
    <row r="24" spans="1:5" ht="30" customHeight="1" x14ac:dyDescent="0.25">
      <c r="A24" s="2"/>
      <c r="B24" s="2"/>
      <c r="C24" s="2"/>
      <c r="D24" s="2"/>
      <c r="E24" s="2"/>
    </row>
  </sheetData>
  <mergeCells count="12">
    <mergeCell ref="A23:D23"/>
    <mergeCell ref="B21:C21"/>
    <mergeCell ref="B22:C22"/>
    <mergeCell ref="A17:E18"/>
    <mergeCell ref="B19:C19"/>
    <mergeCell ref="B20:C20"/>
    <mergeCell ref="A14:E16"/>
    <mergeCell ref="A1:E1"/>
    <mergeCell ref="A2:A3"/>
    <mergeCell ref="B2:B3"/>
    <mergeCell ref="C2:C3"/>
    <mergeCell ref="D2:E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E9411-4560-4178-8D23-AC8CBF7E7A5C}">
  <sheetPr>
    <tabColor rgb="FF002060"/>
  </sheetPr>
  <dimension ref="A1:K21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1" ht="30" customHeight="1" x14ac:dyDescent="0.25">
      <c r="A1" s="84" t="s">
        <v>23</v>
      </c>
      <c r="B1" s="84"/>
      <c r="C1" s="84"/>
      <c r="D1" s="84"/>
      <c r="E1" s="84"/>
    </row>
    <row r="2" spans="1:11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1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1" ht="24" customHeight="1" x14ac:dyDescent="0.25">
      <c r="A4" s="4">
        <v>1</v>
      </c>
      <c r="B4" s="5">
        <v>12.5</v>
      </c>
      <c r="C4" s="6">
        <f>G4*H4</f>
        <v>12</v>
      </c>
      <c r="D4" s="6">
        <v>600</v>
      </c>
      <c r="E4" s="6">
        <f>D4*C4</f>
        <v>7200</v>
      </c>
      <c r="G4" s="3">
        <v>4</v>
      </c>
      <c r="H4" s="3">
        <v>3</v>
      </c>
    </row>
    <row r="5" spans="1:11" ht="24" customHeight="1" x14ac:dyDescent="0.25">
      <c r="A5" s="4">
        <v>2</v>
      </c>
      <c r="B5" s="5">
        <v>12.5</v>
      </c>
      <c r="C5" s="6">
        <f t="shared" ref="C5:C12" si="0">G5*H5</f>
        <v>12</v>
      </c>
      <c r="D5" s="6">
        <v>677</v>
      </c>
      <c r="E5" s="6">
        <f t="shared" ref="E5:E12" si="1">D5*C5</f>
        <v>8124</v>
      </c>
      <c r="G5" s="3">
        <v>4</v>
      </c>
      <c r="H5" s="3">
        <v>3</v>
      </c>
    </row>
    <row r="6" spans="1:11" ht="24" customHeight="1" x14ac:dyDescent="0.25">
      <c r="A6" s="4">
        <v>3</v>
      </c>
      <c r="B6" s="5">
        <v>12.5</v>
      </c>
      <c r="C6" s="6">
        <f t="shared" si="0"/>
        <v>72</v>
      </c>
      <c r="D6" s="6">
        <v>200</v>
      </c>
      <c r="E6" s="6">
        <f>D6*C6</f>
        <v>14400</v>
      </c>
      <c r="G6" s="3">
        <v>4</v>
      </c>
      <c r="H6" s="3">
        <v>18</v>
      </c>
    </row>
    <row r="7" spans="1:11" ht="24" customHeight="1" x14ac:dyDescent="0.25">
      <c r="A7" s="4">
        <v>4</v>
      </c>
      <c r="B7" s="5">
        <v>12.5</v>
      </c>
      <c r="C7" s="6">
        <f t="shared" si="0"/>
        <v>28</v>
      </c>
      <c r="D7" s="6">
        <v>515</v>
      </c>
      <c r="E7" s="6">
        <f t="shared" si="1"/>
        <v>14420</v>
      </c>
      <c r="G7" s="3">
        <v>4</v>
      </c>
      <c r="H7" s="3">
        <v>7</v>
      </c>
    </row>
    <row r="8" spans="1:11" ht="24" customHeight="1" x14ac:dyDescent="0.25">
      <c r="A8" s="4">
        <v>5</v>
      </c>
      <c r="B8" s="5">
        <v>12.5</v>
      </c>
      <c r="C8" s="6">
        <f t="shared" si="0"/>
        <v>28</v>
      </c>
      <c r="D8" s="6">
        <v>467</v>
      </c>
      <c r="E8" s="6">
        <f t="shared" si="1"/>
        <v>13076</v>
      </c>
      <c r="G8" s="3">
        <v>4</v>
      </c>
      <c r="H8" s="3">
        <v>7</v>
      </c>
    </row>
    <row r="9" spans="1:11" ht="24" customHeight="1" x14ac:dyDescent="0.25">
      <c r="A9" s="4">
        <v>6</v>
      </c>
      <c r="B9" s="5">
        <v>12.5</v>
      </c>
      <c r="C9" s="6">
        <f t="shared" si="0"/>
        <v>44</v>
      </c>
      <c r="D9" s="6" t="s">
        <v>21</v>
      </c>
      <c r="E9" s="6">
        <f>C9*AVERAGE(J9:K9)</f>
        <v>18832</v>
      </c>
      <c r="G9" s="3">
        <v>4</v>
      </c>
      <c r="H9" s="3">
        <v>11</v>
      </c>
      <c r="J9" s="1">
        <v>341</v>
      </c>
      <c r="K9" s="1">
        <v>515</v>
      </c>
    </row>
    <row r="10" spans="1:11" ht="24" customHeight="1" x14ac:dyDescent="0.25">
      <c r="A10" s="4">
        <v>7</v>
      </c>
      <c r="B10" s="5">
        <v>12.5</v>
      </c>
      <c r="C10" s="6">
        <f t="shared" si="0"/>
        <v>44</v>
      </c>
      <c r="D10" s="6" t="s">
        <v>21</v>
      </c>
      <c r="E10" s="6">
        <f>C10*AVERAGE(J10:K10)</f>
        <v>16720</v>
      </c>
      <c r="G10" s="3">
        <v>4</v>
      </c>
      <c r="H10" s="3">
        <v>11</v>
      </c>
      <c r="J10" s="1">
        <v>293</v>
      </c>
      <c r="K10" s="1">
        <v>467</v>
      </c>
    </row>
    <row r="11" spans="1:11" ht="24" customHeight="1" x14ac:dyDescent="0.25">
      <c r="A11" s="4">
        <v>8</v>
      </c>
      <c r="B11" s="5">
        <v>12.5</v>
      </c>
      <c r="C11" s="6">
        <f t="shared" si="0"/>
        <v>144</v>
      </c>
      <c r="D11" s="6" t="s">
        <v>21</v>
      </c>
      <c r="E11" s="6">
        <f>C11*AVERAGE(J11:K11)</f>
        <v>32832</v>
      </c>
      <c r="G11" s="3">
        <v>4</v>
      </c>
      <c r="H11" s="3">
        <f>2*18</f>
        <v>36</v>
      </c>
      <c r="J11" s="1">
        <v>144</v>
      </c>
      <c r="K11" s="1">
        <v>312</v>
      </c>
    </row>
    <row r="12" spans="1:11" ht="24" customHeight="1" x14ac:dyDescent="0.25">
      <c r="A12" s="4">
        <v>9</v>
      </c>
      <c r="B12" s="5">
        <v>12.5</v>
      </c>
      <c r="C12" s="6">
        <f t="shared" si="0"/>
        <v>64</v>
      </c>
      <c r="D12" s="6">
        <v>312</v>
      </c>
      <c r="E12" s="6">
        <f t="shared" si="1"/>
        <v>19968</v>
      </c>
      <c r="G12" s="3">
        <v>4</v>
      </c>
      <c r="H12" s="3">
        <f>2*8</f>
        <v>16</v>
      </c>
    </row>
    <row r="13" spans="1:11" ht="24" customHeight="1" x14ac:dyDescent="0.25">
      <c r="A13" s="87" t="s">
        <v>8</v>
      </c>
      <c r="B13" s="87"/>
      <c r="C13" s="87"/>
      <c r="D13" s="87"/>
      <c r="E13" s="87"/>
    </row>
    <row r="14" spans="1:11" ht="24" customHeight="1" x14ac:dyDescent="0.25">
      <c r="A14" s="87"/>
      <c r="B14" s="87"/>
      <c r="C14" s="87"/>
      <c r="D14" s="87"/>
      <c r="E14" s="87"/>
    </row>
    <row r="15" spans="1:11" ht="24" customHeight="1" x14ac:dyDescent="0.25">
      <c r="A15" s="87"/>
      <c r="B15" s="87"/>
      <c r="C15" s="87"/>
      <c r="D15" s="87"/>
      <c r="E15" s="87"/>
    </row>
    <row r="16" spans="1:11" ht="24" customHeight="1" x14ac:dyDescent="0.25">
      <c r="A16" s="88" t="s">
        <v>9</v>
      </c>
      <c r="B16" s="88"/>
      <c r="C16" s="88"/>
      <c r="D16" s="88"/>
      <c r="E16" s="88"/>
    </row>
    <row r="17" spans="1:5" ht="24" customHeight="1" x14ac:dyDescent="0.25">
      <c r="A17" s="88"/>
      <c r="B17" s="88"/>
      <c r="C17" s="88"/>
      <c r="D17" s="88"/>
      <c r="E17" s="88"/>
    </row>
    <row r="18" spans="1:5" ht="24" customHeight="1" x14ac:dyDescent="0.25">
      <c r="A18" s="4" t="s">
        <v>1</v>
      </c>
      <c r="B18" s="86" t="s">
        <v>10</v>
      </c>
      <c r="C18" s="86"/>
      <c r="D18" s="4" t="s">
        <v>4</v>
      </c>
      <c r="E18" s="4" t="s">
        <v>3</v>
      </c>
    </row>
    <row r="19" spans="1:5" ht="24" customHeight="1" x14ac:dyDescent="0.25">
      <c r="A19" s="7">
        <v>12.5</v>
      </c>
      <c r="B19" s="85">
        <f>SUMIFS($E$4:$E$12,$B$4:$B$12,A19)</f>
        <v>145572</v>
      </c>
      <c r="C19" s="85"/>
      <c r="D19" s="4">
        <v>0.96299999999999997</v>
      </c>
      <c r="E19" s="6">
        <f t="shared" ref="E19" si="2">ROUND(D19*B19/100,0)</f>
        <v>1402</v>
      </c>
    </row>
    <row r="20" spans="1:5" ht="24" customHeight="1" x14ac:dyDescent="0.25">
      <c r="A20" s="86" t="s">
        <v>12</v>
      </c>
      <c r="B20" s="86"/>
      <c r="C20" s="86"/>
      <c r="D20" s="86"/>
      <c r="E20" s="6">
        <f>SUM(E19:E19)</f>
        <v>1402</v>
      </c>
    </row>
    <row r="21" spans="1:5" ht="30" customHeight="1" x14ac:dyDescent="0.25">
      <c r="A21" s="2"/>
      <c r="B21" s="2"/>
      <c r="C21" s="2"/>
      <c r="D21" s="2"/>
      <c r="E21" s="2"/>
    </row>
  </sheetData>
  <mergeCells count="10">
    <mergeCell ref="A20:D20"/>
    <mergeCell ref="B19:C19"/>
    <mergeCell ref="A16:E17"/>
    <mergeCell ref="B18:C18"/>
    <mergeCell ref="A1:E1"/>
    <mergeCell ref="A2:A3"/>
    <mergeCell ref="B2:B3"/>
    <mergeCell ref="C2:C3"/>
    <mergeCell ref="D2:E2"/>
    <mergeCell ref="A13:E1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15CCD-E2CE-4684-8AF1-B30311676D5F}">
  <sheetPr>
    <tabColor rgb="FF002060"/>
  </sheetPr>
  <dimension ref="A1:H16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8" ht="30" customHeight="1" x14ac:dyDescent="0.25">
      <c r="A1" s="84" t="s">
        <v>24</v>
      </c>
      <c r="B1" s="84"/>
      <c r="C1" s="84"/>
      <c r="D1" s="84"/>
      <c r="E1" s="84"/>
    </row>
    <row r="2" spans="1:8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8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8" ht="24" customHeight="1" x14ac:dyDescent="0.25">
      <c r="A4" s="4">
        <v>1</v>
      </c>
      <c r="B4" s="5">
        <v>12.5</v>
      </c>
      <c r="C4" s="6">
        <f>G4*H4</f>
        <v>240</v>
      </c>
      <c r="D4" s="6">
        <v>442</v>
      </c>
      <c r="E4" s="6">
        <f>D4*C4</f>
        <v>106080</v>
      </c>
      <c r="G4" s="3">
        <v>2</v>
      </c>
      <c r="H4" s="3">
        <f>60+60</f>
        <v>120</v>
      </c>
    </row>
    <row r="5" spans="1:8" ht="24" customHeight="1" x14ac:dyDescent="0.25">
      <c r="A5" s="4">
        <v>2</v>
      </c>
      <c r="B5" s="5">
        <v>10</v>
      </c>
      <c r="C5" s="6">
        <f t="shared" ref="C5:C6" si="0">G5*H5</f>
        <v>120</v>
      </c>
      <c r="D5" s="6">
        <v>150</v>
      </c>
      <c r="E5" s="6">
        <f t="shared" ref="E5" si="1">D5*C5</f>
        <v>18000</v>
      </c>
      <c r="G5" s="3">
        <v>2</v>
      </c>
      <c r="H5" s="3">
        <v>60</v>
      </c>
    </row>
    <row r="6" spans="1:8" ht="24" customHeight="1" x14ac:dyDescent="0.25">
      <c r="A6" s="4">
        <v>3</v>
      </c>
      <c r="B6" s="5">
        <v>10</v>
      </c>
      <c r="C6" s="6">
        <f t="shared" si="0"/>
        <v>166</v>
      </c>
      <c r="D6" s="6">
        <v>594</v>
      </c>
      <c r="E6" s="6">
        <f>D6*C6</f>
        <v>98604</v>
      </c>
      <c r="G6" s="3">
        <v>2</v>
      </c>
      <c r="H6" s="3">
        <v>83</v>
      </c>
    </row>
    <row r="7" spans="1:8" ht="24" customHeight="1" x14ac:dyDescent="0.25">
      <c r="A7" s="87" t="s">
        <v>8</v>
      </c>
      <c r="B7" s="87"/>
      <c r="C7" s="87"/>
      <c r="D7" s="87"/>
      <c r="E7" s="87"/>
    </row>
    <row r="8" spans="1:8" ht="24" customHeight="1" x14ac:dyDescent="0.25">
      <c r="A8" s="87"/>
      <c r="B8" s="87"/>
      <c r="C8" s="87"/>
      <c r="D8" s="87"/>
      <c r="E8" s="87"/>
    </row>
    <row r="9" spans="1:8" ht="24" customHeight="1" x14ac:dyDescent="0.25">
      <c r="A9" s="87"/>
      <c r="B9" s="87"/>
      <c r="C9" s="87"/>
      <c r="D9" s="87"/>
      <c r="E9" s="87"/>
    </row>
    <row r="10" spans="1:8" ht="24" customHeight="1" x14ac:dyDescent="0.25">
      <c r="A10" s="88" t="s">
        <v>9</v>
      </c>
      <c r="B10" s="88"/>
      <c r="C10" s="88"/>
      <c r="D10" s="88"/>
      <c r="E10" s="88"/>
    </row>
    <row r="11" spans="1:8" ht="24" customHeight="1" x14ac:dyDescent="0.25">
      <c r="A11" s="88"/>
      <c r="B11" s="88"/>
      <c r="C11" s="88"/>
      <c r="D11" s="88"/>
      <c r="E11" s="88"/>
    </row>
    <row r="12" spans="1:8" ht="24" customHeight="1" x14ac:dyDescent="0.25">
      <c r="A12" s="4" t="s">
        <v>1</v>
      </c>
      <c r="B12" s="86" t="s">
        <v>10</v>
      </c>
      <c r="C12" s="86"/>
      <c r="D12" s="4" t="s">
        <v>4</v>
      </c>
      <c r="E12" s="4" t="s">
        <v>3</v>
      </c>
    </row>
    <row r="13" spans="1:8" ht="24" customHeight="1" x14ac:dyDescent="0.25">
      <c r="A13" s="7">
        <v>10</v>
      </c>
      <c r="B13" s="85">
        <f>SUMIFS($E$4:$E$6,$B$4:$B$6,A13)</f>
        <v>116604</v>
      </c>
      <c r="C13" s="85"/>
      <c r="D13" s="4">
        <v>0.61699999999999999</v>
      </c>
      <c r="E13" s="6">
        <f t="shared" ref="E13:E14" si="2">ROUND(D13*B13/100,0)</f>
        <v>719</v>
      </c>
    </row>
    <row r="14" spans="1:8" ht="24" customHeight="1" x14ac:dyDescent="0.25">
      <c r="A14" s="7">
        <v>12.5</v>
      </c>
      <c r="B14" s="85">
        <f>SUMIFS($E$4:$E$6,$B$4:$B$6,A14)</f>
        <v>106080</v>
      </c>
      <c r="C14" s="85"/>
      <c r="D14" s="4">
        <v>0.96299999999999997</v>
      </c>
      <c r="E14" s="6">
        <f t="shared" si="2"/>
        <v>1022</v>
      </c>
    </row>
    <row r="15" spans="1:8" ht="24" customHeight="1" x14ac:dyDescent="0.25">
      <c r="A15" s="86" t="s">
        <v>12</v>
      </c>
      <c r="B15" s="86"/>
      <c r="C15" s="86"/>
      <c r="D15" s="86"/>
      <c r="E15" s="6">
        <f>SUM(E13:E14)</f>
        <v>1741</v>
      </c>
    </row>
    <row r="16" spans="1:8" ht="30" customHeight="1" x14ac:dyDescent="0.25">
      <c r="A16" s="2"/>
      <c r="B16" s="2"/>
      <c r="C16" s="2"/>
      <c r="D16" s="2"/>
      <c r="E16" s="2"/>
    </row>
  </sheetData>
  <mergeCells count="11">
    <mergeCell ref="A7:E9"/>
    <mergeCell ref="A1:E1"/>
    <mergeCell ref="A2:A3"/>
    <mergeCell ref="B2:B3"/>
    <mergeCell ref="C2:C3"/>
    <mergeCell ref="D2:E2"/>
    <mergeCell ref="A15:D15"/>
    <mergeCell ref="B14:C14"/>
    <mergeCell ref="A10:E11"/>
    <mergeCell ref="B12:C12"/>
    <mergeCell ref="B13:C1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9EBA-02D4-415E-A5BD-EACA4064E687}">
  <sheetPr>
    <tabColor rgb="FF002060"/>
  </sheetPr>
  <dimension ref="A1:K24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1" ht="30" customHeight="1" x14ac:dyDescent="0.25">
      <c r="A1" s="84" t="s">
        <v>25</v>
      </c>
      <c r="B1" s="84"/>
      <c r="C1" s="84"/>
      <c r="D1" s="84"/>
      <c r="E1" s="84"/>
    </row>
    <row r="2" spans="1:11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1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1" ht="24" customHeight="1" x14ac:dyDescent="0.25">
      <c r="A4" s="4">
        <v>1</v>
      </c>
      <c r="B4" s="5">
        <v>20</v>
      </c>
      <c r="C4" s="6">
        <f>G4*H4</f>
        <v>12</v>
      </c>
      <c r="D4" s="6">
        <v>614</v>
      </c>
      <c r="E4" s="6">
        <f>D4*C4</f>
        <v>7368</v>
      </c>
      <c r="G4" s="3">
        <v>4</v>
      </c>
      <c r="H4" s="3">
        <v>3</v>
      </c>
    </row>
    <row r="5" spans="1:11" ht="24" customHeight="1" x14ac:dyDescent="0.25">
      <c r="A5" s="4">
        <v>2</v>
      </c>
      <c r="B5" s="5">
        <v>12.5</v>
      </c>
      <c r="C5" s="6">
        <f t="shared" ref="C5:C12" si="0">G5*H5</f>
        <v>8</v>
      </c>
      <c r="D5" s="6">
        <v>614</v>
      </c>
      <c r="E5" s="6">
        <f t="shared" ref="E5:E12" si="1">D5*C5</f>
        <v>4912</v>
      </c>
      <c r="G5" s="3">
        <v>4</v>
      </c>
      <c r="H5" s="3">
        <v>2</v>
      </c>
    </row>
    <row r="6" spans="1:11" ht="24" customHeight="1" x14ac:dyDescent="0.25">
      <c r="A6" s="4">
        <v>3</v>
      </c>
      <c r="B6" s="5">
        <v>10</v>
      </c>
      <c r="C6" s="6">
        <f t="shared" si="0"/>
        <v>144</v>
      </c>
      <c r="D6" s="6">
        <v>162</v>
      </c>
      <c r="E6" s="6">
        <f>D6*C6</f>
        <v>23328</v>
      </c>
      <c r="G6" s="3">
        <v>4</v>
      </c>
      <c r="H6" s="3">
        <f>2*6*3</f>
        <v>36</v>
      </c>
    </row>
    <row r="7" spans="1:11" ht="24" customHeight="1" x14ac:dyDescent="0.25">
      <c r="A7" s="4">
        <v>4</v>
      </c>
      <c r="B7" s="5">
        <v>20</v>
      </c>
      <c r="C7" s="6">
        <f t="shared" si="0"/>
        <v>24</v>
      </c>
      <c r="D7" s="6">
        <v>215</v>
      </c>
      <c r="E7" s="6">
        <f t="shared" si="1"/>
        <v>5160</v>
      </c>
      <c r="G7" s="3">
        <v>4</v>
      </c>
      <c r="H7" s="3">
        <v>6</v>
      </c>
    </row>
    <row r="8" spans="1:11" ht="24" customHeight="1" x14ac:dyDescent="0.25">
      <c r="A8" s="4">
        <v>5</v>
      </c>
      <c r="B8" s="5">
        <v>20</v>
      </c>
      <c r="C8" s="6">
        <f t="shared" si="0"/>
        <v>12</v>
      </c>
      <c r="D8" s="6">
        <v>440</v>
      </c>
      <c r="E8" s="6">
        <f t="shared" si="1"/>
        <v>5280</v>
      </c>
      <c r="G8" s="3">
        <v>4</v>
      </c>
      <c r="H8" s="3">
        <v>3</v>
      </c>
    </row>
    <row r="9" spans="1:11" ht="24" customHeight="1" x14ac:dyDescent="0.25">
      <c r="A9" s="4">
        <v>6</v>
      </c>
      <c r="B9" s="5">
        <v>10</v>
      </c>
      <c r="C9" s="6">
        <f t="shared" si="0"/>
        <v>96</v>
      </c>
      <c r="D9" s="6">
        <v>290</v>
      </c>
      <c r="E9" s="6">
        <f t="shared" si="1"/>
        <v>27840</v>
      </c>
      <c r="G9" s="3">
        <v>4</v>
      </c>
      <c r="H9" s="3">
        <v>24</v>
      </c>
    </row>
    <row r="10" spans="1:11" ht="24" customHeight="1" x14ac:dyDescent="0.25">
      <c r="A10" s="4">
        <v>7</v>
      </c>
      <c r="B10" s="5">
        <v>10</v>
      </c>
      <c r="C10" s="6">
        <f t="shared" si="0"/>
        <v>56</v>
      </c>
      <c r="D10" s="6" t="s">
        <v>21</v>
      </c>
      <c r="E10" s="6">
        <f>C10*AVERAGE(J10:K10)</f>
        <v>12320</v>
      </c>
      <c r="G10" s="3">
        <v>4</v>
      </c>
      <c r="H10" s="3">
        <v>14</v>
      </c>
      <c r="J10" s="1">
        <v>216</v>
      </c>
      <c r="K10" s="1">
        <v>224</v>
      </c>
    </row>
    <row r="11" spans="1:11" ht="24" customHeight="1" x14ac:dyDescent="0.25">
      <c r="A11" s="4">
        <v>8</v>
      </c>
      <c r="B11" s="5">
        <v>8</v>
      </c>
      <c r="C11" s="6">
        <f t="shared" si="0"/>
        <v>48</v>
      </c>
      <c r="D11" s="6">
        <v>125</v>
      </c>
      <c r="E11" s="6">
        <f t="shared" si="1"/>
        <v>6000</v>
      </c>
      <c r="G11" s="3">
        <v>16</v>
      </c>
      <c r="H11" s="3">
        <v>3</v>
      </c>
    </row>
    <row r="12" spans="1:11" ht="24" customHeight="1" x14ac:dyDescent="0.25">
      <c r="A12" s="4">
        <v>9</v>
      </c>
      <c r="B12" s="5">
        <v>8</v>
      </c>
      <c r="C12" s="6">
        <f t="shared" si="0"/>
        <v>48</v>
      </c>
      <c r="D12" s="6">
        <v>145</v>
      </c>
      <c r="E12" s="6">
        <f t="shared" si="1"/>
        <v>6960</v>
      </c>
      <c r="G12" s="3">
        <v>16</v>
      </c>
      <c r="H12" s="3">
        <v>3</v>
      </c>
    </row>
    <row r="13" spans="1:11" ht="24" customHeight="1" x14ac:dyDescent="0.25">
      <c r="A13" s="87" t="s">
        <v>8</v>
      </c>
      <c r="B13" s="87"/>
      <c r="C13" s="87"/>
      <c r="D13" s="87"/>
      <c r="E13" s="87"/>
    </row>
    <row r="14" spans="1:11" ht="24" customHeight="1" x14ac:dyDescent="0.25">
      <c r="A14" s="87"/>
      <c r="B14" s="87"/>
      <c r="C14" s="87"/>
      <c r="D14" s="87"/>
      <c r="E14" s="87"/>
    </row>
    <row r="15" spans="1:11" ht="24" customHeight="1" x14ac:dyDescent="0.25">
      <c r="A15" s="87"/>
      <c r="B15" s="87"/>
      <c r="C15" s="87"/>
      <c r="D15" s="87"/>
      <c r="E15" s="87"/>
    </row>
    <row r="16" spans="1:11" ht="24" customHeight="1" x14ac:dyDescent="0.25">
      <c r="A16" s="88" t="s">
        <v>9</v>
      </c>
      <c r="B16" s="88"/>
      <c r="C16" s="88"/>
      <c r="D16" s="88"/>
      <c r="E16" s="88"/>
    </row>
    <row r="17" spans="1:5" ht="24" customHeight="1" x14ac:dyDescent="0.25">
      <c r="A17" s="88"/>
      <c r="B17" s="88"/>
      <c r="C17" s="88"/>
      <c r="D17" s="88"/>
      <c r="E17" s="88"/>
    </row>
    <row r="18" spans="1:5" ht="24" customHeight="1" x14ac:dyDescent="0.25">
      <c r="A18" s="4" t="s">
        <v>1</v>
      </c>
      <c r="B18" s="86" t="s">
        <v>10</v>
      </c>
      <c r="C18" s="86"/>
      <c r="D18" s="4" t="s">
        <v>4</v>
      </c>
      <c r="E18" s="4" t="s">
        <v>3</v>
      </c>
    </row>
    <row r="19" spans="1:5" ht="24" customHeight="1" x14ac:dyDescent="0.25">
      <c r="A19" s="7">
        <v>8</v>
      </c>
      <c r="B19" s="85">
        <f>SUMIFS($E$4:$E$12,$B$4:$B$12,A19)</f>
        <v>12960</v>
      </c>
      <c r="C19" s="85"/>
      <c r="D19" s="4">
        <v>0.39500000000000002</v>
      </c>
      <c r="E19" s="6">
        <f t="shared" ref="E19:E22" si="2">ROUND(D19*B19/100,0)</f>
        <v>51</v>
      </c>
    </row>
    <row r="20" spans="1:5" ht="24" customHeight="1" x14ac:dyDescent="0.25">
      <c r="A20" s="7">
        <v>10</v>
      </c>
      <c r="B20" s="85">
        <f>SUMIFS($E$4:$E$12,$B$4:$B$12,A20)</f>
        <v>63488</v>
      </c>
      <c r="C20" s="85"/>
      <c r="D20" s="4">
        <v>0.61699999999999999</v>
      </c>
      <c r="E20" s="6">
        <f t="shared" si="2"/>
        <v>392</v>
      </c>
    </row>
    <row r="21" spans="1:5" ht="24" customHeight="1" x14ac:dyDescent="0.25">
      <c r="A21" s="7">
        <v>12.5</v>
      </c>
      <c r="B21" s="85">
        <f>SUMIFS($E$4:$E$12,$B$4:$B$12,A21)</f>
        <v>4912</v>
      </c>
      <c r="C21" s="85"/>
      <c r="D21" s="4">
        <v>0.96299999999999997</v>
      </c>
      <c r="E21" s="6">
        <f t="shared" si="2"/>
        <v>47</v>
      </c>
    </row>
    <row r="22" spans="1:5" ht="24" customHeight="1" x14ac:dyDescent="0.25">
      <c r="A22" s="7">
        <v>20</v>
      </c>
      <c r="B22" s="85">
        <f>SUMIFS($E$4:$E$12,$B$4:$B$12,A22)</f>
        <v>17808</v>
      </c>
      <c r="C22" s="85"/>
      <c r="D22" s="4">
        <v>2.4660000000000002</v>
      </c>
      <c r="E22" s="6">
        <f t="shared" si="2"/>
        <v>439</v>
      </c>
    </row>
    <row r="23" spans="1:5" ht="24" customHeight="1" x14ac:dyDescent="0.25">
      <c r="A23" s="86" t="s">
        <v>12</v>
      </c>
      <c r="B23" s="86"/>
      <c r="C23" s="86"/>
      <c r="D23" s="86"/>
      <c r="E23" s="6">
        <f>SUM(E19:E22)</f>
        <v>929</v>
      </c>
    </row>
    <row r="24" spans="1:5" ht="30" customHeight="1" x14ac:dyDescent="0.25">
      <c r="A24" s="2"/>
      <c r="B24" s="2"/>
      <c r="C24" s="2"/>
      <c r="D24" s="2"/>
      <c r="E24" s="2"/>
    </row>
  </sheetData>
  <mergeCells count="13">
    <mergeCell ref="A13:E15"/>
    <mergeCell ref="A1:E1"/>
    <mergeCell ref="A2:A3"/>
    <mergeCell ref="B2:B3"/>
    <mergeCell ref="C2:C3"/>
    <mergeCell ref="D2:E2"/>
    <mergeCell ref="A23:D23"/>
    <mergeCell ref="B21:C21"/>
    <mergeCell ref="B22:C22"/>
    <mergeCell ref="A16:E17"/>
    <mergeCell ref="B18:C18"/>
    <mergeCell ref="B19:C19"/>
    <mergeCell ref="B20:C20"/>
  </mergeCells>
  <pageMargins left="0.7" right="0.7" top="0.75" bottom="0.75" header="0.3" footer="0.3"/>
  <pageSetup paperSize="9" orientation="portrait" r:id="rId1"/>
  <ignoredErrors>
    <ignoredError sqref="E10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A1743-AB85-43A3-938E-DE0EB957B915}">
  <sheetPr>
    <tabColor rgb="FF002060"/>
  </sheetPr>
  <dimension ref="A1:H21"/>
  <sheetViews>
    <sheetView zoomScaleNormal="100" workbookViewId="0">
      <selection activeCell="G25" sqref="G25"/>
    </sheetView>
  </sheetViews>
  <sheetFormatPr defaultRowHeight="30" customHeight="1" x14ac:dyDescent="0.25"/>
  <cols>
    <col min="1" max="2" width="10.28515625" style="3" customWidth="1"/>
    <col min="3" max="5" width="14.42578125" style="3" customWidth="1"/>
    <col min="6" max="16384" width="9.140625" style="3"/>
  </cols>
  <sheetData>
    <row r="1" spans="1:8" ht="24" customHeight="1" x14ac:dyDescent="0.25">
      <c r="A1" s="84" t="s">
        <v>26</v>
      </c>
      <c r="B1" s="84"/>
      <c r="C1" s="84"/>
      <c r="D1" s="84"/>
      <c r="E1" s="84"/>
    </row>
    <row r="2" spans="1:8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8" ht="24" customHeight="1" x14ac:dyDescent="0.25">
      <c r="A3" s="86"/>
      <c r="B3" s="86"/>
      <c r="C3" s="86"/>
      <c r="D3" s="4" t="s">
        <v>7</v>
      </c>
      <c r="E3" s="4" t="s">
        <v>5</v>
      </c>
      <c r="G3" s="9" t="s">
        <v>13</v>
      </c>
      <c r="H3" s="9" t="s">
        <v>14</v>
      </c>
    </row>
    <row r="4" spans="1:8" ht="24" customHeight="1" x14ac:dyDescent="0.25">
      <c r="A4" s="4">
        <v>1</v>
      </c>
      <c r="B4" s="5">
        <v>8</v>
      </c>
      <c r="C4" s="6">
        <f>G4*H4</f>
        <v>891</v>
      </c>
      <c r="D4" s="6">
        <v>186</v>
      </c>
      <c r="E4" s="6">
        <f>D4*C4</f>
        <v>165726</v>
      </c>
      <c r="G4" s="3">
        <v>297</v>
      </c>
      <c r="H4" s="3">
        <v>3</v>
      </c>
    </row>
    <row r="5" spans="1:8" ht="24" customHeight="1" x14ac:dyDescent="0.25">
      <c r="A5" s="4">
        <v>2</v>
      </c>
      <c r="B5" s="5">
        <v>10</v>
      </c>
      <c r="C5" s="6">
        <f t="shared" ref="C5:C7" si="0">G5*H5</f>
        <v>297</v>
      </c>
      <c r="D5" s="6">
        <v>186</v>
      </c>
      <c r="E5" s="6">
        <f t="shared" ref="E5:E7" si="1">D5*C5</f>
        <v>55242</v>
      </c>
      <c r="G5" s="3">
        <v>297</v>
      </c>
      <c r="H5" s="3">
        <v>1</v>
      </c>
    </row>
    <row r="6" spans="1:8" ht="24" customHeight="1" x14ac:dyDescent="0.25">
      <c r="A6" s="4">
        <v>3</v>
      </c>
      <c r="B6" s="5">
        <v>6.3</v>
      </c>
      <c r="C6" s="6">
        <f t="shared" si="0"/>
        <v>2079</v>
      </c>
      <c r="D6" s="6">
        <v>25</v>
      </c>
      <c r="E6" s="6">
        <f>D6*C6</f>
        <v>51975</v>
      </c>
      <c r="G6" s="3">
        <v>297</v>
      </c>
      <c r="H6" s="3">
        <v>7</v>
      </c>
    </row>
    <row r="7" spans="1:8" ht="24" customHeight="1" x14ac:dyDescent="0.25">
      <c r="A7" s="4" t="s">
        <v>27</v>
      </c>
      <c r="B7" s="5" t="s">
        <v>28</v>
      </c>
      <c r="C7" s="6">
        <f t="shared" si="0"/>
        <v>297</v>
      </c>
      <c r="D7" s="6">
        <v>150</v>
      </c>
      <c r="E7" s="6">
        <f t="shared" si="1"/>
        <v>44550</v>
      </c>
      <c r="G7" s="3">
        <v>297</v>
      </c>
      <c r="H7" s="3">
        <v>1</v>
      </c>
    </row>
    <row r="8" spans="1:8" ht="24" customHeight="1" x14ac:dyDescent="0.25">
      <c r="A8" s="87" t="s">
        <v>8</v>
      </c>
      <c r="B8" s="87"/>
      <c r="C8" s="87"/>
      <c r="D8" s="87"/>
      <c r="E8" s="87"/>
    </row>
    <row r="9" spans="1:8" ht="24" customHeight="1" x14ac:dyDescent="0.25">
      <c r="A9" s="87"/>
      <c r="B9" s="87"/>
      <c r="C9" s="87"/>
      <c r="D9" s="87"/>
      <c r="E9" s="87"/>
    </row>
    <row r="10" spans="1:8" ht="24" customHeight="1" x14ac:dyDescent="0.25">
      <c r="A10" s="87"/>
      <c r="B10" s="87"/>
      <c r="C10" s="87"/>
      <c r="D10" s="87"/>
      <c r="E10" s="87"/>
    </row>
    <row r="11" spans="1:8" ht="24" customHeight="1" x14ac:dyDescent="0.25">
      <c r="A11" s="88" t="s">
        <v>9</v>
      </c>
      <c r="B11" s="88"/>
      <c r="C11" s="88"/>
      <c r="D11" s="88"/>
      <c r="E11" s="88"/>
    </row>
    <row r="12" spans="1:8" ht="24" customHeight="1" x14ac:dyDescent="0.25">
      <c r="A12" s="88"/>
      <c r="B12" s="88"/>
      <c r="C12" s="88"/>
      <c r="D12" s="88"/>
      <c r="E12" s="88"/>
    </row>
    <row r="13" spans="1:8" ht="24" customHeight="1" x14ac:dyDescent="0.25">
      <c r="A13" s="4" t="s">
        <v>1</v>
      </c>
      <c r="B13" s="86" t="s">
        <v>10</v>
      </c>
      <c r="C13" s="86"/>
      <c r="D13" s="4" t="s">
        <v>4</v>
      </c>
      <c r="E13" s="4" t="s">
        <v>3</v>
      </c>
    </row>
    <row r="14" spans="1:8" ht="24" customHeight="1" x14ac:dyDescent="0.25">
      <c r="A14" s="7">
        <v>6.3</v>
      </c>
      <c r="B14" s="85">
        <f>SUMIFS($E$4:$E$7,$B$4:$B$7,A14)</f>
        <v>51975</v>
      </c>
      <c r="C14" s="85"/>
      <c r="D14" s="4">
        <v>0.245</v>
      </c>
      <c r="E14" s="6">
        <f t="shared" ref="E14:E16" si="2">ROUND(D14*B14/100,0)</f>
        <v>127</v>
      </c>
    </row>
    <row r="15" spans="1:8" ht="24" customHeight="1" x14ac:dyDescent="0.25">
      <c r="A15" s="7">
        <v>8</v>
      </c>
      <c r="B15" s="85">
        <f>SUMIFS($E$4:$E$7,$B$4:$B$7,A15)</f>
        <v>165726</v>
      </c>
      <c r="C15" s="85"/>
      <c r="D15" s="4">
        <v>0.39500000000000002</v>
      </c>
      <c r="E15" s="6">
        <f t="shared" si="2"/>
        <v>655</v>
      </c>
    </row>
    <row r="16" spans="1:8" ht="24" customHeight="1" x14ac:dyDescent="0.25">
      <c r="A16" s="7">
        <v>10</v>
      </c>
      <c r="B16" s="85">
        <f>SUMIFS($E$4:$E$7,$B$4:$B$7,A16)</f>
        <v>55242</v>
      </c>
      <c r="C16" s="85"/>
      <c r="D16" s="4">
        <v>0.61699999999999999</v>
      </c>
      <c r="E16" s="6">
        <f t="shared" si="2"/>
        <v>341</v>
      </c>
    </row>
    <row r="17" spans="1:5" ht="24" customHeight="1" x14ac:dyDescent="0.25">
      <c r="A17" s="86" t="s">
        <v>12</v>
      </c>
      <c r="B17" s="86"/>
      <c r="C17" s="86"/>
      <c r="D17" s="86"/>
      <c r="E17" s="6">
        <f>SUM(E14:E16)</f>
        <v>1123</v>
      </c>
    </row>
    <row r="18" spans="1:5" ht="30" customHeight="1" x14ac:dyDescent="0.25">
      <c r="A18" s="88" t="s">
        <v>29</v>
      </c>
      <c r="B18" s="88"/>
      <c r="C18" s="88"/>
      <c r="D18" s="88"/>
      <c r="E18" s="88"/>
    </row>
    <row r="19" spans="1:5" ht="30" customHeight="1" x14ac:dyDescent="0.25">
      <c r="A19" s="88"/>
      <c r="B19" s="88"/>
      <c r="C19" s="88"/>
      <c r="D19" s="88"/>
      <c r="E19" s="88"/>
    </row>
    <row r="20" spans="1:5" ht="30" customHeight="1" x14ac:dyDescent="0.25">
      <c r="A20" s="7" t="s">
        <v>28</v>
      </c>
      <c r="B20" s="85">
        <f>SUMIFS($E$4:$E$7,$B$4:$B$7,A20)</f>
        <v>44550</v>
      </c>
      <c r="C20" s="85"/>
      <c r="D20" s="4">
        <v>1.016</v>
      </c>
      <c r="E20" s="6">
        <f t="shared" ref="E20" si="3">ROUND(D20*B20/100,0)</f>
        <v>453</v>
      </c>
    </row>
    <row r="21" spans="1:5" ht="30" customHeight="1" x14ac:dyDescent="0.25">
      <c r="A21" s="86" t="s">
        <v>12</v>
      </c>
      <c r="B21" s="86"/>
      <c r="C21" s="86"/>
      <c r="D21" s="86"/>
      <c r="E21" s="6">
        <f>SUM(E20)</f>
        <v>453</v>
      </c>
    </row>
  </sheetData>
  <mergeCells count="15">
    <mergeCell ref="A8:E10"/>
    <mergeCell ref="A1:E1"/>
    <mergeCell ref="A2:A3"/>
    <mergeCell ref="B2:B3"/>
    <mergeCell ref="C2:C3"/>
    <mergeCell ref="D2:E2"/>
    <mergeCell ref="A18:E19"/>
    <mergeCell ref="B20:C20"/>
    <mergeCell ref="A21:D21"/>
    <mergeCell ref="A11:E12"/>
    <mergeCell ref="B13:C13"/>
    <mergeCell ref="B14:C14"/>
    <mergeCell ref="B15:C15"/>
    <mergeCell ref="B16:C16"/>
    <mergeCell ref="A17:D1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E47F-89D2-447B-A91B-AB98108DAD7F}">
  <sheetPr>
    <tabColor rgb="FF002060"/>
  </sheetPr>
  <dimension ref="A1:L28"/>
  <sheetViews>
    <sheetView zoomScaleNormal="100" workbookViewId="0">
      <selection activeCell="M6" sqref="M6"/>
    </sheetView>
  </sheetViews>
  <sheetFormatPr defaultRowHeight="30" customHeight="1" x14ac:dyDescent="0.25"/>
  <cols>
    <col min="1" max="2" width="10.28515625" style="1" customWidth="1"/>
    <col min="3" max="5" width="14.42578125" style="1" customWidth="1"/>
    <col min="6" max="16384" width="9.140625" style="1"/>
  </cols>
  <sheetData>
    <row r="1" spans="1:12" ht="30" customHeight="1" x14ac:dyDescent="0.25">
      <c r="A1" s="84" t="s">
        <v>30</v>
      </c>
      <c r="B1" s="84"/>
      <c r="C1" s="84"/>
      <c r="D1" s="84"/>
      <c r="E1" s="84"/>
    </row>
    <row r="2" spans="1:12" ht="24" customHeight="1" x14ac:dyDescent="0.25">
      <c r="A2" s="86" t="s">
        <v>0</v>
      </c>
      <c r="B2" s="86" t="s">
        <v>1</v>
      </c>
      <c r="C2" s="86" t="s">
        <v>2</v>
      </c>
      <c r="D2" s="86" t="s">
        <v>6</v>
      </c>
      <c r="E2" s="86"/>
    </row>
    <row r="3" spans="1:12" ht="24" customHeight="1" x14ac:dyDescent="0.25">
      <c r="A3" s="86"/>
      <c r="B3" s="86"/>
      <c r="C3" s="86"/>
      <c r="D3" s="4" t="s">
        <v>7</v>
      </c>
      <c r="E3" s="4" t="s">
        <v>5</v>
      </c>
      <c r="G3" s="8" t="s">
        <v>13</v>
      </c>
      <c r="H3" s="8" t="s">
        <v>14</v>
      </c>
    </row>
    <row r="4" spans="1:12" ht="24" customHeight="1" x14ac:dyDescent="0.25">
      <c r="A4" s="4">
        <v>1</v>
      </c>
      <c r="B4" s="5">
        <v>10</v>
      </c>
      <c r="C4" s="6">
        <f>G4*H4</f>
        <v>100</v>
      </c>
      <c r="D4" s="6">
        <v>614</v>
      </c>
      <c r="E4" s="6">
        <f>D4*C4</f>
        <v>61400</v>
      </c>
      <c r="G4" s="3">
        <v>1</v>
      </c>
      <c r="H4" s="3">
        <v>100</v>
      </c>
    </row>
    <row r="5" spans="1:12" ht="24" customHeight="1" x14ac:dyDescent="0.25">
      <c r="A5" s="4">
        <v>2</v>
      </c>
      <c r="B5" s="5">
        <v>10</v>
      </c>
      <c r="C5" s="6">
        <f t="shared" ref="C5:C17" si="0">G5*H5</f>
        <v>100</v>
      </c>
      <c r="D5" s="6">
        <v>614</v>
      </c>
      <c r="E5" s="6">
        <f t="shared" ref="E5:E17" si="1">D5*C5</f>
        <v>61400</v>
      </c>
      <c r="G5" s="3">
        <v>1</v>
      </c>
      <c r="H5" s="3">
        <v>100</v>
      </c>
    </row>
    <row r="6" spans="1:12" ht="24" customHeight="1" x14ac:dyDescent="0.25">
      <c r="A6" s="4">
        <v>3</v>
      </c>
      <c r="B6" s="5">
        <v>8</v>
      </c>
      <c r="C6" s="6">
        <f t="shared" si="0"/>
        <v>238</v>
      </c>
      <c r="D6" s="6">
        <v>614</v>
      </c>
      <c r="E6" s="6">
        <f>D6*C6</f>
        <v>146132</v>
      </c>
      <c r="G6" s="3">
        <v>1</v>
      </c>
      <c r="H6" s="3">
        <v>238</v>
      </c>
    </row>
    <row r="7" spans="1:12" ht="24" customHeight="1" x14ac:dyDescent="0.25">
      <c r="A7" s="4">
        <v>4</v>
      </c>
      <c r="B7" s="5">
        <v>8</v>
      </c>
      <c r="C7" s="6">
        <f t="shared" si="0"/>
        <v>238</v>
      </c>
      <c r="D7" s="6">
        <v>614</v>
      </c>
      <c r="E7" s="6">
        <f t="shared" si="1"/>
        <v>146132</v>
      </c>
      <c r="G7" s="3">
        <v>1</v>
      </c>
      <c r="H7" s="3">
        <v>238</v>
      </c>
    </row>
    <row r="8" spans="1:12" ht="24" customHeight="1" x14ac:dyDescent="0.25">
      <c r="A8" s="4">
        <v>5</v>
      </c>
      <c r="B8" s="5">
        <v>8</v>
      </c>
      <c r="C8" s="6">
        <f t="shared" si="0"/>
        <v>180</v>
      </c>
      <c r="D8" s="6">
        <v>1200</v>
      </c>
      <c r="E8" s="6">
        <f t="shared" si="1"/>
        <v>216000</v>
      </c>
      <c r="G8" s="3">
        <v>1</v>
      </c>
      <c r="H8" s="3">
        <f>60*3</f>
        <v>180</v>
      </c>
    </row>
    <row r="9" spans="1:12" ht="24" customHeight="1" x14ac:dyDescent="0.25">
      <c r="A9" s="4">
        <v>6</v>
      </c>
      <c r="B9" s="5">
        <v>10</v>
      </c>
      <c r="C9" s="6">
        <f t="shared" si="0"/>
        <v>180</v>
      </c>
      <c r="D9" s="6">
        <v>1200</v>
      </c>
      <c r="E9" s="6">
        <f t="shared" si="1"/>
        <v>216000</v>
      </c>
      <c r="G9" s="3">
        <v>1</v>
      </c>
      <c r="H9" s="3">
        <f>60*3</f>
        <v>180</v>
      </c>
    </row>
    <row r="10" spans="1:12" ht="24" customHeight="1" x14ac:dyDescent="0.25">
      <c r="A10" s="4">
        <v>7</v>
      </c>
      <c r="B10" s="5">
        <v>8</v>
      </c>
      <c r="C10" s="6">
        <f t="shared" si="0"/>
        <v>16</v>
      </c>
      <c r="D10" s="6">
        <v>1200</v>
      </c>
      <c r="E10" s="6">
        <f t="shared" si="1"/>
        <v>19200</v>
      </c>
      <c r="G10" s="3">
        <v>1</v>
      </c>
      <c r="H10" s="3">
        <f>2*8</f>
        <v>16</v>
      </c>
    </row>
    <row r="11" spans="1:12" ht="24" customHeight="1" x14ac:dyDescent="0.25">
      <c r="A11" s="4">
        <v>8</v>
      </c>
      <c r="B11" s="5">
        <v>10</v>
      </c>
      <c r="C11" s="6">
        <f t="shared" si="0"/>
        <v>676</v>
      </c>
      <c r="D11" s="6">
        <v>187</v>
      </c>
      <c r="E11" s="6">
        <f t="shared" si="1"/>
        <v>126412</v>
      </c>
      <c r="G11" s="3">
        <v>1</v>
      </c>
      <c r="H11" s="3">
        <f>2*338</f>
        <v>676</v>
      </c>
    </row>
    <row r="12" spans="1:12" ht="24" customHeight="1" x14ac:dyDescent="0.25">
      <c r="A12" s="4">
        <v>9</v>
      </c>
      <c r="B12" s="5">
        <v>10</v>
      </c>
      <c r="C12" s="6">
        <f t="shared" si="0"/>
        <v>676</v>
      </c>
      <c r="D12" s="6">
        <v>190</v>
      </c>
      <c r="E12" s="6">
        <f t="shared" si="1"/>
        <v>128440</v>
      </c>
      <c r="G12" s="3">
        <v>1</v>
      </c>
      <c r="H12" s="3">
        <f>2*338</f>
        <v>676</v>
      </c>
    </row>
    <row r="13" spans="1:12" ht="24" customHeight="1" x14ac:dyDescent="0.25">
      <c r="A13" s="4">
        <v>10</v>
      </c>
      <c r="B13" s="5">
        <v>12.5</v>
      </c>
      <c r="C13" s="6">
        <f t="shared" si="0"/>
        <v>120</v>
      </c>
      <c r="D13" s="6">
        <v>200</v>
      </c>
      <c r="E13" s="6">
        <f t="shared" si="1"/>
        <v>24000</v>
      </c>
      <c r="G13" s="3">
        <v>1</v>
      </c>
      <c r="H13" s="3">
        <f>2*60</f>
        <v>120</v>
      </c>
      <c r="L13" s="1" t="s">
        <v>11</v>
      </c>
    </row>
    <row r="14" spans="1:12" ht="24" customHeight="1" x14ac:dyDescent="0.25">
      <c r="A14" s="4">
        <v>11</v>
      </c>
      <c r="B14" s="5">
        <v>10</v>
      </c>
      <c r="C14" s="6">
        <f t="shared" si="0"/>
        <v>18</v>
      </c>
      <c r="D14" s="6">
        <v>594</v>
      </c>
      <c r="E14" s="6">
        <f t="shared" si="1"/>
        <v>10692</v>
      </c>
      <c r="G14" s="3">
        <v>1</v>
      </c>
      <c r="H14" s="1">
        <v>18</v>
      </c>
    </row>
    <row r="15" spans="1:12" ht="24" customHeight="1" x14ac:dyDescent="0.25">
      <c r="A15" s="4">
        <v>12</v>
      </c>
      <c r="B15" s="5">
        <v>12.5</v>
      </c>
      <c r="C15" s="6">
        <f t="shared" si="0"/>
        <v>60</v>
      </c>
      <c r="D15" s="6">
        <v>342</v>
      </c>
      <c r="E15" s="6">
        <f t="shared" si="1"/>
        <v>20520</v>
      </c>
      <c r="G15" s="3">
        <v>1</v>
      </c>
      <c r="H15" s="1">
        <v>60</v>
      </c>
    </row>
    <row r="16" spans="1:12" ht="24" customHeight="1" x14ac:dyDescent="0.25">
      <c r="A16" s="4">
        <v>13</v>
      </c>
      <c r="B16" s="5">
        <v>10</v>
      </c>
      <c r="C16" s="6">
        <f t="shared" si="0"/>
        <v>60</v>
      </c>
      <c r="D16" s="6">
        <v>250</v>
      </c>
      <c r="E16" s="6">
        <f t="shared" si="1"/>
        <v>15000</v>
      </c>
      <c r="G16" s="3">
        <v>1</v>
      </c>
      <c r="H16" s="1">
        <v>60</v>
      </c>
    </row>
    <row r="17" spans="1:8" ht="24" customHeight="1" x14ac:dyDescent="0.25">
      <c r="A17" s="4">
        <v>14</v>
      </c>
      <c r="B17" s="5">
        <v>10</v>
      </c>
      <c r="C17" s="6">
        <f t="shared" si="0"/>
        <v>26</v>
      </c>
      <c r="D17" s="6">
        <v>594</v>
      </c>
      <c r="E17" s="6">
        <f t="shared" si="1"/>
        <v>15444</v>
      </c>
      <c r="G17" s="3">
        <v>1</v>
      </c>
      <c r="H17" s="1">
        <v>26</v>
      </c>
    </row>
    <row r="18" spans="1:8" ht="24" customHeight="1" x14ac:dyDescent="0.25">
      <c r="A18" s="87" t="s">
        <v>8</v>
      </c>
      <c r="B18" s="87"/>
      <c r="C18" s="87"/>
      <c r="D18" s="87"/>
      <c r="E18" s="87"/>
    </row>
    <row r="19" spans="1:8" ht="24" customHeight="1" x14ac:dyDescent="0.25">
      <c r="A19" s="87"/>
      <c r="B19" s="87"/>
      <c r="C19" s="87"/>
      <c r="D19" s="87"/>
      <c r="E19" s="87"/>
    </row>
    <row r="20" spans="1:8" ht="24" customHeight="1" x14ac:dyDescent="0.25">
      <c r="A20" s="87"/>
      <c r="B20" s="87"/>
      <c r="C20" s="87"/>
      <c r="D20" s="87"/>
      <c r="E20" s="87"/>
    </row>
    <row r="21" spans="1:8" ht="24" customHeight="1" x14ac:dyDescent="0.25">
      <c r="A21" s="88" t="s">
        <v>9</v>
      </c>
      <c r="B21" s="88"/>
      <c r="C21" s="88"/>
      <c r="D21" s="88"/>
      <c r="E21" s="88"/>
    </row>
    <row r="22" spans="1:8" ht="24" customHeight="1" x14ac:dyDescent="0.25">
      <c r="A22" s="88"/>
      <c r="B22" s="88"/>
      <c r="C22" s="88"/>
      <c r="D22" s="88"/>
      <c r="E22" s="88"/>
    </row>
    <row r="23" spans="1:8" ht="24" customHeight="1" x14ac:dyDescent="0.25">
      <c r="A23" s="4" t="s">
        <v>1</v>
      </c>
      <c r="B23" s="86" t="s">
        <v>10</v>
      </c>
      <c r="C23" s="86"/>
      <c r="D23" s="4" t="s">
        <v>4</v>
      </c>
      <c r="E23" s="4" t="s">
        <v>3</v>
      </c>
    </row>
    <row r="24" spans="1:8" ht="24" customHeight="1" x14ac:dyDescent="0.25">
      <c r="A24" s="7">
        <v>8</v>
      </c>
      <c r="B24" s="85">
        <f>SUMIFS($E$4:$E$17,$B$4:$B$17,A24)</f>
        <v>527464</v>
      </c>
      <c r="C24" s="85"/>
      <c r="D24" s="4">
        <v>0.39500000000000002</v>
      </c>
      <c r="E24" s="6">
        <f t="shared" ref="E24:E26" si="2">ROUND(D24*B24/100,0)</f>
        <v>2083</v>
      </c>
    </row>
    <row r="25" spans="1:8" ht="24" customHeight="1" x14ac:dyDescent="0.25">
      <c r="A25" s="7">
        <v>10</v>
      </c>
      <c r="B25" s="85">
        <f>SUMIFS($E$4:$E$17,$B$4:$B$17,A25)</f>
        <v>634788</v>
      </c>
      <c r="C25" s="85"/>
      <c r="D25" s="4">
        <v>0.61699999999999999</v>
      </c>
      <c r="E25" s="6">
        <f t="shared" si="2"/>
        <v>3917</v>
      </c>
    </row>
    <row r="26" spans="1:8" ht="24" customHeight="1" x14ac:dyDescent="0.25">
      <c r="A26" s="7">
        <v>12.5</v>
      </c>
      <c r="B26" s="85">
        <f>SUMIFS($E$4:$E$17,$B$4:$B$17,A26)</f>
        <v>44520</v>
      </c>
      <c r="C26" s="85"/>
      <c r="D26" s="4">
        <v>0.96299999999999997</v>
      </c>
      <c r="E26" s="6">
        <f t="shared" si="2"/>
        <v>429</v>
      </c>
    </row>
    <row r="27" spans="1:8" ht="24" customHeight="1" x14ac:dyDescent="0.25">
      <c r="A27" s="86" t="s">
        <v>12</v>
      </c>
      <c r="B27" s="86"/>
      <c r="C27" s="86"/>
      <c r="D27" s="86"/>
      <c r="E27" s="6">
        <f>SUM(E24:E26)</f>
        <v>6429</v>
      </c>
    </row>
    <row r="28" spans="1:8" ht="30" customHeight="1" x14ac:dyDescent="0.25">
      <c r="A28" s="2"/>
      <c r="B28" s="2"/>
      <c r="C28" s="2"/>
      <c r="D28" s="2"/>
      <c r="E28" s="2"/>
    </row>
  </sheetData>
  <mergeCells count="12">
    <mergeCell ref="A27:D27"/>
    <mergeCell ref="B26:C26"/>
    <mergeCell ref="B25:C25"/>
    <mergeCell ref="A1:E1"/>
    <mergeCell ref="A2:A3"/>
    <mergeCell ref="B2:B3"/>
    <mergeCell ref="C2:C3"/>
    <mergeCell ref="D2:E2"/>
    <mergeCell ref="A18:E20"/>
    <mergeCell ref="A21:E22"/>
    <mergeCell ref="B23:C23"/>
    <mergeCell ref="B24: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2</vt:i4>
      </vt:variant>
    </vt:vector>
  </HeadingPairs>
  <TitlesOfParts>
    <vt:vector size="16" baseType="lpstr">
      <vt:lpstr>MODELO</vt:lpstr>
      <vt:lpstr>QUANT-PE</vt:lpstr>
      <vt:lpstr>MQ-PE</vt:lpstr>
      <vt:lpstr>BLOCOS</vt:lpstr>
      <vt:lpstr>PILARES</vt:lpstr>
      <vt:lpstr>VIGA 1870</vt:lpstr>
      <vt:lpstr>VIGA 1470</vt:lpstr>
      <vt:lpstr>TRAV E1E3</vt:lpstr>
      <vt:lpstr>TRAV E2</vt:lpstr>
      <vt:lpstr>ALAS</vt:lpstr>
      <vt:lpstr>LAJE TRANS</vt:lpstr>
      <vt:lpstr>TRANSV</vt:lpstr>
      <vt:lpstr>PRELAJES</vt:lpstr>
      <vt:lpstr>LAJE</vt:lpstr>
      <vt:lpstr>'QUANT-PE'!Area_de_impressao</vt:lpstr>
      <vt:lpstr>'QUANT-PE'!Titulos_de_impressao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Phablo Gustavo De Santana</dc:creator>
  <cp:lastModifiedBy>Phablo Gustavo De Santana</cp:lastModifiedBy>
  <dcterms:created xsi:type="dcterms:W3CDTF">2015-06-05T18:19:34Z</dcterms:created>
  <dcterms:modified xsi:type="dcterms:W3CDTF">2026-02-05T21:57:30Z</dcterms:modified>
</cp:coreProperties>
</file>